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11.xml" ContentType="application/vnd.openxmlformats-officedocument.spreadsheetml.comments+xml"/>
  <Override PartName="/xl/drawings/drawing13.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omments12.xml" ContentType="application/vnd.openxmlformats-officedocument.spreadsheetml.comments+xml"/>
  <Override PartName="/xl/drawings/drawing14.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omments13.xml" ContentType="application/vnd.openxmlformats-officedocument.spreadsheetml.comments+xml"/>
  <Override PartName="/xl/drawings/drawing15.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omments14.xml" ContentType="application/vnd.openxmlformats-officedocument.spreadsheetml.comments+xml"/>
  <Override PartName="/xl/drawings/drawing16.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omments15.xml" ContentType="application/vnd.openxmlformats-officedocument.spreadsheetml.comments+xml"/>
  <Override PartName="/xl/drawings/drawing17.xml" ContentType="application/vnd.openxmlformats-officedocument.drawing+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omments16.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omments17.xml" ContentType="application/vnd.openxmlformats-officedocument.spreadsheetml.comments+xml"/>
  <Override PartName="/xl/drawings/drawing21.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omments18.xml" ContentType="application/vnd.openxmlformats-officedocument.spreadsheetml.comments+xml"/>
  <Override PartName="/xl/drawings/drawing22.xml" ContentType="application/vnd.openxmlformats-officedocument.drawing+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omments19.xml" ContentType="application/vnd.openxmlformats-officedocument.spreadsheetml.comments+xml"/>
  <Override PartName="/xl/drawings/drawing23.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omments20.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drawings/drawing37.xml" ContentType="application/vnd.openxmlformats-officedocument.drawing+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omments2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drchr\Desktop\ZZZ DIRECTOR ONLY\2026\"/>
    </mc:Choice>
  </mc:AlternateContent>
  <xr:revisionPtr revIDLastSave="0" documentId="13_ncr:1_{81E07018-317A-4B69-A84B-03518D8537D8}" xr6:coauthVersionLast="47" xr6:coauthVersionMax="47" xr10:uidLastSave="{00000000-0000-0000-0000-000000000000}"/>
  <bookViews>
    <workbookView xWindow="-120" yWindow="-120" windowWidth="29040" windowHeight="15720" activeTab="4" xr2:uid="{9F15064A-3C5C-45D4-AC8C-1FF4FF41796F}"/>
  </bookViews>
  <sheets>
    <sheet name="fs7" sheetId="1" r:id="rId1"/>
    <sheet name="FTBLANK" sheetId="2" r:id="rId2"/>
    <sheet name="DIV1" sheetId="3" r:id="rId3"/>
    <sheet name="RGaldes" sheetId="4" r:id="rId4"/>
    <sheet name="LCarini" sheetId="5" r:id="rId5"/>
    <sheet name="KMizzi" sheetId="6" r:id="rId6"/>
    <sheet name="RCamilleri" sheetId="7" r:id="rId7"/>
    <sheet name="DMifsud_Ceci" sheetId="8" r:id="rId8"/>
    <sheet name="DIV2" sheetId="9" r:id="rId9"/>
    <sheet name="MCamilleri" sheetId="10" r:id="rId10"/>
    <sheet name="LBonnici" sheetId="11" r:id="rId11"/>
    <sheet name="DIV3" sheetId="12" r:id="rId12"/>
    <sheet name="DIV4" sheetId="13" r:id="rId13"/>
    <sheet name="RMallan_Albani" sheetId="14" r:id="rId14"/>
    <sheet name="AHaneena" sheetId="15" r:id="rId15"/>
    <sheet name="ELama" sheetId="16" r:id="rId16"/>
    <sheet name="MAcero_Garzon" sheetId="17" r:id="rId17"/>
    <sheet name="DIV5" sheetId="18" r:id="rId18"/>
    <sheet name="RSreejith" sheetId="19" r:id="rId19"/>
    <sheet name="AKunnamkudath" sheetId="20" r:id="rId20"/>
    <sheet name="DIV6" sheetId="21" r:id="rId21"/>
    <sheet name="RAttard" sheetId="22" r:id="rId22"/>
    <sheet name="NScerri_Esposito" sheetId="60" r:id="rId23"/>
    <sheet name="DIV7" sheetId="23" r:id="rId24"/>
    <sheet name="RAcharya" sheetId="24" r:id="rId25"/>
    <sheet name="DIV8" sheetId="25" r:id="rId26"/>
    <sheet name="FTBLANKE" sheetId="26" r:id="rId27"/>
    <sheet name="PTBLANK" sheetId="27" r:id="rId28"/>
    <sheet name="DIVP1" sheetId="28" r:id="rId29"/>
    <sheet name="DIVP2" sheetId="29" r:id="rId30"/>
    <sheet name="DIVP3" sheetId="30" r:id="rId31"/>
    <sheet name="DIVP4" sheetId="31" r:id="rId32"/>
    <sheet name="DIVP5" sheetId="32" r:id="rId33"/>
    <sheet name="ECurmi" sheetId="33" r:id="rId34"/>
    <sheet name="AFalzon" sheetId="34" r:id="rId35"/>
    <sheet name="ZMifsud" sheetId="35" r:id="rId36"/>
    <sheet name="DIVP6" sheetId="36" r:id="rId37"/>
    <sheet name="MEllul" sheetId="37" r:id="rId38"/>
    <sheet name="DIVP7" sheetId="38" r:id="rId39"/>
    <sheet name="PTBLANKE" sheetId="39" r:id="rId40"/>
    <sheet name="Summary" sheetId="40" r:id="rId41"/>
    <sheet name="SummaryPT" sheetId="41" r:id="rId42"/>
    <sheet name="SummaryTOTS" sheetId="42" r:id="rId43"/>
    <sheet name="SumDiv" sheetId="43" r:id="rId44"/>
    <sheet name="JAN_FS5" sheetId="44" r:id="rId45"/>
    <sheet name="FEB_FS5" sheetId="45" r:id="rId46"/>
    <sheet name="MAR_FS5" sheetId="46" r:id="rId47"/>
    <sheet name="APR_FS5" sheetId="47" r:id="rId48"/>
    <sheet name="MAY_FS5" sheetId="48" r:id="rId49"/>
    <sheet name="JUN_FS5" sheetId="49" r:id="rId50"/>
    <sheet name="JUL_FS5" sheetId="50" r:id="rId51"/>
    <sheet name="AUG_FS5" sheetId="51" r:id="rId52"/>
    <sheet name="SEP_FS5" sheetId="52" r:id="rId53"/>
    <sheet name="OCT_FS5" sheetId="53" r:id="rId54"/>
    <sheet name="NOV_FS5" sheetId="54" r:id="rId55"/>
    <sheet name="DEC_FS5" sheetId="55" r:id="rId56"/>
    <sheet name="DATA" sheetId="56" r:id="rId57"/>
    <sheet name="FS3 Filling sheet" sheetId="57" r:id="rId58"/>
    <sheet name="ss filling sheet" sheetId="58" r:id="rId59"/>
    <sheet name="SPare" sheetId="59" r:id="rId60"/>
  </sheets>
  <functionGroups builtInGroupCount="19"/>
  <externalReferences>
    <externalReference r:id="rId61"/>
  </externalReferences>
  <definedNames>
    <definedName name="APR_PAY" localSheetId="34">AFalzon!$N$49:$Y$58</definedName>
    <definedName name="APR_PAY" localSheetId="14">AHaneena!$N$49:$Y$58</definedName>
    <definedName name="APR_PAY" localSheetId="19">AKunnamkudath!$N$49:$Y$58</definedName>
    <definedName name="APR_PAY" localSheetId="7">DMifsud_Ceci!$N$49:$Y$58</definedName>
    <definedName name="APR_PAY" localSheetId="33">ECurmi!$N$49:$Y$58</definedName>
    <definedName name="APR_PAY" localSheetId="15">ELama!$N$49:$Y$58</definedName>
    <definedName name="APR_PAY" localSheetId="5">KMizzi!$N$49:$Y$58</definedName>
    <definedName name="APR_PAY" localSheetId="10">LBonnici!$N$49:$Y$58</definedName>
    <definedName name="APR_PAY" localSheetId="4">LCarini!$N$49:$Y$58</definedName>
    <definedName name="APR_PAY" localSheetId="16">MAcero_Garzon!$N$49:$Y$58</definedName>
    <definedName name="APR_PAY" localSheetId="9">MCamilleri!$N$49:$Y$58</definedName>
    <definedName name="APR_PAY" localSheetId="37">MEllul!$N$49:$Y$58</definedName>
    <definedName name="APR_PAY" localSheetId="22">NScerri_Esposito!$N$49:$Y$58</definedName>
    <definedName name="APR_PAY" localSheetId="24">RAcharya!$N$49:$Y$58</definedName>
    <definedName name="APR_PAY" localSheetId="21">RAttard!$N$49:$Y$58</definedName>
    <definedName name="APR_PAY" localSheetId="6">RCamilleri!$N$49:$Y$58</definedName>
    <definedName name="APR_PAY" localSheetId="3">RGaldes!$N$49:$Y$58</definedName>
    <definedName name="APR_PAY" localSheetId="13">RMallan_Albani!$N$49:$Y$58</definedName>
    <definedName name="APR_PAY" localSheetId="18">RSreejith!$N$49:$Y$58</definedName>
    <definedName name="APR_PAY" localSheetId="59">SPare!$N$49:$Y$58</definedName>
    <definedName name="APR_PAY" localSheetId="35">ZMifsud!$N$49:$Y$58</definedName>
    <definedName name="ApreeSocSec" localSheetId="34">AFalzon!$V$51</definedName>
    <definedName name="ApreeSocSec" localSheetId="14">AHaneena!$V$51</definedName>
    <definedName name="ApreeSocSec" localSheetId="19">AKunnamkudath!$V$51</definedName>
    <definedName name="ApreeSocSec" localSheetId="7">DMifsud_Ceci!$V$51</definedName>
    <definedName name="ApreeSocSec" localSheetId="33">ECurmi!$V$51</definedName>
    <definedName name="ApreeSocSec" localSheetId="15">ELama!$V$51</definedName>
    <definedName name="ApreeSocSec" localSheetId="5">KMizzi!$V$51</definedName>
    <definedName name="ApreeSocSec" localSheetId="10">LBonnici!$V$51</definedName>
    <definedName name="ApreeSocSec" localSheetId="4">LCarini!$V$51</definedName>
    <definedName name="ApreeSocSec" localSheetId="16">MAcero_Garzon!$V$51</definedName>
    <definedName name="ApreeSocSec" localSheetId="9">MCamilleri!$V$51</definedName>
    <definedName name="ApreeSocSec" localSheetId="37">MEllul!$V$51</definedName>
    <definedName name="ApreeSocSec" localSheetId="22">NScerri_Esposito!$V$51</definedName>
    <definedName name="ApreeSocSec" localSheetId="24">RAcharya!$V$51</definedName>
    <definedName name="ApreeSocSec" localSheetId="21">RAttard!$V$51</definedName>
    <definedName name="ApreeSocSec" localSheetId="6">RCamilleri!$V$51</definedName>
    <definedName name="ApreeSocSec" localSheetId="3">RGaldes!$V$51</definedName>
    <definedName name="ApreeSocSec" localSheetId="13">RMallan_Albani!$V$51</definedName>
    <definedName name="ApreeSocSec" localSheetId="18">RSreejith!$V$51</definedName>
    <definedName name="ApreeSocSec" localSheetId="59">SPare!$V$51</definedName>
    <definedName name="ApreeSocSec" localSheetId="35">ZMifsud!$V$51</definedName>
    <definedName name="APRERSocSec" localSheetId="34">AFalzon!$U$51</definedName>
    <definedName name="APRERSocSec" localSheetId="14">AHaneena!$U$51</definedName>
    <definedName name="APRERSocSec" localSheetId="19">AKunnamkudath!$U$51</definedName>
    <definedName name="APRERSocSec" localSheetId="7">DMifsud_Ceci!$U$51</definedName>
    <definedName name="APRERSocSec" localSheetId="33">ECurmi!$U$51</definedName>
    <definedName name="APRERSocSec" localSheetId="15">ELama!$U$51</definedName>
    <definedName name="APRERSocSec" localSheetId="5">KMizzi!$U$51</definedName>
    <definedName name="APRERSocSec" localSheetId="10">LBonnici!$U$51</definedName>
    <definedName name="APRERSocSec" localSheetId="4">LCarini!$U$51</definedName>
    <definedName name="APRERSocSec" localSheetId="16">MAcero_Garzon!$U$51</definedName>
    <definedName name="APRERSocSec" localSheetId="9">MCamilleri!$U$51</definedName>
    <definedName name="APRERSocSec" localSheetId="37">MEllul!$U$51</definedName>
    <definedName name="APRERSocSec" localSheetId="22">NScerri_Esposito!$U$51</definedName>
    <definedName name="APRERSocSec" localSheetId="24">RAcharya!$U$51</definedName>
    <definedName name="APRERSocSec" localSheetId="21">RAttard!$U$51</definedName>
    <definedName name="APRERSocSec" localSheetId="6">RCamilleri!$U$51</definedName>
    <definedName name="APRERSocSec" localSheetId="3">RGaldes!$U$51</definedName>
    <definedName name="APRERSocSec" localSheetId="13">RMallan_Albani!$U$51</definedName>
    <definedName name="APRERSocSec" localSheetId="18">RSreejith!$U$51</definedName>
    <definedName name="APRERSocSec" localSheetId="59">SPare!$U$51</definedName>
    <definedName name="APRERSocSec" localSheetId="35">ZMifsud!$U$51</definedName>
    <definedName name="apreuhrs" localSheetId="34">AFalzon!$R$51</definedName>
    <definedName name="apreuhrs" localSheetId="14">AHaneena!$R$51</definedName>
    <definedName name="apreuhrs" localSheetId="19">AKunnamkudath!$R$51</definedName>
    <definedName name="apreuhrs" localSheetId="7">DMifsud_Ceci!$R$51</definedName>
    <definedName name="apreuhrs" localSheetId="33">ECurmi!$R$51</definedName>
    <definedName name="apreuhrs" localSheetId="15">ELama!$R$51</definedName>
    <definedName name="apreuhrs" localSheetId="5">KMizzi!$R$51</definedName>
    <definedName name="apreuhrs" localSheetId="10">LBonnici!$R$51</definedName>
    <definedName name="apreuhrs" localSheetId="4">LCarini!$R$51</definedName>
    <definedName name="apreuhrs" localSheetId="16">MAcero_Garzon!$R$51</definedName>
    <definedName name="apreuhrs" localSheetId="9">MCamilleri!$R$51</definedName>
    <definedName name="apreuhrs" localSheetId="37">MEllul!$R$51</definedName>
    <definedName name="apreuhrs" localSheetId="22">NScerri_Esposito!$R$51</definedName>
    <definedName name="apreuhrs" localSheetId="24">RAcharya!$R$51</definedName>
    <definedName name="apreuhrs" localSheetId="21">RAttard!$R$51</definedName>
    <definedName name="apreuhrs" localSheetId="6">RCamilleri!$R$51</definedName>
    <definedName name="apreuhrs" localSheetId="3">RGaldes!$R$51</definedName>
    <definedName name="apreuhrs" localSheetId="13">RMallan_Albani!$R$51</definedName>
    <definedName name="apreuhrs" localSheetId="18">RSreejith!$R$51</definedName>
    <definedName name="apreuhrs" localSheetId="59">SPare!$R$51</definedName>
    <definedName name="apreuhrs" localSheetId="35">ZMifsud!$R$51</definedName>
    <definedName name="aprgrs" localSheetId="34">AFalzon!$S$49:$S$53</definedName>
    <definedName name="aprgrs" localSheetId="14">AHaneena!$S$49:$S$53</definedName>
    <definedName name="aprgrs" localSheetId="19">AKunnamkudath!$S$49:$S$53</definedName>
    <definedName name="aprgrs" localSheetId="7">DMifsud_Ceci!$S$49:$S$53</definedName>
    <definedName name="aprgrs" localSheetId="33">ECurmi!$S$49:$S$53</definedName>
    <definedName name="aprgrs" localSheetId="15">ELama!$S$49:$S$53</definedName>
    <definedName name="aprgrs" localSheetId="5">KMizzi!$S$49:$S$53</definedName>
    <definedName name="aprgrs" localSheetId="10">LBonnici!$S$49:$S$53</definedName>
    <definedName name="aprgrs" localSheetId="4">LCarini!$S$49:$S$53</definedName>
    <definedName name="aprgrs" localSheetId="16">MAcero_Garzon!$S$49:$S$53</definedName>
    <definedName name="aprgrs" localSheetId="9">MCamilleri!$S$49:$S$53</definedName>
    <definedName name="aprgrs" localSheetId="37">MEllul!$S$49:$S$53</definedName>
    <definedName name="aprgrs" localSheetId="22">NScerri_Esposito!$S$49:$S$53</definedName>
    <definedName name="aprgrs" localSheetId="24">RAcharya!$S$49:$S$53</definedName>
    <definedName name="aprgrs" localSheetId="21">RAttard!$S$49:$S$53</definedName>
    <definedName name="aprgrs" localSheetId="6">RCamilleri!$S$49:$S$53</definedName>
    <definedName name="aprgrs" localSheetId="3">RGaldes!$S$49:$S$53</definedName>
    <definedName name="aprgrs" localSheetId="13">RMallan_Albani!$S$49:$S$53</definedName>
    <definedName name="aprgrs" localSheetId="18">RSreejith!$S$49:$S$53</definedName>
    <definedName name="aprgrs" localSheetId="59">SPare!$S$49:$S$53</definedName>
    <definedName name="aprgrs" localSheetId="35">ZMifsud!$S$49:$S$53</definedName>
    <definedName name="aprhrrt" localSheetId="34">AFalzon!$R$7</definedName>
    <definedName name="aprhrrt" localSheetId="14">AHaneena!$R$7</definedName>
    <definedName name="aprhrrt" localSheetId="19">AKunnamkudath!$R$7</definedName>
    <definedName name="aprhrrt" localSheetId="7">DMifsud_Ceci!$R$7</definedName>
    <definedName name="aprhrrt" localSheetId="33">ECurmi!$R$7</definedName>
    <definedName name="aprhrrt" localSheetId="15">ELama!$R$7</definedName>
    <definedName name="aprhrrt" localSheetId="5">KMizzi!$R$7</definedName>
    <definedName name="aprhrrt" localSheetId="10">LBonnici!$R$7</definedName>
    <definedName name="aprhrrt" localSheetId="4">LCarini!$R$7</definedName>
    <definedName name="aprhrrt" localSheetId="16">MAcero_Garzon!$R$7</definedName>
    <definedName name="aprhrrt" localSheetId="9">MCamilleri!$R$7</definedName>
    <definedName name="aprhrrt" localSheetId="37">MEllul!$R$7</definedName>
    <definedName name="aprhrrt" localSheetId="22">NScerri_Esposito!$R$7</definedName>
    <definedName name="aprhrrt" localSheetId="24">RAcharya!$R$7</definedName>
    <definedName name="aprhrrt" localSheetId="21">RAttard!$R$7</definedName>
    <definedName name="aprhrrt" localSheetId="6">RCamilleri!$R$7</definedName>
    <definedName name="aprhrrt" localSheetId="3">RGaldes!$R$7</definedName>
    <definedName name="aprhrrt" localSheetId="13">RMallan_Albani!$R$7</definedName>
    <definedName name="aprhrrt" localSheetId="18">RSreejith!$R$7</definedName>
    <definedName name="aprhrrt" localSheetId="59">SPare!$R$7</definedName>
    <definedName name="aprhrrt" localSheetId="35">ZMifsud!$R$7</definedName>
    <definedName name="aprmlf" localSheetId="34">AFalzon!$U$52</definedName>
    <definedName name="aprmlf" localSheetId="14">AHaneena!$U$52</definedName>
    <definedName name="aprmlf" localSheetId="19">AKunnamkudath!$U$52</definedName>
    <definedName name="aprmlf" localSheetId="7">DMifsud_Ceci!$U$52</definedName>
    <definedName name="aprmlf" localSheetId="33">ECurmi!$U$52</definedName>
    <definedName name="aprmlf" localSheetId="15">ELama!$U$52</definedName>
    <definedName name="aprmlf" localSheetId="0">'fs7'!$F$46</definedName>
    <definedName name="aprmlf" localSheetId="5">KMizzi!$U$52</definedName>
    <definedName name="aprmlf" localSheetId="10">LBonnici!$U$52</definedName>
    <definedName name="aprmlf" localSheetId="4">LCarini!$U$52</definedName>
    <definedName name="aprmlf" localSheetId="16">MAcero_Garzon!$U$52</definedName>
    <definedName name="aprmlf" localSheetId="9">MCamilleri!$U$52</definedName>
    <definedName name="aprmlf" localSheetId="37">MEllul!$U$52</definedName>
    <definedName name="aprmlf" localSheetId="22">NScerri_Esposito!$U$52</definedName>
    <definedName name="aprmlf" localSheetId="24">RAcharya!$U$52</definedName>
    <definedName name="aprmlf" localSheetId="21">RAttard!$U$52</definedName>
    <definedName name="aprmlf" localSheetId="6">RCamilleri!$U$52</definedName>
    <definedName name="aprmlf" localSheetId="3">RGaldes!$U$52</definedName>
    <definedName name="aprmlf" localSheetId="13">RMallan_Albani!$U$52</definedName>
    <definedName name="aprmlf" localSheetId="18">RSreejith!$U$52</definedName>
    <definedName name="aprmlf" localSheetId="59">SPare!$U$52</definedName>
    <definedName name="aprmlf" localSheetId="35">ZMifsud!$U$52</definedName>
    <definedName name="aproth" localSheetId="34">AFalzon!$R$54</definedName>
    <definedName name="aproth" localSheetId="14">AHaneena!$R$54</definedName>
    <definedName name="aproth" localSheetId="19">AKunnamkudath!$R$54</definedName>
    <definedName name="aproth" localSheetId="7">DMifsud_Ceci!$R$54</definedName>
    <definedName name="aproth" localSheetId="33">ECurmi!$R$54</definedName>
    <definedName name="aproth" localSheetId="15">ELama!$R$54</definedName>
    <definedName name="aproth" localSheetId="5">KMizzi!$R$54</definedName>
    <definedName name="aproth" localSheetId="10">LBonnici!$R$54</definedName>
    <definedName name="aproth" localSheetId="4">LCarini!$R$54</definedName>
    <definedName name="aproth" localSheetId="16">MAcero_Garzon!$R$54</definedName>
    <definedName name="aproth" localSheetId="9">MCamilleri!$R$54</definedName>
    <definedName name="aproth" localSheetId="37">MEllul!$R$54</definedName>
    <definedName name="aproth" localSheetId="22">NScerri_Esposito!$R$54</definedName>
    <definedName name="aproth" localSheetId="24">RAcharya!$R$54</definedName>
    <definedName name="aproth" localSheetId="21">RAttard!$R$54</definedName>
    <definedName name="aproth" localSheetId="6">RCamilleri!$R$54</definedName>
    <definedName name="aproth" localSheetId="3">RGaldes!$R$54</definedName>
    <definedName name="aproth" localSheetId="13">RMallan_Albani!$R$54</definedName>
    <definedName name="aproth" localSheetId="18">RSreejith!$R$54</definedName>
    <definedName name="aproth" localSheetId="59">SPare!$R$54</definedName>
    <definedName name="aproth" localSheetId="35">ZMifsud!$R$54</definedName>
    <definedName name="aprpb" localSheetId="34">AFalzon!$X$7</definedName>
    <definedName name="aprpb" localSheetId="14">AHaneena!$X$7</definedName>
    <definedName name="aprpb" localSheetId="19">AKunnamkudath!$X$7</definedName>
    <definedName name="aprpb" localSheetId="7">DMifsud_Ceci!$X$7</definedName>
    <definedName name="aprpb" localSheetId="33">ECurmi!$X$7</definedName>
    <definedName name="aprpb" localSheetId="15">ELama!$X$7</definedName>
    <definedName name="aprpb" localSheetId="5">KMizzi!$X$7</definedName>
    <definedName name="aprpb" localSheetId="10">LBonnici!$X$7</definedName>
    <definedName name="aprpb" localSheetId="4">LCarini!$X$7</definedName>
    <definedName name="aprpb" localSheetId="16">MAcero_Garzon!$X$7</definedName>
    <definedName name="aprpb" localSheetId="9">MCamilleri!$X$7</definedName>
    <definedName name="aprpb" localSheetId="37">MEllul!$X$7</definedName>
    <definedName name="aprpb" localSheetId="22">NScerri_Esposito!$X$7</definedName>
    <definedName name="aprpb" localSheetId="24">RAcharya!$X$7</definedName>
    <definedName name="aprpb" localSheetId="21">RAttard!$X$7</definedName>
    <definedName name="aprpb" localSheetId="6">RCamilleri!$X$7</definedName>
    <definedName name="aprpb" localSheetId="3">RGaldes!$X$7</definedName>
    <definedName name="aprpb" localSheetId="13">RMallan_Albani!$X$7</definedName>
    <definedName name="aprpb" localSheetId="18">RSreejith!$X$7</definedName>
    <definedName name="aprpb" localSheetId="59">SPare!$X$7</definedName>
    <definedName name="aprpb" localSheetId="35">ZMifsud!$X$7</definedName>
    <definedName name="aprsb" localSheetId="34">AFalzon!$Y$7</definedName>
    <definedName name="aprsb" localSheetId="14">AHaneena!$Y$7</definedName>
    <definedName name="aprsb" localSheetId="19">AKunnamkudath!$Y$7</definedName>
    <definedName name="aprsb" localSheetId="7">DMifsud_Ceci!$Y$7</definedName>
    <definedName name="aprsb" localSheetId="33">ECurmi!$Y$7</definedName>
    <definedName name="aprsb" localSheetId="15">ELama!$Y$7</definedName>
    <definedName name="aprsb" localSheetId="5">KMizzi!$Y$7</definedName>
    <definedName name="aprsb" localSheetId="10">LBonnici!$Y$7</definedName>
    <definedName name="aprsb" localSheetId="4">LCarini!$Y$7</definedName>
    <definedName name="aprsb" localSheetId="16">MAcero_Garzon!$Y$7</definedName>
    <definedName name="aprsb" localSheetId="9">MCamilleri!$Y$7</definedName>
    <definedName name="aprsb" localSheetId="37">MEllul!$Y$7</definedName>
    <definedName name="aprsb" localSheetId="22">NScerri_Esposito!$Y$7</definedName>
    <definedName name="aprsb" localSheetId="24">RAcharya!$Y$7</definedName>
    <definedName name="aprsb" localSheetId="21">RAttard!$Y$7</definedName>
    <definedName name="aprsb" localSheetId="6">RCamilleri!$Y$7</definedName>
    <definedName name="aprsb" localSheetId="3">RGaldes!$Y$7</definedName>
    <definedName name="aprsb" localSheetId="13">RMallan_Albani!$Y$7</definedName>
    <definedName name="aprsb" localSheetId="18">RSreejith!$Y$7</definedName>
    <definedName name="aprsb" localSheetId="59">SPare!$Y$7</definedName>
    <definedName name="aprsb" localSheetId="35">ZMifsud!$Y$7</definedName>
    <definedName name="aprssc" localSheetId="0">'fs7'!$E$46</definedName>
    <definedName name="aprULHr" localSheetId="34">AFalzon!$R$52</definedName>
    <definedName name="aprULHr" localSheetId="14">AHaneena!$R$52</definedName>
    <definedName name="aprULHr" localSheetId="19">AKunnamkudath!$R$52</definedName>
    <definedName name="aprULHr" localSheetId="7">DMifsud_Ceci!$R$52</definedName>
    <definedName name="aprULHr" localSheetId="33">ECurmi!$R$52</definedName>
    <definedName name="aprULHr" localSheetId="15">ELama!$R$52</definedName>
    <definedName name="aprULHr" localSheetId="5">KMizzi!$R$52</definedName>
    <definedName name="aprULHr" localSheetId="10">LBonnici!$R$52</definedName>
    <definedName name="aprULHr" localSheetId="4">LCarini!$R$52</definedName>
    <definedName name="aprULHr" localSheetId="16">MAcero_Garzon!$R$52</definedName>
    <definedName name="aprULHr" localSheetId="9">MCamilleri!$R$52</definedName>
    <definedName name="aprULHr" localSheetId="37">MEllul!$R$52</definedName>
    <definedName name="aprULHr" localSheetId="22">NScerri_Esposito!$R$52</definedName>
    <definedName name="aprULHr" localSheetId="24">RAcharya!$R$52</definedName>
    <definedName name="aprULHr" localSheetId="21">RAttard!$R$52</definedName>
    <definedName name="aprULHr" localSheetId="6">RCamilleri!$R$52</definedName>
    <definedName name="aprULHr" localSheetId="3">RGaldes!$R$52</definedName>
    <definedName name="aprULHr" localSheetId="13">RMallan_Albani!$R$52</definedName>
    <definedName name="aprULHr" localSheetId="18">RSreejith!$R$52</definedName>
    <definedName name="aprULHr" localSheetId="59">SPare!$R$52</definedName>
    <definedName name="aprULHr" localSheetId="35">ZMifsud!$R$52</definedName>
    <definedName name="Aug_PAY" localSheetId="34">AFalzon!$N$89:$Y$98</definedName>
    <definedName name="Aug_PAY" localSheetId="14">AHaneena!$N$89:$Y$98</definedName>
    <definedName name="Aug_PAY" localSheetId="19">AKunnamkudath!$N$89:$Y$98</definedName>
    <definedName name="Aug_PAY" localSheetId="7">DMifsud_Ceci!$N$89:$Y$98</definedName>
    <definedName name="Aug_PAY" localSheetId="33">ECurmi!$N$89:$Y$98</definedName>
    <definedName name="Aug_PAY" localSheetId="15">ELama!$N$89:$Y$98</definedName>
    <definedName name="Aug_PAY" localSheetId="5">KMizzi!$N$89:$Y$98</definedName>
    <definedName name="Aug_PAY" localSheetId="10">LBonnici!$N$89:$Y$98</definedName>
    <definedName name="Aug_PAY" localSheetId="4">LCarini!$N$89:$Y$98</definedName>
    <definedName name="Aug_PAY" localSheetId="16">MAcero_Garzon!$N$89:$Y$98</definedName>
    <definedName name="Aug_PAY" localSheetId="9">MCamilleri!$N$89:$Y$98</definedName>
    <definedName name="Aug_PAY" localSheetId="37">MEllul!$N$89:$Y$98</definedName>
    <definedName name="Aug_PAY" localSheetId="22">NScerri_Esposito!$N$89:$Y$98</definedName>
    <definedName name="Aug_PAY" localSheetId="24">RAcharya!$N$89:$Y$98</definedName>
    <definedName name="Aug_PAY" localSheetId="21">RAttard!$N$89:$Y$98</definedName>
    <definedName name="Aug_PAY" localSheetId="6">RCamilleri!$N$89:$Y$98</definedName>
    <definedName name="Aug_PAY" localSheetId="3">RGaldes!$N$89:$Y$98</definedName>
    <definedName name="Aug_PAY" localSheetId="13">RMallan_Albani!$N$89:$Y$98</definedName>
    <definedName name="Aug_PAY" localSheetId="18">RSreejith!$N$89:$Y$98</definedName>
    <definedName name="Aug_PAY" localSheetId="59">SPare!$N$89:$Y$98</definedName>
    <definedName name="Aug_PAY" localSheetId="35">ZMifsud!$N$89:$Y$98</definedName>
    <definedName name="augeeSocSec" localSheetId="34">AFalzon!$V$91</definedName>
    <definedName name="augeeSocSec" localSheetId="14">AHaneena!$V$91</definedName>
    <definedName name="augeeSocSec" localSheetId="19">AKunnamkudath!$V$91</definedName>
    <definedName name="augeeSocSec" localSheetId="7">DMifsud_Ceci!$V$91</definedName>
    <definedName name="augeeSocSec" localSheetId="33">ECurmi!$V$91</definedName>
    <definedName name="augeeSocSec" localSheetId="15">ELama!$V$91</definedName>
    <definedName name="augeeSocSec" localSheetId="5">KMizzi!$V$91</definedName>
    <definedName name="augeeSocSec" localSheetId="10">LBonnici!$V$91</definedName>
    <definedName name="augeeSocSec" localSheetId="4">LCarini!$V$91</definedName>
    <definedName name="augeeSocSec" localSheetId="16">MAcero_Garzon!$V$91</definedName>
    <definedName name="augeeSocSec" localSheetId="9">MCamilleri!$V$91</definedName>
    <definedName name="augeeSocSec" localSheetId="37">MEllul!$V$91</definedName>
    <definedName name="augeeSocSec" localSheetId="22">NScerri_Esposito!$V$91</definedName>
    <definedName name="augeeSocSec" localSheetId="24">RAcharya!$V$91</definedName>
    <definedName name="augeeSocSec" localSheetId="21">RAttard!$V$91</definedName>
    <definedName name="augeeSocSec" localSheetId="6">RCamilleri!$V$91</definedName>
    <definedName name="augeeSocSec" localSheetId="3">RGaldes!$V$91</definedName>
    <definedName name="augeeSocSec" localSheetId="13">RMallan_Albani!$V$91</definedName>
    <definedName name="augeeSocSec" localSheetId="18">RSreejith!$V$91</definedName>
    <definedName name="augeeSocSec" localSheetId="59">SPare!$V$91</definedName>
    <definedName name="augeeSocSec" localSheetId="35">ZMifsud!$V$91</definedName>
    <definedName name="AugERSocSec" localSheetId="34">AFalzon!$U$91</definedName>
    <definedName name="AugERSocSec" localSheetId="14">AHaneena!$U$91</definedName>
    <definedName name="AugERSocSec" localSheetId="19">AKunnamkudath!$U$91</definedName>
    <definedName name="AugERSocSec" localSheetId="7">DMifsud_Ceci!$U$91</definedName>
    <definedName name="AugERSocSec" localSheetId="33">ECurmi!$U$91</definedName>
    <definedName name="AugERSocSec" localSheetId="15">ELama!$U$91</definedName>
    <definedName name="AugERSocSec" localSheetId="5">KMizzi!$U$91</definedName>
    <definedName name="AugERSocSec" localSheetId="10">LBonnici!$U$91</definedName>
    <definedName name="AugERSocSec" localSheetId="4">LCarini!$U$91</definedName>
    <definedName name="AugERSocSec" localSheetId="16">MAcero_Garzon!$U$91</definedName>
    <definedName name="AugERSocSec" localSheetId="9">MCamilleri!$U$91</definedName>
    <definedName name="AugERSocSec" localSheetId="37">MEllul!$U$91</definedName>
    <definedName name="AugERSocSec" localSheetId="22">NScerri_Esposito!$U$91</definedName>
    <definedName name="AugERSocSec" localSheetId="24">RAcharya!$U$91</definedName>
    <definedName name="AugERSocSec" localSheetId="21">RAttard!$U$91</definedName>
    <definedName name="AugERSocSec" localSheetId="6">RCamilleri!$U$91</definedName>
    <definedName name="AugERSocSec" localSheetId="3">RGaldes!$U$91</definedName>
    <definedName name="AugERSocSec" localSheetId="13">RMallan_Albani!$U$91</definedName>
    <definedName name="AugERSocSec" localSheetId="18">RSreejith!$U$91</definedName>
    <definedName name="AugERSocSec" localSheetId="59">SPare!$U$91</definedName>
    <definedName name="AugERSocSec" localSheetId="35">ZMifsud!$U$91</definedName>
    <definedName name="augeuhrs" localSheetId="34">AFalzon!$R$91</definedName>
    <definedName name="augeuhrs" localSheetId="14">AHaneena!$R$91</definedName>
    <definedName name="augeuhrs" localSheetId="19">AKunnamkudath!$R$91</definedName>
    <definedName name="augeuhrs" localSheetId="7">DMifsud_Ceci!$R$91</definedName>
    <definedName name="augeuhrs" localSheetId="33">ECurmi!$R$91</definedName>
    <definedName name="augeuhrs" localSheetId="15">ELama!$R$91</definedName>
    <definedName name="augeuhrs" localSheetId="5">KMizzi!$R$91</definedName>
    <definedName name="augeuhrs" localSheetId="10">LBonnici!$R$91</definedName>
    <definedName name="augeuhrs" localSheetId="4">LCarini!$R$91</definedName>
    <definedName name="augeuhrs" localSheetId="16">MAcero_Garzon!$R$91</definedName>
    <definedName name="augeuhrs" localSheetId="9">MCamilleri!$R$91</definedName>
    <definedName name="augeuhrs" localSheetId="37">MEllul!$R$91</definedName>
    <definedName name="augeuhrs" localSheetId="22">NScerri_Esposito!$R$91</definedName>
    <definedName name="augeuhrs" localSheetId="24">RAcharya!$R$91</definedName>
    <definedName name="augeuhrs" localSheetId="21">RAttard!$R$91</definedName>
    <definedName name="augeuhrs" localSheetId="6">RCamilleri!$R$91</definedName>
    <definedName name="augeuhrs" localSheetId="3">RGaldes!$R$91</definedName>
    <definedName name="augeuhrs" localSheetId="13">RMallan_Albani!$R$91</definedName>
    <definedName name="augeuhrs" localSheetId="18">RSreejith!$R$91</definedName>
    <definedName name="augeuhrs" localSheetId="59">SPare!$R$91</definedName>
    <definedName name="augeuhrs" localSheetId="35">ZMifsud!$R$91</definedName>
    <definedName name="augfsstax" localSheetId="0">'fs7'!$K$44</definedName>
    <definedName name="auggrs" localSheetId="34">AFalzon!$S$89:$S$93</definedName>
    <definedName name="auggrs" localSheetId="14">AHaneena!$S$89:$S$93</definedName>
    <definedName name="auggrs" localSheetId="19">AKunnamkudath!$S$89:$S$93</definedName>
    <definedName name="auggrs" localSheetId="7">DMifsud_Ceci!$S$89:$S$93</definedName>
    <definedName name="auggrs" localSheetId="33">ECurmi!$S$89:$S$93</definedName>
    <definedName name="auggrs" localSheetId="15">ELama!$S$89:$S$93</definedName>
    <definedName name="auggrs" localSheetId="5">KMizzi!$S$89:$S$93</definedName>
    <definedName name="auggrs" localSheetId="10">LBonnici!$S$89:$S$93</definedName>
    <definedName name="auggrs" localSheetId="4">LCarini!$S$89:$S$93</definedName>
    <definedName name="auggrs" localSheetId="16">MAcero_Garzon!$S$89:$S$93</definedName>
    <definedName name="auggrs" localSheetId="9">MCamilleri!$S$89:$S$93</definedName>
    <definedName name="auggrs" localSheetId="37">MEllul!$S$89:$S$93</definedName>
    <definedName name="auggrs" localSheetId="22">NScerri_Esposito!$S$89:$S$93</definedName>
    <definedName name="auggrs" localSheetId="24">RAcharya!$S$89:$S$93</definedName>
    <definedName name="auggrs" localSheetId="21">RAttard!$S$89:$S$93</definedName>
    <definedName name="auggrs" localSheetId="6">RCamilleri!$S$89:$S$93</definedName>
    <definedName name="auggrs" localSheetId="3">RGaldes!$S$89:$S$93</definedName>
    <definedName name="auggrs" localSheetId="13">RMallan_Albani!$S$89:$S$93</definedName>
    <definedName name="auggrs" localSheetId="18">RSreejith!$S$89:$S$93</definedName>
    <definedName name="auggrs" localSheetId="59">SPare!$S$89:$S$93</definedName>
    <definedName name="auggrs" localSheetId="35">ZMifsud!$S$89:$S$93</definedName>
    <definedName name="aughrrt" localSheetId="34">AFalzon!$R$11</definedName>
    <definedName name="aughrrt" localSheetId="14">AHaneena!$R$11</definedName>
    <definedName name="aughrrt" localSheetId="19">AKunnamkudath!$R$11</definedName>
    <definedName name="aughrrt" localSheetId="7">DMifsud_Ceci!$R$11</definedName>
    <definedName name="aughrrt" localSheetId="33">ECurmi!$R$11</definedName>
    <definedName name="aughrrt" localSheetId="15">ELama!$R$11</definedName>
    <definedName name="aughrrt" localSheetId="5">KMizzi!$R$11</definedName>
    <definedName name="aughrrt" localSheetId="10">LBonnici!$R$11</definedName>
    <definedName name="aughrrt" localSheetId="4">LCarini!$R$11</definedName>
    <definedName name="aughrrt" localSheetId="16">MAcero_Garzon!$R$11</definedName>
    <definedName name="aughrrt" localSheetId="9">MCamilleri!$R$11</definedName>
    <definedName name="aughrrt" localSheetId="37">MEllul!$R$11</definedName>
    <definedName name="aughrrt" localSheetId="22">NScerri_Esposito!$R$11</definedName>
    <definedName name="aughrrt" localSheetId="24">RAcharya!$R$11</definedName>
    <definedName name="aughrrt" localSheetId="21">RAttard!$R$11</definedName>
    <definedName name="aughrrt" localSheetId="6">RCamilleri!$R$11</definedName>
    <definedName name="aughrrt" localSheetId="3">RGaldes!$R$11</definedName>
    <definedName name="aughrrt" localSheetId="13">RMallan_Albani!$R$11</definedName>
    <definedName name="aughrrt" localSheetId="18">RSreejith!$R$11</definedName>
    <definedName name="aughrrt" localSheetId="59">SPare!$R$11</definedName>
    <definedName name="aughrrt" localSheetId="35">ZMifsud!$R$11</definedName>
    <definedName name="augmlf" localSheetId="34">AFalzon!$U$92</definedName>
    <definedName name="augmlf" localSheetId="14">AHaneena!$U$92</definedName>
    <definedName name="augmlf" localSheetId="19">AKunnamkudath!$U$92</definedName>
    <definedName name="augmlf" localSheetId="7">DMifsud_Ceci!$U$92</definedName>
    <definedName name="augmlf" localSheetId="33">ECurmi!$U$92</definedName>
    <definedName name="augmlf" localSheetId="15">ELama!$U$92</definedName>
    <definedName name="augmlf" localSheetId="0">'fs7'!$M$44</definedName>
    <definedName name="augmlf" localSheetId="5">KMizzi!$U$92</definedName>
    <definedName name="augmlf" localSheetId="10">LBonnici!$U$92</definedName>
    <definedName name="augmlf" localSheetId="4">LCarini!$U$92</definedName>
    <definedName name="augmlf" localSheetId="16">MAcero_Garzon!$U$92</definedName>
    <definedName name="augmlf" localSheetId="9">MCamilleri!$U$92</definedName>
    <definedName name="augmlf" localSheetId="37">MEllul!$U$92</definedName>
    <definedName name="augmlf" localSheetId="22">NScerri_Esposito!$U$92</definedName>
    <definedName name="augmlf" localSheetId="24">RAcharya!$U$92</definedName>
    <definedName name="augmlf" localSheetId="21">RAttard!$U$92</definedName>
    <definedName name="augmlf" localSheetId="6">RCamilleri!$U$92</definedName>
    <definedName name="augmlf" localSheetId="3">RGaldes!$U$92</definedName>
    <definedName name="augmlf" localSheetId="13">RMallan_Albani!$U$92</definedName>
    <definedName name="augmlf" localSheetId="18">RSreejith!$U$92</definedName>
    <definedName name="augmlf" localSheetId="59">SPare!$U$92</definedName>
    <definedName name="augmlf" localSheetId="35">ZMifsud!$U$92</definedName>
    <definedName name="augoth" localSheetId="34">AFalzon!$R$94</definedName>
    <definedName name="augoth" localSheetId="14">AHaneena!$R$94</definedName>
    <definedName name="augoth" localSheetId="19">AKunnamkudath!$R$94</definedName>
    <definedName name="augoth" localSheetId="7">DMifsud_Ceci!$R$94</definedName>
    <definedName name="augoth" localSheetId="33">ECurmi!$R$94</definedName>
    <definedName name="augoth" localSheetId="15">ELama!$R$94</definedName>
    <definedName name="augoth" localSheetId="5">KMizzi!$R$94</definedName>
    <definedName name="augoth" localSheetId="10">LBonnici!$R$94</definedName>
    <definedName name="augoth" localSheetId="4">LCarini!$R$94</definedName>
    <definedName name="augoth" localSheetId="16">MAcero_Garzon!$R$94</definedName>
    <definedName name="augoth" localSheetId="9">MCamilleri!$R$94</definedName>
    <definedName name="augoth" localSheetId="37">MEllul!$R$94</definedName>
    <definedName name="augoth" localSheetId="22">NScerri_Esposito!$R$94</definedName>
    <definedName name="augoth" localSheetId="24">RAcharya!$R$94</definedName>
    <definedName name="augoth" localSheetId="21">RAttard!$R$94</definedName>
    <definedName name="augoth" localSheetId="6">RCamilleri!$R$94</definedName>
    <definedName name="augoth" localSheetId="3">RGaldes!$R$94</definedName>
    <definedName name="augoth" localSheetId="13">RMallan_Albani!$R$94</definedName>
    <definedName name="augoth" localSheetId="18">RSreejith!$R$94</definedName>
    <definedName name="augoth" localSheetId="59">SPare!$R$94</definedName>
    <definedName name="augoth" localSheetId="35">ZMifsud!$R$94</definedName>
    <definedName name="augpb" localSheetId="34">AFalzon!$X$11</definedName>
    <definedName name="augpb" localSheetId="14">AHaneena!$X$11</definedName>
    <definedName name="augpb" localSheetId="19">AKunnamkudath!$X$11</definedName>
    <definedName name="augpb" localSheetId="7">DMifsud_Ceci!$X$11</definedName>
    <definedName name="augpb" localSheetId="33">ECurmi!$X$11</definedName>
    <definedName name="augpb" localSheetId="15">ELama!$X$11</definedName>
    <definedName name="augpb" localSheetId="5">KMizzi!$X$11</definedName>
    <definedName name="augpb" localSheetId="10">LBonnici!$X$11</definedName>
    <definedName name="augpb" localSheetId="4">LCarini!$X$11</definedName>
    <definedName name="augpb" localSheetId="16">MAcero_Garzon!$X$11</definedName>
    <definedName name="augpb" localSheetId="9">MCamilleri!$X$11</definedName>
    <definedName name="augpb" localSheetId="37">MEllul!$X$11</definedName>
    <definedName name="augpb" localSheetId="22">NScerri_Esposito!$X$11</definedName>
    <definedName name="augpb" localSheetId="24">RAcharya!$X$11</definedName>
    <definedName name="augpb" localSheetId="21">RAttard!$X$11</definedName>
    <definedName name="augpb" localSheetId="6">RCamilleri!$X$11</definedName>
    <definedName name="augpb" localSheetId="3">RGaldes!$X$11</definedName>
    <definedName name="augpb" localSheetId="13">RMallan_Albani!$X$11</definedName>
    <definedName name="augpb" localSheetId="18">RSreejith!$X$11</definedName>
    <definedName name="augpb" localSheetId="59">SPare!$X$11</definedName>
    <definedName name="augpb" localSheetId="35">ZMifsud!$X$11</definedName>
    <definedName name="augsb" localSheetId="34">AFalzon!$Y$11</definedName>
    <definedName name="augsb" localSheetId="14">AHaneena!$Y$11</definedName>
    <definedName name="augsb" localSheetId="19">AKunnamkudath!$Y$11</definedName>
    <definedName name="augsb" localSheetId="7">DMifsud_Ceci!$Y$11</definedName>
    <definedName name="augsb" localSheetId="33">ECurmi!$Y$11</definedName>
    <definedName name="augsb" localSheetId="15">ELama!$Y$11</definedName>
    <definedName name="augsb" localSheetId="5">KMizzi!$Y$11</definedName>
    <definedName name="augsb" localSheetId="10">LBonnici!$Y$11</definedName>
    <definedName name="augsb" localSheetId="4">LCarini!$Y$11</definedName>
    <definedName name="augsb" localSheetId="16">MAcero_Garzon!$Y$11</definedName>
    <definedName name="augsb" localSheetId="9">MCamilleri!$Y$11</definedName>
    <definedName name="augsb" localSheetId="37">MEllul!$Y$11</definedName>
    <definedName name="augsb" localSheetId="22">NScerri_Esposito!$Y$11</definedName>
    <definedName name="augsb" localSheetId="24">RAcharya!$Y$11</definedName>
    <definedName name="augsb" localSheetId="21">RAttard!$Y$11</definedName>
    <definedName name="augsb" localSheetId="6">RCamilleri!$Y$11</definedName>
    <definedName name="augsb" localSheetId="3">RGaldes!$Y$11</definedName>
    <definedName name="augsb" localSheetId="13">RMallan_Albani!$Y$11</definedName>
    <definedName name="augsb" localSheetId="18">RSreejith!$Y$11</definedName>
    <definedName name="augsb" localSheetId="59">SPare!$Y$11</definedName>
    <definedName name="augsb" localSheetId="35">ZMifsud!$Y$11</definedName>
    <definedName name="augULHr" localSheetId="34">AFalzon!$R$92</definedName>
    <definedName name="augULHr" localSheetId="14">AHaneena!$R$92</definedName>
    <definedName name="augULHr" localSheetId="19">AKunnamkudath!$R$92</definedName>
    <definedName name="augULHr" localSheetId="7">DMifsud_Ceci!$R$92</definedName>
    <definedName name="augULHr" localSheetId="33">ECurmi!$R$92</definedName>
    <definedName name="augULHr" localSheetId="15">ELama!$R$92</definedName>
    <definedName name="augULHr" localSheetId="5">KMizzi!$R$92</definedName>
    <definedName name="augULHr" localSheetId="10">LBonnici!$R$92</definedName>
    <definedName name="augULHr" localSheetId="4">LCarini!$R$92</definedName>
    <definedName name="augULHr" localSheetId="16">MAcero_Garzon!$R$92</definedName>
    <definedName name="augULHr" localSheetId="9">MCamilleri!$R$92</definedName>
    <definedName name="augULHr" localSheetId="37">MEllul!$R$92</definedName>
    <definedName name="augULHr" localSheetId="22">NScerri_Esposito!$R$92</definedName>
    <definedName name="augULHr" localSheetId="24">RAcharya!$R$92</definedName>
    <definedName name="augULHr" localSheetId="21">RAttard!$R$92</definedName>
    <definedName name="augULHr" localSheetId="6">RCamilleri!$R$92</definedName>
    <definedName name="augULHr" localSheetId="3">RGaldes!$R$92</definedName>
    <definedName name="augULHr" localSheetId="13">RMallan_Albani!$R$92</definedName>
    <definedName name="augULHr" localSheetId="18">RSreejith!$R$92</definedName>
    <definedName name="augULHr" localSheetId="59">SPare!$R$92</definedName>
    <definedName name="augULHr" localSheetId="35">ZMifsud!$R$92</definedName>
    <definedName name="Basic_Wage" localSheetId="34">AFalzon!$S$4:$S$15</definedName>
    <definedName name="Basic_Wage" localSheetId="14">AHaneena!$S$4:$S$15</definedName>
    <definedName name="Basic_Wage" localSheetId="19">AKunnamkudath!$S$4:$S$15</definedName>
    <definedName name="Basic_Wage" localSheetId="7">DMifsud_Ceci!$S$4:$S$15</definedName>
    <definedName name="Basic_Wage" localSheetId="33">ECurmi!$S$4:$S$15</definedName>
    <definedName name="Basic_Wage" localSheetId="15">ELama!$S$4:$S$15</definedName>
    <definedName name="Basic_Wage" localSheetId="5">KMizzi!$S$4:$S$15</definedName>
    <definedName name="Basic_Wage" localSheetId="10">LBonnici!$S$4:$S$15</definedName>
    <definedName name="Basic_Wage" localSheetId="4">LCarini!$S$4:$S$15</definedName>
    <definedName name="Basic_Wage" localSheetId="16">MAcero_Garzon!$S$4:$S$15</definedName>
    <definedName name="Basic_Wage" localSheetId="9">MCamilleri!$S$4:$S$15</definedName>
    <definedName name="Basic_Wage" localSheetId="37">MEllul!$S$4:$S$15</definedName>
    <definedName name="Basic_Wage" localSheetId="22">NScerri_Esposito!$S$4:$S$15</definedName>
    <definedName name="Basic_Wage" localSheetId="24">RAcharya!$S$4:$S$15</definedName>
    <definedName name="Basic_Wage" localSheetId="21">RAttard!$S$4:$S$15</definedName>
    <definedName name="Basic_Wage" localSheetId="6">RCamilleri!$S$4:$S$15</definedName>
    <definedName name="Basic_Wage" localSheetId="3">RGaldes!$S$4:$S$15</definedName>
    <definedName name="Basic_Wage" localSheetId="13">RMallan_Albani!$S$4:$S$15</definedName>
    <definedName name="Basic_Wage" localSheetId="18">RSreejith!$S$4:$S$15</definedName>
    <definedName name="Basic_Wage" localSheetId="59">SPare!$S$4:$S$15</definedName>
    <definedName name="Basic_Wage" localSheetId="35">ZMifsud!$S$4:$S$15</definedName>
    <definedName name="bonusdec" localSheetId="45">DATA!$H$26</definedName>
    <definedName name="bonusdec" localSheetId="57">DATA!$H$26</definedName>
    <definedName name="bonusdec" localSheetId="0">DATA!$H$26</definedName>
    <definedName name="bonusdec" localSheetId="44">DATA!$H$26</definedName>
    <definedName name="bonusdec" localSheetId="46">DATA!$H$26</definedName>
    <definedName name="bonusdec" localSheetId="58">DATA!$H$26</definedName>
    <definedName name="bonusdec">DATA!$H$35</definedName>
    <definedName name="BONUSJUN" localSheetId="45">DATA!$F$26</definedName>
    <definedName name="BONUSJUN" localSheetId="57">DATA!$F$26</definedName>
    <definedName name="BONUSJUN" localSheetId="0">DATA!$F$26</definedName>
    <definedName name="BONUSJUN" localSheetId="44">DATA!$F$26</definedName>
    <definedName name="BONUSJUN" localSheetId="46">DATA!$F$26</definedName>
    <definedName name="BONUSJUN" localSheetId="58">DATA!$F$26</definedName>
    <definedName name="BONUSJUN">DATA!$F$35</definedName>
    <definedName name="bonusmar" localSheetId="45">DATA!$F$27</definedName>
    <definedName name="bonusmar" localSheetId="57">DATA!$F$27</definedName>
    <definedName name="bonusmar" localSheetId="0">DATA!$F$27</definedName>
    <definedName name="bonusmar" localSheetId="44">DATA!$F$27</definedName>
    <definedName name="bonusmar" localSheetId="46">DATA!$F$27</definedName>
    <definedName name="bonusmar" localSheetId="58">DATA!$F$27</definedName>
    <definedName name="bonusmar">DATA!$F$36</definedName>
    <definedName name="bonussep" localSheetId="45">DATA!$H$27</definedName>
    <definedName name="bonussep" localSheetId="57">DATA!$H$27</definedName>
    <definedName name="bonussep" localSheetId="0">DATA!$H$27</definedName>
    <definedName name="bonussep" localSheetId="44">DATA!$H$27</definedName>
    <definedName name="bonussep" localSheetId="46">DATA!$H$27</definedName>
    <definedName name="bonussep" localSheetId="58">DATA!$H$27</definedName>
    <definedName name="bonussep">DATA!$H$36</definedName>
    <definedName name="Clinic_add" localSheetId="40">DATA!$M$29</definedName>
    <definedName name="Clinic_add">DATA!$M$29</definedName>
    <definedName name="COLA">DATA!$B$37</definedName>
    <definedName name="DEC_PAY" localSheetId="34">AFalzon!$N$129:$Y$138</definedName>
    <definedName name="DEC_PAY" localSheetId="14">AHaneena!$N$129:$Y$138</definedName>
    <definedName name="DEC_PAY" localSheetId="19">AKunnamkudath!$N$129:$Y$138</definedName>
    <definedName name="DEC_PAY" localSheetId="7">DMifsud_Ceci!$N$129:$Y$138</definedName>
    <definedName name="DEC_PAY" localSheetId="33">ECurmi!$N$129:$Y$138</definedName>
    <definedName name="DEC_PAY" localSheetId="15">ELama!$N$129:$Y$138</definedName>
    <definedName name="DEC_PAY" localSheetId="5">KMizzi!$N$129:$Y$138</definedName>
    <definedName name="DEC_PAY" localSheetId="10">LBonnici!$N$129:$Y$138</definedName>
    <definedName name="DEC_PAY" localSheetId="4">LCarini!$N$129:$Y$138</definedName>
    <definedName name="DEC_PAY" localSheetId="16">MAcero_Garzon!$N$129:$Y$138</definedName>
    <definedName name="DEC_PAY" localSheetId="9">MCamilleri!$N$129:$Y$138</definedName>
    <definedName name="DEC_PAY" localSheetId="37">MEllul!$N$129:$Y$138</definedName>
    <definedName name="DEC_PAY" localSheetId="22">NScerri_Esposito!$N$129:$Y$138</definedName>
    <definedName name="DEC_PAY" localSheetId="24">RAcharya!$N$129:$Y$138</definedName>
    <definedName name="DEC_PAY" localSheetId="21">RAttard!$N$129:$Y$138</definedName>
    <definedName name="DEC_PAY" localSheetId="6">RCamilleri!$N$129:$Y$138</definedName>
    <definedName name="DEC_PAY" localSheetId="3">RGaldes!$N$129:$Y$138</definedName>
    <definedName name="DEC_PAY" localSheetId="13">RMallan_Albani!$N$129:$Y$138</definedName>
    <definedName name="DEC_PAY" localSheetId="18">RSreejith!$N$129:$Y$138</definedName>
    <definedName name="DEC_PAY" localSheetId="59">SPare!$N$129:$Y$138</definedName>
    <definedName name="DEC_PAY" localSheetId="35">ZMifsud!$N$129:$Y$138</definedName>
    <definedName name="deceesocsec" localSheetId="34">AFalzon!$V$131</definedName>
    <definedName name="deceesocsec" localSheetId="14">AHaneena!$V$131</definedName>
    <definedName name="deceesocsec" localSheetId="19">AKunnamkudath!$V$131</definedName>
    <definedName name="deceesocsec" localSheetId="7">DMifsud_Ceci!$V$131</definedName>
    <definedName name="deceesocsec" localSheetId="33">ECurmi!$V$131</definedName>
    <definedName name="deceesocsec" localSheetId="15">ELama!$V$131</definedName>
    <definedName name="deceesocsec" localSheetId="5">KMizzi!$V$131</definedName>
    <definedName name="deceesocsec" localSheetId="10">LBonnici!$V$131</definedName>
    <definedName name="deceesocsec" localSheetId="4">LCarini!$V$131</definedName>
    <definedName name="deceesocsec" localSheetId="16">MAcero_Garzon!$V$131</definedName>
    <definedName name="deceesocsec" localSheetId="9">MCamilleri!$V$131</definedName>
    <definedName name="deceesocsec" localSheetId="37">MEllul!$V$131</definedName>
    <definedName name="deceesocsec" localSheetId="22">NScerri_Esposito!$V$131</definedName>
    <definedName name="deceesocsec" localSheetId="24">RAcharya!$V$131</definedName>
    <definedName name="deceesocsec" localSheetId="21">RAttard!$V$131</definedName>
    <definedName name="deceesocsec" localSheetId="6">RCamilleri!$V$131</definedName>
    <definedName name="deceesocsec" localSheetId="3">RGaldes!$V$131</definedName>
    <definedName name="deceesocsec" localSheetId="13">RMallan_Albani!$V$131</definedName>
    <definedName name="deceesocsec" localSheetId="18">RSreejith!$V$131</definedName>
    <definedName name="deceesocsec" localSheetId="59">SPare!$V$131</definedName>
    <definedName name="deceesocsec" localSheetId="35">ZMifsud!$V$131</definedName>
    <definedName name="deceuhrs" localSheetId="34">AFalzon!$R$131</definedName>
    <definedName name="deceuhrs" localSheetId="14">AHaneena!$R$131</definedName>
    <definedName name="deceuhrs" localSheetId="19">AKunnamkudath!$R$131</definedName>
    <definedName name="deceuhrs" localSheetId="7">DMifsud_Ceci!$R$131</definedName>
    <definedName name="deceuhrs" localSheetId="33">ECurmi!$R$131</definedName>
    <definedName name="deceuhrs" localSheetId="15">ELama!$R$131</definedName>
    <definedName name="deceuhrs" localSheetId="5">KMizzi!$R$131</definedName>
    <definedName name="deceuhrs" localSheetId="10">LBonnici!$R$131</definedName>
    <definedName name="deceuhrs" localSheetId="4">LCarini!$R$131</definedName>
    <definedName name="deceuhrs" localSheetId="16">MAcero_Garzon!$R$131</definedName>
    <definedName name="deceuhrs" localSheetId="9">MCamilleri!$R$131</definedName>
    <definedName name="deceuhrs" localSheetId="37">MEllul!$R$131</definedName>
    <definedName name="deceuhrs" localSheetId="22">NScerri_Esposito!$R$131</definedName>
    <definedName name="deceuhrs" localSheetId="24">RAcharya!$R$131</definedName>
    <definedName name="deceuhrs" localSheetId="21">RAttard!$R$131</definedName>
    <definedName name="deceuhrs" localSheetId="6">RCamilleri!$R$131</definedName>
    <definedName name="deceuhrs" localSheetId="3">RGaldes!$R$131</definedName>
    <definedName name="deceuhrs" localSheetId="13">RMallan_Albani!$R$131</definedName>
    <definedName name="deceuhrs" localSheetId="18">RSreejith!$R$131</definedName>
    <definedName name="deceuhrs" localSheetId="59">SPare!$R$131</definedName>
    <definedName name="deceuhrs" localSheetId="35">ZMifsud!$R$131</definedName>
    <definedName name="decfsstax" localSheetId="0">'fs7'!$K$48</definedName>
    <definedName name="decgrs" localSheetId="34">AFalzon!$S$129:$S$133</definedName>
    <definedName name="decgrs" localSheetId="14">AHaneena!$S$129:$S$133</definedName>
    <definedName name="decgrs" localSheetId="19">AKunnamkudath!$S$129:$S$133</definedName>
    <definedName name="decgrs" localSheetId="7">DMifsud_Ceci!$S$129:$S$133</definedName>
    <definedName name="decgrs" localSheetId="33">ECurmi!$S$129:$S$133</definedName>
    <definedName name="decgrs" localSheetId="15">ELama!$S$129:$S$133</definedName>
    <definedName name="decgrs" localSheetId="5">KMizzi!$S$129:$S$133</definedName>
    <definedName name="decgrs" localSheetId="10">LBonnici!$S$129:$S$133</definedName>
    <definedName name="decgrs" localSheetId="4">LCarini!$S$129:$S$133</definedName>
    <definedName name="decgrs" localSheetId="16">MAcero_Garzon!$S$129:$S$133</definedName>
    <definedName name="decgrs" localSheetId="9">MCamilleri!$S$129:$S$133</definedName>
    <definedName name="decgrs" localSheetId="37">MEllul!$S$129:$S$133</definedName>
    <definedName name="decgrs" localSheetId="22">NScerri_Esposito!$S$129:$S$133</definedName>
    <definedName name="decgrs" localSheetId="24">RAcharya!$S$129:$S$133</definedName>
    <definedName name="decgrs" localSheetId="21">RAttard!$S$129:$S$133</definedName>
    <definedName name="decgrs" localSheetId="6">RCamilleri!$S$129:$S$133</definedName>
    <definedName name="decgrs" localSheetId="3">RGaldes!$S$129:$S$133</definedName>
    <definedName name="decgrs" localSheetId="13">RMallan_Albani!$S$129:$S$133</definedName>
    <definedName name="decgrs" localSheetId="18">RSreejith!$S$129:$S$133</definedName>
    <definedName name="decgrs" localSheetId="59">SPare!$S$129:$S$133</definedName>
    <definedName name="decgrs" localSheetId="35">ZMifsud!$S$129:$S$133</definedName>
    <definedName name="dechrrt" localSheetId="34">AFalzon!$R$15</definedName>
    <definedName name="dechrrt" localSheetId="14">AHaneena!$R$15</definedName>
    <definedName name="dechrrt" localSheetId="19">AKunnamkudath!$R$15</definedName>
    <definedName name="dechrrt" localSheetId="7">DMifsud_Ceci!$R$15</definedName>
    <definedName name="dechrrt" localSheetId="33">ECurmi!$R$15</definedName>
    <definedName name="dechrrt" localSheetId="15">ELama!$R$15</definedName>
    <definedName name="dechrrt" localSheetId="5">KMizzi!$R$15</definedName>
    <definedName name="dechrrt" localSheetId="10">LBonnici!$R$15</definedName>
    <definedName name="dechrrt" localSheetId="4">LCarini!$R$15</definedName>
    <definedName name="dechrrt" localSheetId="16">MAcero_Garzon!$R$15</definedName>
    <definedName name="dechrrt" localSheetId="9">MCamilleri!$R$15</definedName>
    <definedName name="dechrrt" localSheetId="37">MEllul!$R$15</definedName>
    <definedName name="dechrrt" localSheetId="22">NScerri_Esposito!$R$15</definedName>
    <definedName name="dechrrt" localSheetId="24">RAcharya!$R$15</definedName>
    <definedName name="dechrrt" localSheetId="21">RAttard!$R$15</definedName>
    <definedName name="dechrrt" localSheetId="6">RCamilleri!$R$15</definedName>
    <definedName name="dechrrt" localSheetId="3">RGaldes!$R$15</definedName>
    <definedName name="dechrrt" localSheetId="13">RMallan_Albani!$R$15</definedName>
    <definedName name="dechrrt" localSheetId="18">RSreejith!$R$15</definedName>
    <definedName name="dechrrt" localSheetId="59">SPare!$R$15</definedName>
    <definedName name="dechrrt" localSheetId="35">ZMifsud!$R$15</definedName>
    <definedName name="decmlf" localSheetId="34">AFalzon!$U$132</definedName>
    <definedName name="decmlf" localSheetId="14">AHaneena!$U$132</definedName>
    <definedName name="decmlf" localSheetId="19">AKunnamkudath!$U$132</definedName>
    <definedName name="decmlf" localSheetId="7">DMifsud_Ceci!$U$132</definedName>
    <definedName name="decmlf" localSheetId="33">ECurmi!$U$132</definedName>
    <definedName name="decmlf" localSheetId="15">ELama!$U$132</definedName>
    <definedName name="decmlf" localSheetId="0">'fs7'!$M$48</definedName>
    <definedName name="decmlf" localSheetId="5">KMizzi!$U$132</definedName>
    <definedName name="decmlf" localSheetId="10">LBonnici!$U$132</definedName>
    <definedName name="decmlf" localSheetId="4">LCarini!$U$132</definedName>
    <definedName name="decmlf" localSheetId="16">MAcero_Garzon!$U$132</definedName>
    <definedName name="decmlf" localSheetId="9">MCamilleri!$U$132</definedName>
    <definedName name="decmlf" localSheetId="37">MEllul!$U$132</definedName>
    <definedName name="decmlf" localSheetId="22">NScerri_Esposito!$U$132</definedName>
    <definedName name="decmlf" localSheetId="24">RAcharya!$U$132</definedName>
    <definedName name="decmlf" localSheetId="21">RAttard!$U$132</definedName>
    <definedName name="decmlf" localSheetId="6">RCamilleri!$U$132</definedName>
    <definedName name="decmlf" localSheetId="3">RGaldes!$U$132</definedName>
    <definedName name="decmlf" localSheetId="13">RMallan_Albani!$U$132</definedName>
    <definedName name="decmlf" localSheetId="18">RSreejith!$U$132</definedName>
    <definedName name="decmlf" localSheetId="59">SPare!$U$132</definedName>
    <definedName name="decmlf" localSheetId="35">ZMifsud!$U$132</definedName>
    <definedName name="decoth" localSheetId="34">AFalzon!$R$134</definedName>
    <definedName name="decoth" localSheetId="14">AHaneena!$R$134</definedName>
    <definedName name="decoth" localSheetId="19">AKunnamkudath!$R$134</definedName>
    <definedName name="decoth" localSheetId="7">DMifsud_Ceci!$R$134</definedName>
    <definedName name="decoth" localSheetId="33">ECurmi!$R$134</definedName>
    <definedName name="decoth" localSheetId="15">ELama!$R$134</definedName>
    <definedName name="decoth" localSheetId="5">KMizzi!$R$134</definedName>
    <definedName name="decoth" localSheetId="10">LBonnici!$R$134</definedName>
    <definedName name="decoth" localSheetId="4">LCarini!$R$134</definedName>
    <definedName name="decoth" localSheetId="16">MAcero_Garzon!$R$134</definedName>
    <definedName name="decoth" localSheetId="9">MCamilleri!$R$134</definedName>
    <definedName name="decoth" localSheetId="37">MEllul!$R$134</definedName>
    <definedName name="decoth" localSheetId="22">NScerri_Esposito!$R$134</definedName>
    <definedName name="decoth" localSheetId="24">RAcharya!$R$134</definedName>
    <definedName name="decoth" localSheetId="21">RAttard!$R$134</definedName>
    <definedName name="decoth" localSheetId="6">RCamilleri!$R$134</definedName>
    <definedName name="decoth" localSheetId="3">RGaldes!$R$134</definedName>
    <definedName name="decoth" localSheetId="13">RMallan_Albani!$R$134</definedName>
    <definedName name="decoth" localSheetId="18">RSreejith!$R$134</definedName>
    <definedName name="decoth" localSheetId="59">SPare!$R$134</definedName>
    <definedName name="decoth" localSheetId="35">ZMifsud!$R$134</definedName>
    <definedName name="decpb" localSheetId="34">AFalzon!$X$15</definedName>
    <definedName name="decpb" localSheetId="14">AHaneena!$X$15</definedName>
    <definedName name="decpb" localSheetId="19">AKunnamkudath!$X$15</definedName>
    <definedName name="decpb" localSheetId="7">DMifsud_Ceci!$X$15</definedName>
    <definedName name="decpb" localSheetId="33">ECurmi!$X$15</definedName>
    <definedName name="decpb" localSheetId="15">ELama!$X$15</definedName>
    <definedName name="decpb" localSheetId="5">KMizzi!$X$15</definedName>
    <definedName name="decpb" localSheetId="10">LBonnici!$X$15</definedName>
    <definedName name="decpb" localSheetId="4">LCarini!$X$15</definedName>
    <definedName name="decpb" localSheetId="16">MAcero_Garzon!$X$15</definedName>
    <definedName name="decpb" localSheetId="9">MCamilleri!$X$15</definedName>
    <definedName name="decpb" localSheetId="37">MEllul!$X$15</definedName>
    <definedName name="decpb" localSheetId="22">NScerri_Esposito!$X$15</definedName>
    <definedName name="decpb" localSheetId="24">RAcharya!$X$15</definedName>
    <definedName name="decpb" localSheetId="21">RAttard!$X$15</definedName>
    <definedName name="decpb" localSheetId="6">RCamilleri!$X$15</definedName>
    <definedName name="decpb" localSheetId="3">RGaldes!$X$15</definedName>
    <definedName name="decpb" localSheetId="13">RMallan_Albani!$X$15</definedName>
    <definedName name="decpb" localSheetId="18">RSreejith!$X$15</definedName>
    <definedName name="decpb" localSheetId="59">SPare!$X$15</definedName>
    <definedName name="decpb" localSheetId="35">ZMifsud!$X$15</definedName>
    <definedName name="decsb" localSheetId="34">AFalzon!$Y$15</definedName>
    <definedName name="decsb" localSheetId="14">AHaneena!$Y$15</definedName>
    <definedName name="decsb" localSheetId="19">AKunnamkudath!$Y$15</definedName>
    <definedName name="decsb" localSheetId="7">DMifsud_Ceci!$Y$15</definedName>
    <definedName name="decsb" localSheetId="33">ECurmi!$Y$15</definedName>
    <definedName name="decsb" localSheetId="15">ELama!$Y$15</definedName>
    <definedName name="decsb" localSheetId="5">KMizzi!$Y$15</definedName>
    <definedName name="decsb" localSheetId="10">LBonnici!$Y$15</definedName>
    <definedName name="decsb" localSheetId="4">LCarini!$Y$15</definedName>
    <definedName name="decsb" localSheetId="16">MAcero_Garzon!$Y$15</definedName>
    <definedName name="decsb" localSheetId="9">MCamilleri!$Y$15</definedName>
    <definedName name="decsb" localSheetId="37">MEllul!$Y$15</definedName>
    <definedName name="decsb" localSheetId="22">NScerri_Esposito!$Y$15</definedName>
    <definedName name="decsb" localSheetId="24">RAcharya!$Y$15</definedName>
    <definedName name="decsb" localSheetId="21">RAttard!$Y$15</definedName>
    <definedName name="decsb" localSheetId="6">RCamilleri!$Y$15</definedName>
    <definedName name="decsb" localSheetId="3">RGaldes!$Y$15</definedName>
    <definedName name="decsb" localSheetId="13">RMallan_Albani!$Y$15</definedName>
    <definedName name="decsb" localSheetId="18">RSreejith!$Y$15</definedName>
    <definedName name="decsb" localSheetId="59">SPare!$Y$15</definedName>
    <definedName name="decsb" localSheetId="35">ZMifsud!$Y$15</definedName>
    <definedName name="decssc" localSheetId="0">'fs7'!$L$48</definedName>
    <definedName name="decULHr" localSheetId="34">AFalzon!$R$132</definedName>
    <definedName name="decULHr" localSheetId="14">AHaneena!$R$132</definedName>
    <definedName name="decULHr" localSheetId="19">AKunnamkudath!$R$132</definedName>
    <definedName name="decULHr" localSheetId="7">DMifsud_Ceci!$R$132</definedName>
    <definedName name="decULHr" localSheetId="33">ECurmi!$R$132</definedName>
    <definedName name="decULHr" localSheetId="15">ELama!$R$132</definedName>
    <definedName name="decULHr" localSheetId="5">KMizzi!$R$132</definedName>
    <definedName name="decULHr" localSheetId="10">LBonnici!$R$132</definedName>
    <definedName name="decULHr" localSheetId="4">LCarini!$R$132</definedName>
    <definedName name="decULHr" localSheetId="16">MAcero_Garzon!$R$132</definedName>
    <definedName name="decULHr" localSheetId="9">MCamilleri!$R$132</definedName>
    <definedName name="decULHr" localSheetId="37">MEllul!$R$132</definedName>
    <definedName name="decULHr" localSheetId="22">NScerri_Esposito!$R$132</definedName>
    <definedName name="decULHr" localSheetId="24">RAcharya!$R$132</definedName>
    <definedName name="decULHr" localSheetId="21">RAttard!$R$132</definedName>
    <definedName name="decULHr" localSheetId="6">RCamilleri!$R$132</definedName>
    <definedName name="decULHr" localSheetId="3">RGaldes!$R$132</definedName>
    <definedName name="decULHr" localSheetId="13">RMallan_Albani!$R$132</definedName>
    <definedName name="decULHr" localSheetId="18">RSreejith!$R$132</definedName>
    <definedName name="decULHr" localSheetId="59">SPare!$R$132</definedName>
    <definedName name="decULHr" localSheetId="35">ZMifsud!$R$132</definedName>
    <definedName name="designation" localSheetId="34">AFalzon!$F$60</definedName>
    <definedName name="designation" localSheetId="14">AHaneena!$F$60</definedName>
    <definedName name="designation" localSheetId="19">AKunnamkudath!$F$60</definedName>
    <definedName name="designation" localSheetId="7">DMifsud_Ceci!$F$60</definedName>
    <definedName name="designation" localSheetId="33">ECurmi!$F$60</definedName>
    <definedName name="designation" localSheetId="15">ELama!$F$60</definedName>
    <definedName name="designation" localSheetId="44">JAN_FS5!$F$61</definedName>
    <definedName name="designation" localSheetId="5">KMizzi!$F$60</definedName>
    <definedName name="designation" localSheetId="10">LBonnici!$F$60</definedName>
    <definedName name="designation" localSheetId="4">LCarini!$F$60</definedName>
    <definedName name="designation" localSheetId="16">MAcero_Garzon!$F$60</definedName>
    <definedName name="designation" localSheetId="9">MCamilleri!$F$60</definedName>
    <definedName name="designation" localSheetId="37">MEllul!$F$60</definedName>
    <definedName name="designation" localSheetId="54">NOV_FS5!$F$60</definedName>
    <definedName name="designation" localSheetId="22">NScerri_Esposito!$F$60</definedName>
    <definedName name="designation" localSheetId="53">OCT_FS5!$F$60</definedName>
    <definedName name="designation" localSheetId="24">RAcharya!$F$60</definedName>
    <definedName name="designation" localSheetId="21">RAttard!$F$60</definedName>
    <definedName name="designation" localSheetId="6">RCamilleri!$F$60</definedName>
    <definedName name="designation" localSheetId="3">RGaldes!$F$60</definedName>
    <definedName name="designation" localSheetId="13">RMallan_Albani!$F$60</definedName>
    <definedName name="designation" localSheetId="18">RSreejith!$F$60</definedName>
    <definedName name="designation" localSheetId="59">SPare!$F$60</definedName>
    <definedName name="designation" localSheetId="35">ZMifsud!$F$60</definedName>
    <definedName name="DivSum" localSheetId="43">SumDiv!$A$1:$I$15</definedName>
    <definedName name="Expense_Category">DATA!$C$2:$C$21</definedName>
    <definedName name="FEB_PAY" localSheetId="34">AFalzon!$N$29:$Y$38</definedName>
    <definedName name="FEB_PAY" localSheetId="14">AHaneena!$N$29:$Y$38</definedName>
    <definedName name="FEB_PAY" localSheetId="19">AKunnamkudath!$N$29:$Y$38</definedName>
    <definedName name="FEB_PAY" localSheetId="7">DMifsud_Ceci!$N$29:$Y$38</definedName>
    <definedName name="FEB_PAY" localSheetId="33">ECurmi!$N$29:$Y$38</definedName>
    <definedName name="FEB_PAY" localSheetId="15">ELama!$N$29:$Y$38</definedName>
    <definedName name="FEB_PAY" localSheetId="5">KMizzi!$N$29:$Y$38</definedName>
    <definedName name="FEB_PAY" localSheetId="10">LBonnici!$N$29:$Y$38</definedName>
    <definedName name="FEB_PAY" localSheetId="4">LCarini!$N$29:$Y$38</definedName>
    <definedName name="FEB_PAY" localSheetId="16">MAcero_Garzon!$N$29:$Y$38</definedName>
    <definedName name="FEB_PAY" localSheetId="9">MCamilleri!$N$29:$Y$38</definedName>
    <definedName name="FEB_PAY" localSheetId="37">MEllul!$N$29:$Y$38</definedName>
    <definedName name="FEB_PAY" localSheetId="22">NScerri_Esposito!$N$29:$Y$38</definedName>
    <definedName name="FEB_PAY" localSheetId="24">RAcharya!$N$29:$Y$38</definedName>
    <definedName name="FEB_PAY" localSheetId="21">RAttard!$N$29:$Y$38</definedName>
    <definedName name="FEB_PAY" localSheetId="6">RCamilleri!$N$29:$Y$38</definedName>
    <definedName name="FEB_PAY" localSheetId="3">RGaldes!$N$29:$Y$38</definedName>
    <definedName name="FEB_PAY" localSheetId="13">RMallan_Albani!$N$29:$Y$38</definedName>
    <definedName name="FEB_PAY" localSheetId="18">RSreejith!$N$29:$Y$38</definedName>
    <definedName name="FEB_PAY" localSheetId="59">SPare!$N$29:$Y$38</definedName>
    <definedName name="FEB_PAY" localSheetId="35">ZMifsud!$N$29:$Y$38</definedName>
    <definedName name="FebeeSocSec" localSheetId="34">AFalzon!$V$31</definedName>
    <definedName name="FebeeSocSec" localSheetId="14">AHaneena!$V$31</definedName>
    <definedName name="FebeeSocSec" localSheetId="19">AKunnamkudath!$V$31</definedName>
    <definedName name="FebeeSocSec" localSheetId="7">DMifsud_Ceci!$V$31</definedName>
    <definedName name="FebeeSocSec" localSheetId="33">ECurmi!$V$31</definedName>
    <definedName name="FebeeSocSec" localSheetId="15">ELama!$V$31</definedName>
    <definedName name="FebeeSocSec" localSheetId="5">KMizzi!$V$31</definedName>
    <definedName name="FebeeSocSec" localSheetId="10">LBonnici!$V$31</definedName>
    <definedName name="FebeeSocSec" localSheetId="4">LCarini!$V$31</definedName>
    <definedName name="FebeeSocSec" localSheetId="16">MAcero_Garzon!$V$31</definedName>
    <definedName name="FebeeSocSec" localSheetId="9">MCamilleri!$V$31</definedName>
    <definedName name="FebeeSocSec" localSheetId="37">MEllul!$V$31</definedName>
    <definedName name="FebeeSocSec" localSheetId="22">NScerri_Esposito!$V$31</definedName>
    <definedName name="FebeeSocSec" localSheetId="24">RAcharya!$V$31</definedName>
    <definedName name="FebeeSocSec" localSheetId="21">RAttard!$V$31</definedName>
    <definedName name="FebeeSocSec" localSheetId="6">RCamilleri!$V$31</definedName>
    <definedName name="FebeeSocSec" localSheetId="3">RGaldes!$V$31</definedName>
    <definedName name="FebeeSocSec" localSheetId="13">RMallan_Albani!$V$31</definedName>
    <definedName name="FebeeSocSec" localSheetId="18">RSreejith!$V$31</definedName>
    <definedName name="FebeeSocSec" localSheetId="59">SPare!$V$31</definedName>
    <definedName name="FebeeSocSec" localSheetId="35">ZMifsud!$V$31</definedName>
    <definedName name="FebErSocSec" localSheetId="34">AFalzon!$V$31</definedName>
    <definedName name="FebErSocSec" localSheetId="14">AHaneena!$V$31</definedName>
    <definedName name="FebErSocSec" localSheetId="19">AKunnamkudath!$V$31</definedName>
    <definedName name="FebErSocSec" localSheetId="7">DMifsud_Ceci!$V$31</definedName>
    <definedName name="FebErSocSec" localSheetId="33">ECurmi!$V$31</definedName>
    <definedName name="FebErSocSec" localSheetId="15">ELama!$V$31</definedName>
    <definedName name="FebErSocSec" localSheetId="5">KMizzi!$V$31</definedName>
    <definedName name="FebErSocSec" localSheetId="10">LBonnici!$V$31</definedName>
    <definedName name="FebErSocSec" localSheetId="4">LCarini!$V$31</definedName>
    <definedName name="FebErSocSec" localSheetId="16">MAcero_Garzon!$V$31</definedName>
    <definedName name="FebErSocSec" localSheetId="9">MCamilleri!$V$31</definedName>
    <definedName name="FebErSocSec" localSheetId="37">MEllul!$V$31</definedName>
    <definedName name="FebErSocSec" localSheetId="22">NScerri_Esposito!$V$31</definedName>
    <definedName name="FebErSocSec" localSheetId="24">RAcharya!$V$31</definedName>
    <definedName name="FebErSocSec" localSheetId="21">RAttard!$V$31</definedName>
    <definedName name="FebErSocSec" localSheetId="6">RCamilleri!$V$31</definedName>
    <definedName name="FebErSocSec" localSheetId="3">RGaldes!$V$31</definedName>
    <definedName name="FebErSocSec" localSheetId="13">RMallan_Albani!$V$31</definedName>
    <definedName name="FebErSocSec" localSheetId="18">RSreejith!$V$31</definedName>
    <definedName name="FebErSocSec" localSheetId="59">SPare!$V$31</definedName>
    <definedName name="FebErSocSec" localSheetId="35">ZMifsud!$V$31</definedName>
    <definedName name="febeuhrs" localSheetId="34">AFalzon!$R$31</definedName>
    <definedName name="febeuhrs" localSheetId="14">AHaneena!$R$31</definedName>
    <definedName name="febeuhrs" localSheetId="19">AKunnamkudath!$R$31</definedName>
    <definedName name="febeuhrs" localSheetId="7">DMifsud_Ceci!$R$31</definedName>
    <definedName name="febeuhrs" localSheetId="33">ECurmi!$R$31</definedName>
    <definedName name="febeuhrs" localSheetId="15">ELama!$R$31</definedName>
    <definedName name="febeuhrs" localSheetId="5">KMizzi!$R$31</definedName>
    <definedName name="febeuhrs" localSheetId="10">LBonnici!$R$31</definedName>
    <definedName name="febeuhrs" localSheetId="4">LCarini!$R$31</definedName>
    <definedName name="febeuhrs" localSheetId="16">MAcero_Garzon!$R$31</definedName>
    <definedName name="febeuhrs" localSheetId="9">MCamilleri!$R$31</definedName>
    <definedName name="febeuhrs" localSheetId="37">MEllul!$R$31</definedName>
    <definedName name="febeuhrs" localSheetId="22">NScerri_Esposito!$R$31</definedName>
    <definedName name="febeuhrs" localSheetId="24">RAcharya!$R$31</definedName>
    <definedName name="febeuhrs" localSheetId="21">RAttard!$R$31</definedName>
    <definedName name="febeuhrs" localSheetId="6">RCamilleri!$R$31</definedName>
    <definedName name="febeuhrs" localSheetId="3">RGaldes!$R$31</definedName>
    <definedName name="febeuhrs" localSheetId="13">RMallan_Albani!$R$31</definedName>
    <definedName name="febeuhrs" localSheetId="18">RSreejith!$R$31</definedName>
    <definedName name="febeuhrs" localSheetId="59">SPare!$R$31</definedName>
    <definedName name="febeuhrs" localSheetId="35">ZMifsud!$R$31</definedName>
    <definedName name="febfsstax" localSheetId="0">'fs7'!$D$44</definedName>
    <definedName name="febgrs" localSheetId="34">AFalzon!$S$29:$S$33</definedName>
    <definedName name="febgrs" localSheetId="14">AHaneena!$S$29:$S$33</definedName>
    <definedName name="febgrs" localSheetId="19">AKunnamkudath!$S$29:$S$33</definedName>
    <definedName name="febgrs" localSheetId="7">DMifsud_Ceci!$S$29:$S$33</definedName>
    <definedName name="febgrs" localSheetId="33">ECurmi!$S$29:$S$33</definedName>
    <definedName name="febgrs" localSheetId="15">ELama!$S$29:$S$33</definedName>
    <definedName name="febgrs" localSheetId="5">KMizzi!$S$29:$S$33</definedName>
    <definedName name="febgrs" localSheetId="10">LBonnici!$S$29:$S$33</definedName>
    <definedName name="febgrs" localSheetId="4">LCarini!$S$29:$S$33</definedName>
    <definedName name="febgrs" localSheetId="16">MAcero_Garzon!$S$29:$S$33</definedName>
    <definedName name="febgrs" localSheetId="9">MCamilleri!$S$29:$S$33</definedName>
    <definedName name="febgrs" localSheetId="37">MEllul!$S$29:$S$33</definedName>
    <definedName name="febgrs" localSheetId="22">NScerri_Esposito!$S$29:$S$33</definedName>
    <definedName name="febgrs" localSheetId="24">RAcharya!$S$29:$S$33</definedName>
    <definedName name="febgrs" localSheetId="21">RAttard!$S$29:$S$33</definedName>
    <definedName name="febgrs" localSheetId="6">RCamilleri!$S$29:$S$33</definedName>
    <definedName name="febgrs" localSheetId="3">RGaldes!$S$29:$S$33</definedName>
    <definedName name="febgrs" localSheetId="13">RMallan_Albani!$S$29:$S$33</definedName>
    <definedName name="febgrs" localSheetId="18">RSreejith!$S$29:$S$33</definedName>
    <definedName name="febgrs" localSheetId="59">SPare!$S$29:$S$33</definedName>
    <definedName name="febgrs" localSheetId="35">ZMifsud!$S$29:$S$33</definedName>
    <definedName name="febhrrt" localSheetId="34">AFalzon!$R$5</definedName>
    <definedName name="febhrrt" localSheetId="14">AHaneena!$R$5</definedName>
    <definedName name="febhrrt" localSheetId="19">AKunnamkudath!$R$5</definedName>
    <definedName name="febhrrt" localSheetId="7">DMifsud_Ceci!$R$5</definedName>
    <definedName name="febhrrt" localSheetId="33">ECurmi!$R$5</definedName>
    <definedName name="febhrrt" localSheetId="15">ELama!$R$5</definedName>
    <definedName name="febhrrt" localSheetId="5">KMizzi!$R$5</definedName>
    <definedName name="febhrrt" localSheetId="10">LBonnici!$R$5</definedName>
    <definedName name="febhrrt" localSheetId="4">LCarini!$R$5</definedName>
    <definedName name="febhrrt" localSheetId="16">MAcero_Garzon!$R$5</definedName>
    <definedName name="febhrrt" localSheetId="9">MCamilleri!$R$5</definedName>
    <definedName name="febhrrt" localSheetId="37">MEllul!$R$5</definedName>
    <definedName name="febhrrt" localSheetId="22">NScerri_Esposito!$R$5</definedName>
    <definedName name="febhrrt" localSheetId="24">RAcharya!$R$5</definedName>
    <definedName name="febhrrt" localSheetId="21">RAttard!$R$5</definedName>
    <definedName name="febhrrt" localSheetId="6">RCamilleri!$R$5</definedName>
    <definedName name="febhrrt" localSheetId="3">RGaldes!$R$5</definedName>
    <definedName name="febhrrt" localSheetId="13">RMallan_Albani!$R$5</definedName>
    <definedName name="febhrrt" localSheetId="18">RSreejith!$R$5</definedName>
    <definedName name="febhrrt" localSheetId="59">SPare!$R$5</definedName>
    <definedName name="febhrrt" localSheetId="35">ZMifsud!$R$5</definedName>
    <definedName name="febmlf" localSheetId="34">AFalzon!$U$32</definedName>
    <definedName name="febmlf" localSheetId="14">AHaneena!$U$32</definedName>
    <definedName name="febmlf" localSheetId="19">AKunnamkudath!$U$32</definedName>
    <definedName name="febmlf" localSheetId="7">DMifsud_Ceci!$U$32</definedName>
    <definedName name="febmlf" localSheetId="33">ECurmi!$U$32</definedName>
    <definedName name="febmlf" localSheetId="15">ELama!$U$32</definedName>
    <definedName name="febmlf" localSheetId="0">'fs7'!$F$44</definedName>
    <definedName name="febmlf" localSheetId="5">KMizzi!$U$32</definedName>
    <definedName name="febmlf" localSheetId="10">LBonnici!$U$32</definedName>
    <definedName name="febmlf" localSheetId="4">LCarini!$U$32</definedName>
    <definedName name="febmlf" localSheetId="16">MAcero_Garzon!$U$32</definedName>
    <definedName name="febmlf" localSheetId="9">MCamilleri!$U$32</definedName>
    <definedName name="febmlf" localSheetId="37">MEllul!$U$32</definedName>
    <definedName name="febmlf" localSheetId="22">NScerri_Esposito!$U$32</definedName>
    <definedName name="febmlf" localSheetId="24">RAcharya!$U$32</definedName>
    <definedName name="febmlf" localSheetId="21">RAttard!$U$32</definedName>
    <definedName name="febmlf" localSheetId="6">RCamilleri!$U$32</definedName>
    <definedName name="febmlf" localSheetId="3">RGaldes!$U$32</definedName>
    <definedName name="febmlf" localSheetId="13">RMallan_Albani!$U$32</definedName>
    <definedName name="febmlf" localSheetId="18">RSreejith!$U$32</definedName>
    <definedName name="febmlf" localSheetId="59">SPare!$U$32</definedName>
    <definedName name="febmlf" localSheetId="35">ZMifsud!$U$32</definedName>
    <definedName name="feboth" localSheetId="34">AFalzon!$R$44</definedName>
    <definedName name="feboth" localSheetId="14">AHaneena!$R$44</definedName>
    <definedName name="feboth" localSheetId="19">AKunnamkudath!$R$44</definedName>
    <definedName name="feboth" localSheetId="7">DMifsud_Ceci!$R$44</definedName>
    <definedName name="feboth" localSheetId="33">ECurmi!$R$44</definedName>
    <definedName name="feboth" localSheetId="15">ELama!$R$44</definedName>
    <definedName name="feboth" localSheetId="5">KMizzi!$R$44</definedName>
    <definedName name="feboth" localSheetId="10">LBonnici!$R$44</definedName>
    <definedName name="feboth" localSheetId="4">LCarini!$R$44</definedName>
    <definedName name="feboth" localSheetId="16">MAcero_Garzon!$R$44</definedName>
    <definedName name="feboth" localSheetId="9">MCamilleri!$R$44</definedName>
    <definedName name="feboth" localSheetId="37">MEllul!$R$44</definedName>
    <definedName name="feboth" localSheetId="22">NScerri_Esposito!$R$44</definedName>
    <definedName name="feboth" localSheetId="24">RAcharya!$R$44</definedName>
    <definedName name="feboth" localSheetId="21">RAttard!$R$44</definedName>
    <definedName name="feboth" localSheetId="6">RCamilleri!$R$44</definedName>
    <definedName name="feboth" localSheetId="3">RGaldes!$R$44</definedName>
    <definedName name="feboth" localSheetId="13">RMallan_Albani!$R$44</definedName>
    <definedName name="feboth" localSheetId="18">RSreejith!$R$44</definedName>
    <definedName name="feboth" localSheetId="59">SPare!$R$44</definedName>
    <definedName name="feboth" localSheetId="35">ZMifsud!$R$44</definedName>
    <definedName name="febpb" localSheetId="34">AFalzon!$X$5</definedName>
    <definedName name="febpb" localSheetId="14">AHaneena!$X$5</definedName>
    <definedName name="febpb" localSheetId="19">AKunnamkudath!$X$5</definedName>
    <definedName name="febpb" localSheetId="7">DMifsud_Ceci!$X$5</definedName>
    <definedName name="febpb" localSheetId="33">ECurmi!$X$5</definedName>
    <definedName name="febpb" localSheetId="15">ELama!$X$5</definedName>
    <definedName name="febpb" localSheetId="5">KMizzi!$X$5</definedName>
    <definedName name="febpb" localSheetId="10">LBonnici!$X$5</definedName>
    <definedName name="febpb" localSheetId="4">LCarini!$X$5</definedName>
    <definedName name="febpb" localSheetId="16">MAcero_Garzon!$X$5</definedName>
    <definedName name="febpb" localSheetId="9">MCamilleri!$X$5</definedName>
    <definedName name="febpb" localSheetId="37">MEllul!$X$5</definedName>
    <definedName name="febpb" localSheetId="22">NScerri_Esposito!$X$5</definedName>
    <definedName name="febpb" localSheetId="24">RAcharya!$X$5</definedName>
    <definedName name="febpb" localSheetId="21">RAttard!$X$5</definedName>
    <definedName name="febpb" localSheetId="6">RCamilleri!$X$5</definedName>
    <definedName name="febpb" localSheetId="3">RGaldes!$X$5</definedName>
    <definedName name="febpb" localSheetId="13">RMallan_Albani!$X$5</definedName>
    <definedName name="febpb" localSheetId="18">RSreejith!$X$5</definedName>
    <definedName name="febpb" localSheetId="59">SPare!$X$5</definedName>
    <definedName name="febpb" localSheetId="35">ZMifsud!$X$5</definedName>
    <definedName name="febsb" localSheetId="34">AFalzon!$Y$5</definedName>
    <definedName name="febsb" localSheetId="14">AHaneena!$Y$5</definedName>
    <definedName name="febsb" localSheetId="19">AKunnamkudath!$Y$5</definedName>
    <definedName name="febsb" localSheetId="7">DMifsud_Ceci!$Y$5</definedName>
    <definedName name="febsb" localSheetId="33">ECurmi!$Y$5</definedName>
    <definedName name="febsb" localSheetId="15">ELama!$Y$5</definedName>
    <definedName name="febsb" localSheetId="5">KMizzi!$Y$5</definedName>
    <definedName name="febsb" localSheetId="10">LBonnici!$Y$5</definedName>
    <definedName name="febsb" localSheetId="4">LCarini!$Y$5</definedName>
    <definedName name="febsb" localSheetId="16">MAcero_Garzon!$Y$5</definedName>
    <definedName name="febsb" localSheetId="9">MCamilleri!$Y$5</definedName>
    <definedName name="febsb" localSheetId="37">MEllul!$Y$5</definedName>
    <definedName name="febsb" localSheetId="22">NScerri_Esposito!$Y$5</definedName>
    <definedName name="febsb" localSheetId="24">RAcharya!$Y$5</definedName>
    <definedName name="febsb" localSheetId="21">RAttard!$Y$5</definedName>
    <definedName name="febsb" localSheetId="6">RCamilleri!$Y$5</definedName>
    <definedName name="febsb" localSheetId="3">RGaldes!$Y$5</definedName>
    <definedName name="febsb" localSheetId="13">RMallan_Albani!$Y$5</definedName>
    <definedName name="febsb" localSheetId="18">RSreejith!$Y$5</definedName>
    <definedName name="febsb" localSheetId="59">SPare!$Y$5</definedName>
    <definedName name="febsb" localSheetId="35">ZMifsud!$Y$5</definedName>
    <definedName name="febssc" localSheetId="0">'fs7'!$E$44</definedName>
    <definedName name="febULHr" localSheetId="34">AFalzon!$R$32</definedName>
    <definedName name="febULHr" localSheetId="14">AHaneena!$R$32</definedName>
    <definedName name="febULHr" localSheetId="19">AKunnamkudath!$R$32</definedName>
    <definedName name="febULHr" localSheetId="7">DMifsud_Ceci!$R$32</definedName>
    <definedName name="febULHr" localSheetId="33">ECurmi!$R$32</definedName>
    <definedName name="febULHr" localSheetId="15">ELama!$R$32</definedName>
    <definedName name="febULHr" localSheetId="5">KMizzi!$R$32</definedName>
    <definedName name="febULHr" localSheetId="10">LBonnici!$R$32</definedName>
    <definedName name="febULHr" localSheetId="4">LCarini!$R$32</definedName>
    <definedName name="febULHr" localSheetId="16">MAcero_Garzon!$R$32</definedName>
    <definedName name="febULHr" localSheetId="9">MCamilleri!$R$32</definedName>
    <definedName name="febULHr" localSheetId="37">MEllul!$R$32</definedName>
    <definedName name="febULHr" localSheetId="22">NScerri_Esposito!$R$32</definedName>
    <definedName name="febULHr" localSheetId="24">RAcharya!$R$32</definedName>
    <definedName name="febULHr" localSheetId="21">RAttard!$R$32</definedName>
    <definedName name="febULHr" localSheetId="6">RCamilleri!$R$32</definedName>
    <definedName name="febULHr" localSheetId="3">RGaldes!$R$32</definedName>
    <definedName name="febULHr" localSheetId="13">RMallan_Albani!$R$32</definedName>
    <definedName name="febULHr" localSheetId="18">RSreejith!$R$32</definedName>
    <definedName name="febULHr" localSheetId="59">SPare!$R$32</definedName>
    <definedName name="febULHr" localSheetId="35">ZMifsud!$R$32</definedName>
    <definedName name="from">DATA!$L$42:$L$46</definedName>
    <definedName name="FS4_Status" localSheetId="34">AFalzon!$F$62</definedName>
    <definedName name="FS4_Status" localSheetId="14">AHaneena!$F$62</definedName>
    <definedName name="FS4_Status" localSheetId="19">AKunnamkudath!$F$62</definedName>
    <definedName name="FS4_Status" localSheetId="7">DMifsud_Ceci!$F$62</definedName>
    <definedName name="FS4_Status" localSheetId="33">ECurmi!$F$62</definedName>
    <definedName name="FS4_Status" localSheetId="15">ELama!$F$62</definedName>
    <definedName name="FS4_Status" localSheetId="44">JAN_FS5!$F$63</definedName>
    <definedName name="FS4_Status" localSheetId="5">KMizzi!$F$62</definedName>
    <definedName name="FS4_Status" localSheetId="10">LBonnici!$F$62</definedName>
    <definedName name="FS4_Status" localSheetId="4">LCarini!$F$62</definedName>
    <definedName name="FS4_Status" localSheetId="16">MAcero_Garzon!$F$62</definedName>
    <definedName name="FS4_Status" localSheetId="9">MCamilleri!$F$62</definedName>
    <definedName name="FS4_Status" localSheetId="37">MEllul!$F$62</definedName>
    <definedName name="FS4_Status" localSheetId="54">NOV_FS5!$F$62</definedName>
    <definedName name="FS4_Status" localSheetId="22">NScerri_Esposito!$F$62</definedName>
    <definedName name="FS4_Status" localSheetId="53">OCT_FS5!$F$62</definedName>
    <definedName name="FS4_Status" localSheetId="24">RAcharya!$F$62</definedName>
    <definedName name="FS4_Status" localSheetId="21">RAttard!$F$62</definedName>
    <definedName name="FS4_Status" localSheetId="6">RCamilleri!$F$62</definedName>
    <definedName name="FS4_Status" localSheetId="3">RGaldes!$F$62</definedName>
    <definedName name="FS4_Status" localSheetId="13">RMallan_Albani!$F$62</definedName>
    <definedName name="FS4_Status" localSheetId="18">RSreejith!$F$62</definedName>
    <definedName name="FS4_Status" localSheetId="59">SPare!$F$62</definedName>
    <definedName name="FS4_Status" localSheetId="35">ZMifsud!$F$62</definedName>
    <definedName name="GOVT_BONUS" localSheetId="34">AFalzon!$W$4:$W$15</definedName>
    <definedName name="GOVT_BONUS" localSheetId="14">AHaneena!$W$4:$W$15</definedName>
    <definedName name="GOVT_BONUS" localSheetId="19">AKunnamkudath!$W$4:$W$15</definedName>
    <definedName name="GOVT_BONUS" localSheetId="7">DMifsud_Ceci!$W$4:$W$15</definedName>
    <definedName name="GOVT_BONUS" localSheetId="33">ECurmi!$W$4:$W$15</definedName>
    <definedName name="GOVT_BONUS" localSheetId="15">ELama!$W$4:$W$15</definedName>
    <definedName name="GOVT_BONUS" localSheetId="5">KMizzi!$W$4:$W$15</definedName>
    <definedName name="GOVT_BONUS" localSheetId="10">LBonnici!$W$4:$W$15</definedName>
    <definedName name="GOVT_BONUS" localSheetId="4">LCarini!$W$4:$W$15</definedName>
    <definedName name="GOVT_BONUS" localSheetId="16">MAcero_Garzon!$W$4:$W$15</definedName>
    <definedName name="GOVT_BONUS" localSheetId="9">MCamilleri!$W$4:$W$15</definedName>
    <definedName name="GOVT_BONUS" localSheetId="37">MEllul!$W$4:$W$15</definedName>
    <definedName name="GOVT_BONUS" localSheetId="22">NScerri_Esposito!$W$4:$W$15</definedName>
    <definedName name="GOVT_BONUS" localSheetId="24">RAcharya!$W$4:$W$15</definedName>
    <definedName name="GOVT_BONUS" localSheetId="21">RAttard!$W$4:$W$15</definedName>
    <definedName name="GOVT_BONUS" localSheetId="6">RCamilleri!$W$4:$W$15</definedName>
    <definedName name="GOVT_BONUS" localSheetId="3">RGaldes!$W$4:$W$15</definedName>
    <definedName name="GOVT_BONUS" localSheetId="13">RMallan_Albani!$W$4:$W$15</definedName>
    <definedName name="GOVT_BONUS" localSheetId="18">RSreejith!$W$4:$W$15</definedName>
    <definedName name="GOVT_BONUS" localSheetId="59">SPare!$W$4:$W$15</definedName>
    <definedName name="GOVT_BONUS" localSheetId="35">ZMifsud!$W$4:$W$15</definedName>
    <definedName name="GROSS" localSheetId="40">Summary!#REF!</definedName>
    <definedName name="GROSS" localSheetId="41">SummaryPT!$W$25:$X$37</definedName>
    <definedName name="GROSS" localSheetId="42">SummaryTOTS!$O$25:$P$37</definedName>
    <definedName name="Gross_t" localSheetId="41">SummaryPT!$A$24:$X$40</definedName>
    <definedName name="Gross_t" localSheetId="42">SummaryTOTS!$A$24:$P$40</definedName>
    <definedName name="Gross_t">Summary!$A$24:$AP$40</definedName>
    <definedName name="GrossTax" localSheetId="40">Summary!#REF!</definedName>
    <definedName name="GrossTax" localSheetId="41">SummaryPT!$W$45:$X$57</definedName>
    <definedName name="GrossTax" localSheetId="42">SummaryTOTS!$O$45:$P$57</definedName>
    <definedName name="grossyearly" localSheetId="34">AFalzon!$G$66</definedName>
    <definedName name="grossyearly" localSheetId="14">AHaneena!$G$66</definedName>
    <definedName name="grossyearly" localSheetId="19">AKunnamkudath!$G$66</definedName>
    <definedName name="grossyearly" localSheetId="7">DMifsud_Ceci!$G$66</definedName>
    <definedName name="grossyearly" localSheetId="33">ECurmi!$G$66</definedName>
    <definedName name="grossyearly" localSheetId="15">ELama!$G$66</definedName>
    <definedName name="grossyearly" localSheetId="5">KMizzi!$G$66</definedName>
    <definedName name="grossyearly" localSheetId="10">LBonnici!$G$66</definedName>
    <definedName name="grossyearly" localSheetId="4">LCarini!$G$66</definedName>
    <definedName name="grossyearly" localSheetId="16">MAcero_Garzon!$G$66</definedName>
    <definedName name="grossyearly" localSheetId="9">MCamilleri!$G$66</definedName>
    <definedName name="grossyearly" localSheetId="37">MEllul!$G$66</definedName>
    <definedName name="grossyearly" localSheetId="22">NScerri_Esposito!$G$66</definedName>
    <definedName name="grossyearly" localSheetId="24">RAcharya!$G$66</definedName>
    <definedName name="grossyearly" localSheetId="21">RAttard!$G$66</definedName>
    <definedName name="grossyearly" localSheetId="6">RCamilleri!$G$66</definedName>
    <definedName name="grossyearly" localSheetId="3">RGaldes!$G$66</definedName>
    <definedName name="grossyearly" localSheetId="13">RMallan_Albani!$G$66</definedName>
    <definedName name="grossyearly" localSheetId="18">RSreejith!$G$66</definedName>
    <definedName name="grossyearly" localSheetId="59">SPare!$G$66</definedName>
    <definedName name="grossyearly" localSheetId="35">ZMifsud!$G$66</definedName>
    <definedName name="House" localSheetId="34">AFalzon!$C$8</definedName>
    <definedName name="House" localSheetId="14">AHaneena!$C$8</definedName>
    <definedName name="House" localSheetId="19">AKunnamkudath!$C$8</definedName>
    <definedName name="House" localSheetId="7">DMifsud_Ceci!$C$8</definedName>
    <definedName name="House" localSheetId="33">ECurmi!$C$8</definedName>
    <definedName name="House" localSheetId="15">ELama!$C$8</definedName>
    <definedName name="House" localSheetId="5">KMizzi!$C$8</definedName>
    <definedName name="House" localSheetId="10">LBonnici!$C$8</definedName>
    <definedName name="House" localSheetId="4">LCarini!$C$8</definedName>
    <definedName name="House" localSheetId="16">MAcero_Garzon!$C$8</definedName>
    <definedName name="House" localSheetId="9">MCamilleri!$C$8</definedName>
    <definedName name="House" localSheetId="37">MEllul!$C$8</definedName>
    <definedName name="House" localSheetId="22">NScerri_Esposito!$C$8</definedName>
    <definedName name="House" localSheetId="24">RAcharya!$C$8</definedName>
    <definedName name="House" localSheetId="21">RAttard!$C$8</definedName>
    <definedName name="House" localSheetId="6">RCamilleri!$C$8</definedName>
    <definedName name="House" localSheetId="3">RGaldes!$C$8</definedName>
    <definedName name="House" localSheetId="13">RMallan_Albani!$C$8</definedName>
    <definedName name="House" localSheetId="18">RSreejith!$C$8</definedName>
    <definedName name="House" localSheetId="59">SPare!$C$8</definedName>
    <definedName name="House" localSheetId="35">ZMifsud!$C$8</definedName>
    <definedName name="IBAN" localSheetId="34">AFalzon!$F$56</definedName>
    <definedName name="IBAN" localSheetId="14">AHaneena!$F$56</definedName>
    <definedName name="IBAN" localSheetId="19">AKunnamkudath!$F$56</definedName>
    <definedName name="IBAN" localSheetId="7">DMifsud_Ceci!$F$56</definedName>
    <definedName name="IBAN" localSheetId="33">ECurmi!$F$56</definedName>
    <definedName name="IBAN" localSheetId="15">ELama!$F$56</definedName>
    <definedName name="IBAN" localSheetId="44">JAN_FS5!$F$57</definedName>
    <definedName name="IBAN" localSheetId="5">KMizzi!$F$56</definedName>
    <definedName name="IBAN" localSheetId="10">LBonnici!$F$56</definedName>
    <definedName name="IBAN" localSheetId="4">LCarini!$F$56</definedName>
    <definedName name="IBAN" localSheetId="16">MAcero_Garzon!$F$56</definedName>
    <definedName name="IBAN" localSheetId="9">MCamilleri!$F$56</definedName>
    <definedName name="IBAN" localSheetId="37">MEllul!$F$56</definedName>
    <definedName name="IBAN" localSheetId="54">NOV_FS5!$F$56</definedName>
    <definedName name="IBAN" localSheetId="22">NScerri_Esposito!$F$56</definedName>
    <definedName name="IBAN" localSheetId="53">OCT_FS5!$F$56</definedName>
    <definedName name="IBAN" localSheetId="24">RAcharya!$F$56</definedName>
    <definedName name="IBAN" localSheetId="21">RAttard!$F$56</definedName>
    <definedName name="IBAN" localSheetId="6">RCamilleri!$F$56</definedName>
    <definedName name="IBAN" localSheetId="3">RGaldes!$F$56</definedName>
    <definedName name="IBAN" localSheetId="13">RMallan_Albani!$F$56</definedName>
    <definedName name="IBAN" localSheetId="18">RSreejith!$F$56</definedName>
    <definedName name="IBAN" localSheetId="59">SPare!$F$56</definedName>
    <definedName name="IBAN" localSheetId="35">ZMifsud!$F$56</definedName>
    <definedName name="ID" localSheetId="34">AFalzon!$N$2</definedName>
    <definedName name="ID" localSheetId="14">AHaneena!$N$2</definedName>
    <definedName name="ID" localSheetId="19">AKunnamkudath!$N$2</definedName>
    <definedName name="ID" localSheetId="7">DMifsud_Ceci!$N$2</definedName>
    <definedName name="ID" localSheetId="33">ECurmi!$N$2</definedName>
    <definedName name="ID" localSheetId="15">ELama!$N$2</definedName>
    <definedName name="ID" localSheetId="5">KMizzi!$N$2</definedName>
    <definedName name="ID" localSheetId="10">LBonnici!$N$2</definedName>
    <definedName name="ID" localSheetId="4">LCarini!$N$2</definedName>
    <definedName name="ID" localSheetId="16">MAcero_Garzon!$N$2</definedName>
    <definedName name="ID" localSheetId="9">MCamilleri!$N$2</definedName>
    <definedName name="ID" localSheetId="37">MEllul!$N$2</definedName>
    <definedName name="ID" localSheetId="22">NScerri_Esposito!$N$2</definedName>
    <definedName name="ID" localSheetId="24">RAcharya!$N$2</definedName>
    <definedName name="ID" localSheetId="21">RAttard!$N$2</definedName>
    <definedName name="ID" localSheetId="6">RCamilleri!$N$2</definedName>
    <definedName name="ID" localSheetId="3">RGaldes!$N$2</definedName>
    <definedName name="ID" localSheetId="13">RMallan_Albani!$N$2</definedName>
    <definedName name="ID" localSheetId="18">RSreejith!$N$2</definedName>
    <definedName name="ID" localSheetId="59">SPare!$N$2</definedName>
    <definedName name="ID" localSheetId="35">ZMifsud!$N$2</definedName>
    <definedName name="IDCard" localSheetId="34">AFalzon!$I$7</definedName>
    <definedName name="IDCard" localSheetId="14">AHaneena!$I$7</definedName>
    <definedName name="IDCard" localSheetId="19">AKunnamkudath!$I$7</definedName>
    <definedName name="IDCard" localSheetId="7">DMifsud_Ceci!$I$7</definedName>
    <definedName name="IDCard" localSheetId="33">ECurmi!$I$7</definedName>
    <definedName name="IDCard" localSheetId="15">ELama!$I$7</definedName>
    <definedName name="IDCard" localSheetId="44">JAN_FS5!$I$7</definedName>
    <definedName name="IDCard" localSheetId="5">KMizzi!$I$7</definedName>
    <definedName name="IDCard" localSheetId="10">LBonnici!$I$7</definedName>
    <definedName name="IDCard" localSheetId="4">LCarini!$I$7</definedName>
    <definedName name="IDCard" localSheetId="16">MAcero_Garzon!$I$7</definedName>
    <definedName name="IDCard" localSheetId="9">MCamilleri!$I$7</definedName>
    <definedName name="IDCard" localSheetId="37">MEllul!$I$7</definedName>
    <definedName name="IDCard" localSheetId="54">NOV_FS5!$I$7</definedName>
    <definedName name="IDCard" localSheetId="22">NScerri_Esposito!$I$7</definedName>
    <definedName name="IDCard" localSheetId="53">OCT_FS5!$I$7</definedName>
    <definedName name="IDCard" localSheetId="24">RAcharya!$I$7</definedName>
    <definedName name="IDCard" localSheetId="21">RAttard!$I$7</definedName>
    <definedName name="IDCard" localSheetId="6">RCamilleri!$I$7</definedName>
    <definedName name="IDCard" localSheetId="3">RGaldes!$I$7</definedName>
    <definedName name="IDCard" localSheetId="13">RMallan_Albani!$I$7</definedName>
    <definedName name="IDCard" localSheetId="18">RSreejith!$I$7</definedName>
    <definedName name="IDCard" localSheetId="59">SPare!$I$7</definedName>
    <definedName name="IDCard" localSheetId="35">ZMifsud!$I$7</definedName>
    <definedName name="INDAT" localSheetId="34">AFalzon!$O$2:$AO$17</definedName>
    <definedName name="INDAT" localSheetId="14">AHaneena!$O$2:$AO$17</definedName>
    <definedName name="INDAT" localSheetId="19">AKunnamkudath!$O$2:$AO$17</definedName>
    <definedName name="INDAT" localSheetId="7">DMifsud_Ceci!$O$2:$AO$17</definedName>
    <definedName name="INDAT" localSheetId="33">ECurmi!$O$2:$AO$17</definedName>
    <definedName name="INDAT" localSheetId="15">ELama!$O$2:$AO$17</definedName>
    <definedName name="INDAT" localSheetId="44">JAN_FS5!$O$2:$AO$17</definedName>
    <definedName name="INDAT" localSheetId="5">KMizzi!$O$2:$AO$17</definedName>
    <definedName name="INDAT" localSheetId="10">LBonnici!$O$2:$AO$17</definedName>
    <definedName name="INDAT" localSheetId="4">LCarini!$O$2:$AO$17</definedName>
    <definedName name="INDAT" localSheetId="16">MAcero_Garzon!$O$2:$AO$17</definedName>
    <definedName name="INDAT" localSheetId="9">MCamilleri!$O$2:$AO$17</definedName>
    <definedName name="INDAT" localSheetId="37">MEllul!$O$2:$AO$17</definedName>
    <definedName name="INDAT" localSheetId="54">NOV_FS5!$O$2:$AO$17</definedName>
    <definedName name="INDAT" localSheetId="22">NScerri_Esposito!$O$2:$AO$17</definedName>
    <definedName name="INDAT" localSheetId="53">OCT_FS5!$O$2:$AO$17</definedName>
    <definedName name="INDAT" localSheetId="24">RAcharya!$O$2:$AO$17</definedName>
    <definedName name="INDAT" localSheetId="21">RAttard!$O$2:$AO$17</definedName>
    <definedName name="INDAT" localSheetId="6">RCamilleri!$O$2:$AO$17</definedName>
    <definedName name="INDAT" localSheetId="3">RGaldes!$O$2:$AO$17</definedName>
    <definedName name="INDAT" localSheetId="13">RMallan_Albani!$O$2:$AO$17</definedName>
    <definedName name="INDAT" localSheetId="18">RSreejith!$O$2:$AO$17</definedName>
    <definedName name="INDAT" localSheetId="59">SPare!$O$2:$AO$17</definedName>
    <definedName name="INDAT" localSheetId="35">ZMifsud!$O$2:$AO$17</definedName>
    <definedName name="JAN_PAY" localSheetId="34">AFalzon!$N$19:$Y$28</definedName>
    <definedName name="JAN_PAY" localSheetId="14">AHaneena!$N$19:$Y$28</definedName>
    <definedName name="JAN_PAY" localSheetId="19">AKunnamkudath!$N$19:$Y$28</definedName>
    <definedName name="JAN_PAY" localSheetId="7">DMifsud_Ceci!$N$19:$Y$28</definedName>
    <definedName name="JAN_PAY" localSheetId="33">ECurmi!$N$19:$Y$28</definedName>
    <definedName name="JAN_PAY" localSheetId="15">ELama!$N$19:$Y$28</definedName>
    <definedName name="JAN_PAY" localSheetId="5">KMizzi!$N$19:$Y$28</definedName>
    <definedName name="JAN_PAY" localSheetId="10">LBonnici!$N$19:$Y$28</definedName>
    <definedName name="JAN_PAY" localSheetId="4">LCarini!$N$19:$Y$28</definedName>
    <definedName name="JAN_PAY" localSheetId="16">MAcero_Garzon!$N$19:$Y$28</definedName>
    <definedName name="JAN_PAY" localSheetId="9">MCamilleri!$N$19:$Y$28</definedName>
    <definedName name="JAN_PAY" localSheetId="37">MEllul!$N$19:$Y$28</definedName>
    <definedName name="JAN_PAY" localSheetId="22">NScerri_Esposito!$N$19:$Y$28</definedName>
    <definedName name="JAN_PAY" localSheetId="24">RAcharya!$N$19:$Y$28</definedName>
    <definedName name="JAN_PAY" localSheetId="21">RAttard!$N$19:$Y$28</definedName>
    <definedName name="JAN_PAY" localSheetId="6">RCamilleri!$N$19:$Y$28</definedName>
    <definedName name="JAN_PAY" localSheetId="3">RGaldes!$N$19:$Y$28</definedName>
    <definedName name="JAN_PAY" localSheetId="13">RMallan_Albani!$N$19:$Y$28</definedName>
    <definedName name="JAN_PAY" localSheetId="18">RSreejith!$N$19:$Y$28</definedName>
    <definedName name="JAN_PAY" localSheetId="59">SPare!$N$19:$Y$28</definedName>
    <definedName name="JAN_PAY" localSheetId="35">ZMifsud!$N$19:$Y$28</definedName>
    <definedName name="janeeSocSec" localSheetId="34">AFalzon!$AI$4</definedName>
    <definedName name="janeeSocSec" localSheetId="14">AHaneena!$AI$4</definedName>
    <definedName name="janeeSocSec" localSheetId="19">AKunnamkudath!$AI$4</definedName>
    <definedName name="janeeSocSec" localSheetId="7">DMifsud_Ceci!$AI$4</definedName>
    <definedName name="janeeSocSec" localSheetId="33">ECurmi!$AI$4</definedName>
    <definedName name="janeeSocSec" localSheetId="15">ELama!$AI$4</definedName>
    <definedName name="janeeSocSec" localSheetId="5">KMizzi!$AI$4</definedName>
    <definedName name="janeeSocSec" localSheetId="10">LBonnici!$AI$4</definedName>
    <definedName name="janeeSocSec" localSheetId="4">LCarini!$AI$4</definedName>
    <definedName name="janeeSocSec" localSheetId="16">MAcero_Garzon!$AI$4</definedName>
    <definedName name="janeeSocSec" localSheetId="9">MCamilleri!$AI$4</definedName>
    <definedName name="janeeSocSec" localSheetId="37">MEllul!$AI$4</definedName>
    <definedName name="janeeSocSec" localSheetId="22">NScerri_Esposito!$AI$4</definedName>
    <definedName name="janeeSocSec" localSheetId="24">RAcharya!$AI$4</definedName>
    <definedName name="janeeSocSec" localSheetId="21">RAttard!$AI$4</definedName>
    <definedName name="janeeSocSec" localSheetId="6">RCamilleri!$AI$4</definedName>
    <definedName name="janeeSocSec" localSheetId="3">RGaldes!$AI$4</definedName>
    <definedName name="janeeSocSec" localSheetId="13">RMallan_Albani!$AI$4</definedName>
    <definedName name="janeeSocSec" localSheetId="18">RSreejith!$AI$4</definedName>
    <definedName name="janeeSocSec" localSheetId="59">SPare!$AI$4</definedName>
    <definedName name="janeeSocSec" localSheetId="35">ZMifsud!$AI$4</definedName>
    <definedName name="JanERSocSec" localSheetId="34">AFalzon!$AH$4</definedName>
    <definedName name="JanERSocSec" localSheetId="14">AHaneena!$AH$4</definedName>
    <definedName name="JanERSocSec" localSheetId="19">AKunnamkudath!$AH$4</definedName>
    <definedName name="JanERSocSec" localSheetId="7">DMifsud_Ceci!$AH$4</definedName>
    <definedName name="JanERSocSec" localSheetId="33">ECurmi!$AH$4</definedName>
    <definedName name="JanERSocSec" localSheetId="15">ELama!$AH$4</definedName>
    <definedName name="JanERSocSec" localSheetId="5">KMizzi!$AH$4</definedName>
    <definedName name="JanERSocSec" localSheetId="10">LBonnici!$AH$4</definedName>
    <definedName name="JanERSocSec" localSheetId="4">LCarini!$AH$4</definedName>
    <definedName name="JanERSocSec" localSheetId="16">MAcero_Garzon!$AH$4</definedName>
    <definedName name="JanERSocSec" localSheetId="9">MCamilleri!$AH$4</definedName>
    <definedName name="JanERSocSec" localSheetId="37">MEllul!$AH$4</definedName>
    <definedName name="JanERSocSec" localSheetId="22">NScerri_Esposito!$AH$4</definedName>
    <definedName name="JanERSocSec" localSheetId="24">RAcharya!$AH$4</definedName>
    <definedName name="JanERSocSec" localSheetId="21">RAttard!$AH$4</definedName>
    <definedName name="JanERSocSec" localSheetId="6">RCamilleri!$AH$4</definedName>
    <definedName name="JanERSocSec" localSheetId="3">RGaldes!$AH$4</definedName>
    <definedName name="JanERSocSec" localSheetId="13">RMallan_Albani!$AH$4</definedName>
    <definedName name="JanERSocSec" localSheetId="18">RSreejith!$AH$4</definedName>
    <definedName name="JanERSocSec" localSheetId="59">SPare!$AH$4</definedName>
    <definedName name="JanERSocSec" localSheetId="35">ZMifsud!$AH$4</definedName>
    <definedName name="Janeuhrs" localSheetId="34">AFalzon!$R$21</definedName>
    <definedName name="Janeuhrs" localSheetId="14">AHaneena!$R$21</definedName>
    <definedName name="Janeuhrs" localSheetId="19">AKunnamkudath!$R$21</definedName>
    <definedName name="Janeuhrs" localSheetId="7">DMifsud_Ceci!$R$21</definedName>
    <definedName name="Janeuhrs" localSheetId="33">ECurmi!$R$21</definedName>
    <definedName name="Janeuhrs" localSheetId="15">ELama!$R$21</definedName>
    <definedName name="Janeuhrs" localSheetId="5">KMizzi!$R$21</definedName>
    <definedName name="Janeuhrs" localSheetId="10">LBonnici!$R$21</definedName>
    <definedName name="Janeuhrs" localSheetId="4">LCarini!$R$21</definedName>
    <definedName name="Janeuhrs" localSheetId="16">MAcero_Garzon!$R$21</definedName>
    <definedName name="Janeuhrs" localSheetId="9">MCamilleri!$R$21</definedName>
    <definedName name="Janeuhrs" localSheetId="37">MEllul!$R$21</definedName>
    <definedName name="Janeuhrs" localSheetId="22">NScerri_Esposito!$R$21</definedName>
    <definedName name="Janeuhrs" localSheetId="24">RAcharya!$R$21</definedName>
    <definedName name="Janeuhrs" localSheetId="21">RAttard!$R$21</definedName>
    <definedName name="Janeuhrs" localSheetId="6">RCamilleri!$R$21</definedName>
    <definedName name="Janeuhrs" localSheetId="3">RGaldes!$R$21</definedName>
    <definedName name="Janeuhrs" localSheetId="13">RMallan_Albani!$R$21</definedName>
    <definedName name="Janeuhrs" localSheetId="18">RSreejith!$R$21</definedName>
    <definedName name="Janeuhrs" localSheetId="59">SPare!$R$21</definedName>
    <definedName name="Janeuhrs" localSheetId="35">ZMifsud!$R$21</definedName>
    <definedName name="janfsstax" localSheetId="0">'fs7'!$D$43</definedName>
    <definedName name="Jangrs" localSheetId="34">AFalzon!$S$20:$S$26</definedName>
    <definedName name="Jangrs" localSheetId="14">AHaneena!$S$20:$S$26</definedName>
    <definedName name="Jangrs" localSheetId="19">AKunnamkudath!$S$20:$S$26</definedName>
    <definedName name="Jangrs" localSheetId="7">DMifsud_Ceci!$S$20:$S$26</definedName>
    <definedName name="Jangrs" localSheetId="33">ECurmi!$S$20:$S$26</definedName>
    <definedName name="Jangrs" localSheetId="15">ELama!$S$20:$S$26</definedName>
    <definedName name="Jangrs" localSheetId="5">KMizzi!$S$20:$S$26</definedName>
    <definedName name="Jangrs" localSheetId="10">LBonnici!$S$20:$S$26</definedName>
    <definedName name="Jangrs" localSheetId="4">LCarini!$S$20:$S$26</definedName>
    <definedName name="Jangrs" localSheetId="16">MAcero_Garzon!$S$20:$S$26</definedName>
    <definedName name="Jangrs" localSheetId="9">MCamilleri!$S$20:$S$26</definedName>
    <definedName name="Jangrs" localSheetId="37">MEllul!$S$20:$S$26</definedName>
    <definedName name="Jangrs" localSheetId="22">NScerri_Esposito!$S$20:$S$26</definedName>
    <definedName name="Jangrs" localSheetId="24">RAcharya!$S$20:$S$26</definedName>
    <definedName name="Jangrs" localSheetId="21">RAttard!$S$20:$S$26</definedName>
    <definedName name="Jangrs" localSheetId="6">RCamilleri!$S$20:$S$26</definedName>
    <definedName name="Jangrs" localSheetId="3">RGaldes!$S$20:$S$26</definedName>
    <definedName name="Jangrs" localSheetId="13">RMallan_Albani!$S$20:$S$26</definedName>
    <definedName name="Jangrs" localSheetId="18">RSreejith!$S$20:$S$26</definedName>
    <definedName name="Jangrs" localSheetId="59">SPare!$S$20:$S$26</definedName>
    <definedName name="Jangrs" localSheetId="35">ZMifsud!$S$20:$S$26</definedName>
    <definedName name="jangrstx" localSheetId="34">AFalzon!$AA$4</definedName>
    <definedName name="jangrstx" localSheetId="14">AHaneena!$AA$4</definedName>
    <definedName name="jangrstx" localSheetId="19">AKunnamkudath!$AA$4</definedName>
    <definedName name="jangrstx" localSheetId="7">DMifsud_Ceci!$AA$4</definedName>
    <definedName name="jangrstx" localSheetId="33">ECurmi!$AA$4</definedName>
    <definedName name="jangrstx" localSheetId="15">ELama!$AA$4</definedName>
    <definedName name="jangrstx" localSheetId="5">KMizzi!$AA$4</definedName>
    <definedName name="jangrstx" localSheetId="10">LBonnici!$AA$4</definedName>
    <definedName name="jangrstx" localSheetId="4">LCarini!$AA$4</definedName>
    <definedName name="jangrstx" localSheetId="16">MAcero_Garzon!$AA$4</definedName>
    <definedName name="jangrstx" localSheetId="9">MCamilleri!$AA$4</definedName>
    <definedName name="jangrstx" localSheetId="37">MEllul!$AA$4</definedName>
    <definedName name="jangrstx" localSheetId="22">NScerri_Esposito!$AA$4</definedName>
    <definedName name="jangrstx" localSheetId="24">RAcharya!$AA$4</definedName>
    <definedName name="jangrstx" localSheetId="21">RAttard!$AA$4</definedName>
    <definedName name="jangrstx" localSheetId="6">RCamilleri!$AA$4</definedName>
    <definedName name="jangrstx" localSheetId="3">RGaldes!$AA$4</definedName>
    <definedName name="jangrstx" localSheetId="13">RMallan_Albani!$AA$4</definedName>
    <definedName name="jangrstx" localSheetId="18">RSreejith!$AA$4</definedName>
    <definedName name="jangrstx" localSheetId="59">SPare!$AA$4</definedName>
    <definedName name="jangrstx" localSheetId="35">ZMifsud!$AA$4</definedName>
    <definedName name="janhrrt" localSheetId="34">AFalzon!$R$4</definedName>
    <definedName name="janhrrt" localSheetId="14">AHaneena!$R$4</definedName>
    <definedName name="janhrrt" localSheetId="19">AKunnamkudath!$R$4</definedName>
    <definedName name="janhrrt" localSheetId="7">DMifsud_Ceci!$R$4</definedName>
    <definedName name="janhrrt" localSheetId="33">ECurmi!$R$4</definedName>
    <definedName name="janhrrt" localSheetId="15">ELama!$R$4</definedName>
    <definedName name="janhrrt" localSheetId="5">KMizzi!$R$4</definedName>
    <definedName name="janhrrt" localSheetId="10">LBonnici!$R$4</definedName>
    <definedName name="janhrrt" localSheetId="4">LCarini!$R$4</definedName>
    <definedName name="janhrrt" localSheetId="16">MAcero_Garzon!$R$4</definedName>
    <definedName name="janhrrt" localSheetId="9">MCamilleri!$R$4</definedName>
    <definedName name="janhrrt" localSheetId="37">MEllul!$R$4</definedName>
    <definedName name="janhrrt" localSheetId="22">NScerri_Esposito!$R$4</definedName>
    <definedName name="janhrrt" localSheetId="24">RAcharya!$R$4</definedName>
    <definedName name="janhrrt" localSheetId="21">RAttard!$R$4</definedName>
    <definedName name="janhrrt" localSheetId="6">RCamilleri!$R$4</definedName>
    <definedName name="janhrrt" localSheetId="3">RGaldes!$R$4</definedName>
    <definedName name="janhrrt" localSheetId="13">RMallan_Albani!$R$4</definedName>
    <definedName name="janhrrt" localSheetId="18">RSreejith!$R$4</definedName>
    <definedName name="janhrrt" localSheetId="59">SPare!$R$4</definedName>
    <definedName name="janhrrt" localSheetId="35">ZMifsud!$R$4</definedName>
    <definedName name="janmlf" localSheetId="34">AFalzon!$U$22</definedName>
    <definedName name="janmlf" localSheetId="14">AHaneena!$U$22</definedName>
    <definedName name="janmlf" localSheetId="19">AKunnamkudath!$U$22</definedName>
    <definedName name="janmlf" localSheetId="7">DMifsud_Ceci!$U$22</definedName>
    <definedName name="janmlf" localSheetId="33">ECurmi!$U$22</definedName>
    <definedName name="janmlf" localSheetId="15">ELama!$U$22</definedName>
    <definedName name="janmlf" localSheetId="0">'fs7'!$F$43</definedName>
    <definedName name="janmlf" localSheetId="5">KMizzi!$U$22</definedName>
    <definedName name="janmlf" localSheetId="10">LBonnici!$U$22</definedName>
    <definedName name="janmlf" localSheetId="4">LCarini!$U$22</definedName>
    <definedName name="janmlf" localSheetId="16">MAcero_Garzon!$U$22</definedName>
    <definedName name="janmlf" localSheetId="9">MCamilleri!$U$22</definedName>
    <definedName name="janmlf" localSheetId="37">MEllul!$U$22</definedName>
    <definedName name="janmlf" localSheetId="22">NScerri_Esposito!$U$22</definedName>
    <definedName name="janmlf" localSheetId="24">RAcharya!$U$22</definedName>
    <definedName name="janmlf" localSheetId="21">RAttard!$U$22</definedName>
    <definedName name="janmlf" localSheetId="6">RCamilleri!$U$22</definedName>
    <definedName name="janmlf" localSheetId="3">RGaldes!$U$22</definedName>
    <definedName name="janmlf" localSheetId="13">RMallan_Albani!$U$22</definedName>
    <definedName name="janmlf" localSheetId="18">RSreejith!$U$22</definedName>
    <definedName name="janmlf" localSheetId="59">SPare!$U$22</definedName>
    <definedName name="janmlf" localSheetId="35">ZMifsud!$U$22</definedName>
    <definedName name="janoth" localSheetId="34">AFalzon!$R$24</definedName>
    <definedName name="janoth" localSheetId="14">AHaneena!$R$24</definedName>
    <definedName name="janoth" localSheetId="19">AKunnamkudath!$R$24</definedName>
    <definedName name="janoth" localSheetId="7">DMifsud_Ceci!$R$24</definedName>
    <definedName name="janoth" localSheetId="33">ECurmi!$R$24</definedName>
    <definedName name="janoth" localSheetId="15">ELama!$R$24</definedName>
    <definedName name="janoth" localSheetId="5">KMizzi!$R$24</definedName>
    <definedName name="janoth" localSheetId="10">LBonnici!$R$24</definedName>
    <definedName name="janoth" localSheetId="4">LCarini!$R$24</definedName>
    <definedName name="janoth" localSheetId="16">MAcero_Garzon!$R$24</definedName>
    <definedName name="janoth" localSheetId="9">MCamilleri!$R$24</definedName>
    <definedName name="janoth" localSheetId="37">MEllul!$R$24</definedName>
    <definedName name="janoth" localSheetId="22">NScerri_Esposito!$R$24</definedName>
    <definedName name="janoth" localSheetId="24">RAcharya!$R$24</definedName>
    <definedName name="janoth" localSheetId="21">RAttard!$R$24</definedName>
    <definedName name="janoth" localSheetId="6">RCamilleri!$R$24</definedName>
    <definedName name="janoth" localSheetId="3">RGaldes!$R$24</definedName>
    <definedName name="janoth" localSheetId="13">RMallan_Albani!$R$24</definedName>
    <definedName name="janoth" localSheetId="18">RSreejith!$R$24</definedName>
    <definedName name="janoth" localSheetId="59">SPare!$R$24</definedName>
    <definedName name="janoth" localSheetId="35">ZMifsud!$R$24</definedName>
    <definedName name="JANPAYSLIP" localSheetId="34">AFalzon!$N$19:$Y$27</definedName>
    <definedName name="JANPAYSLIP" localSheetId="14">AHaneena!$N$19:$Y$27</definedName>
    <definedName name="JANPAYSLIP" localSheetId="19">AKunnamkudath!$N$19:$Y$27</definedName>
    <definedName name="JANPAYSLIP" localSheetId="7">DMifsud_Ceci!$N$19:$Y$27</definedName>
    <definedName name="JANPAYSLIP" localSheetId="33">ECurmi!$N$19:$Y$27</definedName>
    <definedName name="JANPAYSLIP" localSheetId="15">ELama!$N$19:$Y$27</definedName>
    <definedName name="JANPAYSLIP" localSheetId="5">KMizzi!$N$19:$Y$27</definedName>
    <definedName name="JANPAYSLIP" localSheetId="10">LBonnici!$N$19:$Y$27</definedName>
    <definedName name="JANPAYSLIP" localSheetId="4">LCarini!$N$19:$Y$27</definedName>
    <definedName name="JANPAYSLIP" localSheetId="16">MAcero_Garzon!$N$19:$Y$27</definedName>
    <definedName name="JANPAYSLIP" localSheetId="9">MCamilleri!$N$19:$Y$27</definedName>
    <definedName name="JANPAYSLIP" localSheetId="37">MEllul!$N$19:$Y$27</definedName>
    <definedName name="JANPAYSLIP" localSheetId="22">NScerri_Esposito!$N$19:$Y$27</definedName>
    <definedName name="JANPAYSLIP" localSheetId="24">RAcharya!$N$19:$Y$27</definedName>
    <definedName name="JANPAYSLIP" localSheetId="21">RAttard!$N$19:$Y$27</definedName>
    <definedName name="JANPAYSLIP" localSheetId="6">RCamilleri!$N$19:$Y$27</definedName>
    <definedName name="JANPAYSLIP" localSheetId="3">RGaldes!$N$19:$Y$27</definedName>
    <definedName name="JANPAYSLIP" localSheetId="13">RMallan_Albani!$N$19:$Y$27</definedName>
    <definedName name="JANPAYSLIP" localSheetId="18">RSreejith!$N$19:$Y$27</definedName>
    <definedName name="JANPAYSLIP" localSheetId="59">SPare!$N$19:$Y$27</definedName>
    <definedName name="JANPAYSLIP" localSheetId="35">ZMifsud!$N$19:$Y$27</definedName>
    <definedName name="janpb" localSheetId="34">AFalzon!$X$4</definedName>
    <definedName name="janpb" localSheetId="14">AHaneena!$X$4</definedName>
    <definedName name="janpb" localSheetId="19">AKunnamkudath!$X$4</definedName>
    <definedName name="janpb" localSheetId="7">DMifsud_Ceci!$X$4</definedName>
    <definedName name="janpb" localSheetId="33">ECurmi!$X$4</definedName>
    <definedName name="janpb" localSheetId="15">ELama!$X$4</definedName>
    <definedName name="janpb" localSheetId="5">KMizzi!$X$4</definedName>
    <definedName name="janpb" localSheetId="10">LBonnici!$X$4</definedName>
    <definedName name="janpb" localSheetId="4">LCarini!$X$4</definedName>
    <definedName name="janpb" localSheetId="16">MAcero_Garzon!$X$4</definedName>
    <definedName name="janpb" localSheetId="9">MCamilleri!$X$4</definedName>
    <definedName name="janpb" localSheetId="37">MEllul!$X$4</definedName>
    <definedName name="janpb" localSheetId="22">NScerri_Esposito!$X$4</definedName>
    <definedName name="janpb" localSheetId="24">RAcharya!$X$4</definedName>
    <definedName name="janpb" localSheetId="21">RAttard!$X$4</definedName>
    <definedName name="janpb" localSheetId="6">RCamilleri!$X$4</definedName>
    <definedName name="janpb" localSheetId="3">RGaldes!$X$4</definedName>
    <definedName name="janpb" localSheetId="13">RMallan_Albani!$X$4</definedName>
    <definedName name="janpb" localSheetId="18">RSreejith!$X$4</definedName>
    <definedName name="janpb" localSheetId="59">SPare!$X$4</definedName>
    <definedName name="janpb" localSheetId="35">ZMifsud!$X$4</definedName>
    <definedName name="jansb" localSheetId="34">AFalzon!$Y$4</definedName>
    <definedName name="jansb" localSheetId="14">AHaneena!$Y$4</definedName>
    <definedName name="jansb" localSheetId="19">AKunnamkudath!$Y$4</definedName>
    <definedName name="jansb" localSheetId="7">DMifsud_Ceci!$Y$4</definedName>
    <definedName name="jansb" localSheetId="33">ECurmi!$Y$4</definedName>
    <definedName name="jansb" localSheetId="15">ELama!$Y$4</definedName>
    <definedName name="jansb" localSheetId="5">KMizzi!$Y$4</definedName>
    <definedName name="jansb" localSheetId="10">LBonnici!$Y$4</definedName>
    <definedName name="jansb" localSheetId="4">LCarini!$Y$4</definedName>
    <definedName name="jansb" localSheetId="16">MAcero_Garzon!$Y$4</definedName>
    <definedName name="jansb" localSheetId="9">MCamilleri!$Y$4</definedName>
    <definedName name="jansb" localSheetId="37">MEllul!$Y$4</definedName>
    <definedName name="jansb" localSheetId="22">NScerri_Esposito!$Y$4</definedName>
    <definedName name="jansb" localSheetId="24">RAcharya!$Y$4</definedName>
    <definedName name="jansb" localSheetId="21">RAttard!$Y$4</definedName>
    <definedName name="jansb" localSheetId="6">RCamilleri!$Y$4</definedName>
    <definedName name="jansb" localSheetId="3">RGaldes!$Y$4</definedName>
    <definedName name="jansb" localSheetId="13">RMallan_Albani!$Y$4</definedName>
    <definedName name="jansb" localSheetId="18">RSreejith!$Y$4</definedName>
    <definedName name="jansb" localSheetId="59">SPare!$Y$4</definedName>
    <definedName name="jansb" localSheetId="35">ZMifsud!$Y$4</definedName>
    <definedName name="janssc" localSheetId="0">'fs7'!$E$43</definedName>
    <definedName name="janULHr" localSheetId="34">AFalzon!$R$22</definedName>
    <definedName name="janULHr" localSheetId="14">AHaneena!$R$22</definedName>
    <definedName name="janULHr" localSheetId="19">AKunnamkudath!$R$22</definedName>
    <definedName name="janULHr" localSheetId="7">DMifsud_Ceci!$R$22</definedName>
    <definedName name="janULHr" localSheetId="33">ECurmi!$R$22</definedName>
    <definedName name="janULHr" localSheetId="15">ELama!$R$22</definedName>
    <definedName name="janULHr" localSheetId="5">KMizzi!$R$22</definedName>
    <definedName name="janULHr" localSheetId="10">LBonnici!$R$22</definedName>
    <definedName name="janULHr" localSheetId="4">LCarini!$R$22</definedName>
    <definedName name="janULHr" localSheetId="16">MAcero_Garzon!$R$22</definedName>
    <definedName name="janULHr" localSheetId="9">MCamilleri!$R$22</definedName>
    <definedName name="janULHr" localSheetId="37">MEllul!$R$22</definedName>
    <definedName name="janULHr" localSheetId="22">NScerri_Esposito!$R$22</definedName>
    <definedName name="janULHr" localSheetId="24">RAcharya!$R$22</definedName>
    <definedName name="janULHr" localSheetId="21">RAttard!$R$22</definedName>
    <definedName name="janULHr" localSheetId="6">RCamilleri!$R$22</definedName>
    <definedName name="janULHr" localSheetId="3">RGaldes!$R$22</definedName>
    <definedName name="janULHr" localSheetId="13">RMallan_Albani!$R$22</definedName>
    <definedName name="janULHr" localSheetId="18">RSreejith!$R$22</definedName>
    <definedName name="janULHr" localSheetId="59">SPare!$R$22</definedName>
    <definedName name="janULHr" localSheetId="35">ZMifsud!$R$22</definedName>
    <definedName name="JUL_PAY" localSheetId="34">AFalzon!$N$79:$Y$88</definedName>
    <definedName name="JUL_PAY" localSheetId="14">AHaneena!$N$79:$Y$88</definedName>
    <definedName name="JUL_PAY" localSheetId="19">AKunnamkudath!$N$79:$Y$88</definedName>
    <definedName name="JUL_PAY" localSheetId="7">DMifsud_Ceci!$N$79:$Y$88</definedName>
    <definedName name="JUL_PAY" localSheetId="33">ECurmi!$N$79:$Y$88</definedName>
    <definedName name="JUL_PAY" localSheetId="15">ELama!$N$79:$Y$88</definedName>
    <definedName name="JUL_PAY" localSheetId="5">KMizzi!$N$79:$Y$88</definedName>
    <definedName name="JUL_PAY" localSheetId="10">LBonnici!$N$79:$Y$88</definedName>
    <definedName name="JUL_PAY" localSheetId="4">LCarini!$N$79:$Y$88</definedName>
    <definedName name="JUL_PAY" localSheetId="16">MAcero_Garzon!$N$79:$Y$88</definedName>
    <definedName name="JUL_PAY" localSheetId="9">MCamilleri!$N$79:$Y$88</definedName>
    <definedName name="JUL_PAY" localSheetId="37">MEllul!$N$79:$Y$88</definedName>
    <definedName name="JUL_PAY" localSheetId="22">NScerri_Esposito!$N$79:$Y$88</definedName>
    <definedName name="JUL_PAY" localSheetId="24">RAcharya!$N$79:$Y$88</definedName>
    <definedName name="JUL_PAY" localSheetId="21">RAttard!$N$79:$Y$88</definedName>
    <definedName name="JUL_PAY" localSheetId="6">RCamilleri!$N$79:$Y$88</definedName>
    <definedName name="JUL_PAY" localSheetId="3">RGaldes!$N$79:$Y$88</definedName>
    <definedName name="JUL_PAY" localSheetId="13">RMallan_Albani!$N$79:$Y$88</definedName>
    <definedName name="JUL_PAY" localSheetId="18">RSreejith!$N$79:$Y$88</definedName>
    <definedName name="JUL_PAY" localSheetId="59">SPare!$N$79:$Y$88</definedName>
    <definedName name="JUL_PAY" localSheetId="35">ZMifsud!$N$79:$Y$88</definedName>
    <definedName name="JuleeSocSec" localSheetId="34">AFalzon!$V$81</definedName>
    <definedName name="JuleeSocSec" localSheetId="14">AHaneena!$V$81</definedName>
    <definedName name="JuleeSocSec" localSheetId="19">AKunnamkudath!$V$81</definedName>
    <definedName name="JuleeSocSec" localSheetId="7">DMifsud_Ceci!$V$81</definedName>
    <definedName name="JuleeSocSec" localSheetId="33">ECurmi!$V$81</definedName>
    <definedName name="JuleeSocSec" localSheetId="15">ELama!$V$81</definedName>
    <definedName name="JuleeSocSec" localSheetId="5">KMizzi!$V$81</definedName>
    <definedName name="JuleeSocSec" localSheetId="10">LBonnici!$V$81</definedName>
    <definedName name="JuleeSocSec" localSheetId="4">LCarini!$V$81</definedName>
    <definedName name="JuleeSocSec" localSheetId="16">MAcero_Garzon!$V$81</definedName>
    <definedName name="JuleeSocSec" localSheetId="9">MCamilleri!$V$81</definedName>
    <definedName name="JuleeSocSec" localSheetId="37">MEllul!$V$81</definedName>
    <definedName name="JuleeSocSec" localSheetId="22">NScerri_Esposito!$V$81</definedName>
    <definedName name="JuleeSocSec" localSheetId="24">RAcharya!$V$81</definedName>
    <definedName name="JuleeSocSec" localSheetId="21">RAttard!$V$81</definedName>
    <definedName name="JuleeSocSec" localSheetId="6">RCamilleri!$V$81</definedName>
    <definedName name="JuleeSocSec" localSheetId="3">RGaldes!$V$81</definedName>
    <definedName name="JuleeSocSec" localSheetId="13">RMallan_Albani!$V$81</definedName>
    <definedName name="JuleeSocSec" localSheetId="18">RSreejith!$V$81</definedName>
    <definedName name="JuleeSocSec" localSheetId="59">SPare!$V$81</definedName>
    <definedName name="JuleeSocSec" localSheetId="35">ZMifsud!$V$81</definedName>
    <definedName name="JulERSocSec" localSheetId="34">AFalzon!$U$81</definedName>
    <definedName name="JulERSocSec" localSheetId="14">AHaneena!$U$81</definedName>
    <definedName name="JulERSocSec" localSheetId="19">AKunnamkudath!$U$81</definedName>
    <definedName name="JulERSocSec" localSheetId="7">DMifsud_Ceci!$U$81</definedName>
    <definedName name="JulERSocSec" localSheetId="33">ECurmi!$U$81</definedName>
    <definedName name="JulERSocSec" localSheetId="15">ELama!$U$81</definedName>
    <definedName name="JulERSocSec" localSheetId="5">KMizzi!$U$81</definedName>
    <definedName name="JulERSocSec" localSheetId="10">LBonnici!$U$81</definedName>
    <definedName name="JulERSocSec" localSheetId="4">LCarini!$U$81</definedName>
    <definedName name="JulERSocSec" localSheetId="16">MAcero_Garzon!$U$81</definedName>
    <definedName name="JulERSocSec" localSheetId="9">MCamilleri!$U$81</definedName>
    <definedName name="JulERSocSec" localSheetId="37">MEllul!$U$81</definedName>
    <definedName name="JulERSocSec" localSheetId="22">NScerri_Esposito!$U$81</definedName>
    <definedName name="JulERSocSec" localSheetId="24">RAcharya!$U$81</definedName>
    <definedName name="JulERSocSec" localSheetId="21">RAttard!$U$81</definedName>
    <definedName name="JulERSocSec" localSheetId="6">RCamilleri!$U$81</definedName>
    <definedName name="JulERSocSec" localSheetId="3">RGaldes!$U$81</definedName>
    <definedName name="JulERSocSec" localSheetId="13">RMallan_Albani!$U$81</definedName>
    <definedName name="JulERSocSec" localSheetId="18">RSreejith!$U$81</definedName>
    <definedName name="JulERSocSec" localSheetId="59">SPare!$U$81</definedName>
    <definedName name="JulERSocSec" localSheetId="35">ZMifsud!$U$81</definedName>
    <definedName name="juleuhrs" localSheetId="34">AFalzon!$R$81</definedName>
    <definedName name="juleuhrs" localSheetId="14">AHaneena!$R$81</definedName>
    <definedName name="juleuhrs" localSheetId="19">AKunnamkudath!$R$81</definedName>
    <definedName name="juleuhrs" localSheetId="7">DMifsud_Ceci!$R$81</definedName>
    <definedName name="juleuhrs" localSheetId="33">ECurmi!$R$81</definedName>
    <definedName name="juleuhrs" localSheetId="15">ELama!$R$81</definedName>
    <definedName name="juleuhrs" localSheetId="5">KMizzi!$R$81</definedName>
    <definedName name="juleuhrs" localSheetId="10">LBonnici!$R$81</definedName>
    <definedName name="juleuhrs" localSheetId="4">LCarini!$R$81</definedName>
    <definedName name="juleuhrs" localSheetId="16">MAcero_Garzon!$R$81</definedName>
    <definedName name="juleuhrs" localSheetId="9">MCamilleri!$R$81</definedName>
    <definedName name="juleuhrs" localSheetId="37">MEllul!$R$81</definedName>
    <definedName name="juleuhrs" localSheetId="22">NScerri_Esposito!$R$81</definedName>
    <definedName name="juleuhrs" localSheetId="24">RAcharya!$R$81</definedName>
    <definedName name="juleuhrs" localSheetId="21">RAttard!$R$81</definedName>
    <definedName name="juleuhrs" localSheetId="6">RCamilleri!$R$81</definedName>
    <definedName name="juleuhrs" localSheetId="3">RGaldes!$R$81</definedName>
    <definedName name="juleuhrs" localSheetId="13">RMallan_Albani!$R$81</definedName>
    <definedName name="juleuhrs" localSheetId="18">RSreejith!$R$81</definedName>
    <definedName name="juleuhrs" localSheetId="59">SPare!$R$81</definedName>
    <definedName name="juleuhrs" localSheetId="35">ZMifsud!$R$81</definedName>
    <definedName name="julfsstax" localSheetId="0">'fs7'!$K$43</definedName>
    <definedName name="julgrs" localSheetId="34">AFalzon!$S$79:$S$83</definedName>
    <definedName name="julgrs" localSheetId="14">AHaneena!$S$79:$S$83</definedName>
    <definedName name="julgrs" localSheetId="19">AKunnamkudath!$S$79:$S$83</definedName>
    <definedName name="julgrs" localSheetId="7">DMifsud_Ceci!$S$79:$S$83</definedName>
    <definedName name="julgrs" localSheetId="33">ECurmi!$S$79:$S$83</definedName>
    <definedName name="julgrs" localSheetId="15">ELama!$S$79:$S$83</definedName>
    <definedName name="julgrs" localSheetId="5">KMizzi!$S$79:$S$83</definedName>
    <definedName name="julgrs" localSheetId="10">LBonnici!$S$79:$S$83</definedName>
    <definedName name="julgrs" localSheetId="4">LCarini!$S$79:$S$83</definedName>
    <definedName name="julgrs" localSheetId="16">MAcero_Garzon!$S$79:$S$83</definedName>
    <definedName name="julgrs" localSheetId="9">MCamilleri!$S$79:$S$83</definedName>
    <definedName name="julgrs" localSheetId="37">MEllul!$S$79:$S$83</definedName>
    <definedName name="julgrs" localSheetId="22">NScerri_Esposito!$S$79:$S$83</definedName>
    <definedName name="julgrs" localSheetId="24">RAcharya!$S$79:$S$83</definedName>
    <definedName name="julgrs" localSheetId="21">RAttard!$S$79:$S$83</definedName>
    <definedName name="julgrs" localSheetId="6">RCamilleri!$S$79:$S$83</definedName>
    <definedName name="julgrs" localSheetId="3">RGaldes!$S$79:$S$83</definedName>
    <definedName name="julgrs" localSheetId="13">RMallan_Albani!$S$79:$S$83</definedName>
    <definedName name="julgrs" localSheetId="18">RSreejith!$S$79:$S$83</definedName>
    <definedName name="julgrs" localSheetId="59">SPare!$S$79:$S$83</definedName>
    <definedName name="julgrs" localSheetId="35">ZMifsud!$S$79:$S$83</definedName>
    <definedName name="julhrrt" localSheetId="34">AFalzon!$R$10</definedName>
    <definedName name="julhrrt" localSheetId="14">AHaneena!$R$10</definedName>
    <definedName name="julhrrt" localSheetId="19">AKunnamkudath!$R$10</definedName>
    <definedName name="julhrrt" localSheetId="7">DMifsud_Ceci!$R$10</definedName>
    <definedName name="julhrrt" localSheetId="33">ECurmi!$R$10</definedName>
    <definedName name="julhrrt" localSheetId="15">ELama!$R$10</definedName>
    <definedName name="julhrrt" localSheetId="5">KMizzi!$R$10</definedName>
    <definedName name="julhrrt" localSheetId="10">LBonnici!$R$10</definedName>
    <definedName name="julhrrt" localSheetId="4">LCarini!$R$10</definedName>
    <definedName name="julhrrt" localSheetId="16">MAcero_Garzon!$R$10</definedName>
    <definedName name="julhrrt" localSheetId="9">MCamilleri!$R$10</definedName>
    <definedName name="julhrrt" localSheetId="37">MEllul!$R$10</definedName>
    <definedName name="julhrrt" localSheetId="22">NScerri_Esposito!$R$10</definedName>
    <definedName name="julhrrt" localSheetId="24">RAcharya!$R$10</definedName>
    <definedName name="julhrrt" localSheetId="21">RAttard!$R$10</definedName>
    <definedName name="julhrrt" localSheetId="6">RCamilleri!$R$10</definedName>
    <definedName name="julhrrt" localSheetId="3">RGaldes!$R$10</definedName>
    <definedName name="julhrrt" localSheetId="13">RMallan_Albani!$R$10</definedName>
    <definedName name="julhrrt" localSheetId="18">RSreejith!$R$10</definedName>
    <definedName name="julhrrt" localSheetId="59">SPare!$R$10</definedName>
    <definedName name="julhrrt" localSheetId="35">ZMifsud!$R$10</definedName>
    <definedName name="julmlf" localSheetId="34">AFalzon!$U$82</definedName>
    <definedName name="julmlf" localSheetId="14">AHaneena!$U$82</definedName>
    <definedName name="julmlf" localSheetId="19">AKunnamkudath!$U$82</definedName>
    <definedName name="julmlf" localSheetId="7">DMifsud_Ceci!$U$82</definedName>
    <definedName name="julmlf" localSheetId="33">ECurmi!$U$82</definedName>
    <definedName name="julmlf" localSheetId="15">ELama!$U$82</definedName>
    <definedName name="julmlf" localSheetId="0">'fs7'!$M$43</definedName>
    <definedName name="julmlf" localSheetId="5">KMizzi!$U$82</definedName>
    <definedName name="julmlf" localSheetId="10">LBonnici!$U$82</definedName>
    <definedName name="julmlf" localSheetId="4">LCarini!$U$82</definedName>
    <definedName name="julmlf" localSheetId="16">MAcero_Garzon!$U$82</definedName>
    <definedName name="julmlf" localSheetId="9">MCamilleri!$U$82</definedName>
    <definedName name="julmlf" localSheetId="37">MEllul!$U$82</definedName>
    <definedName name="julmlf" localSheetId="22">NScerri_Esposito!$U$82</definedName>
    <definedName name="julmlf" localSheetId="24">RAcharya!$U$82</definedName>
    <definedName name="julmlf" localSheetId="21">RAttard!$U$82</definedName>
    <definedName name="julmlf" localSheetId="6">RCamilleri!$U$82</definedName>
    <definedName name="julmlf" localSheetId="3">RGaldes!$U$82</definedName>
    <definedName name="julmlf" localSheetId="13">RMallan_Albani!$U$82</definedName>
    <definedName name="julmlf" localSheetId="18">RSreejith!$U$82</definedName>
    <definedName name="julmlf" localSheetId="59">SPare!$U$82</definedName>
    <definedName name="julmlf" localSheetId="35">ZMifsud!$U$82</definedName>
    <definedName name="juloth" localSheetId="34">AFalzon!$R$84</definedName>
    <definedName name="juloth" localSheetId="14">AHaneena!$R$84</definedName>
    <definedName name="juloth" localSheetId="19">AKunnamkudath!$R$84</definedName>
    <definedName name="juloth" localSheetId="7">DMifsud_Ceci!$R$84</definedName>
    <definedName name="juloth" localSheetId="33">ECurmi!$R$84</definedName>
    <definedName name="juloth" localSheetId="15">ELama!$R$84</definedName>
    <definedName name="juloth" localSheetId="5">KMizzi!$R$84</definedName>
    <definedName name="juloth" localSheetId="10">LBonnici!$R$84</definedName>
    <definedName name="juloth" localSheetId="4">LCarini!$R$84</definedName>
    <definedName name="juloth" localSheetId="16">MAcero_Garzon!$R$84</definedName>
    <definedName name="juloth" localSheetId="9">MCamilleri!$R$84</definedName>
    <definedName name="juloth" localSheetId="37">MEllul!$R$84</definedName>
    <definedName name="juloth" localSheetId="22">NScerri_Esposito!$R$84</definedName>
    <definedName name="juloth" localSheetId="24">RAcharya!$R$84</definedName>
    <definedName name="juloth" localSheetId="21">RAttard!$R$84</definedName>
    <definedName name="juloth" localSheetId="6">RCamilleri!$R$84</definedName>
    <definedName name="juloth" localSheetId="3">RGaldes!$R$84</definedName>
    <definedName name="juloth" localSheetId="13">RMallan_Albani!$R$84</definedName>
    <definedName name="juloth" localSheetId="18">RSreejith!$R$84</definedName>
    <definedName name="juloth" localSheetId="59">SPare!$R$84</definedName>
    <definedName name="juloth" localSheetId="35">ZMifsud!$R$84</definedName>
    <definedName name="julpb" localSheetId="34">AFalzon!$X$10</definedName>
    <definedName name="julpb" localSheetId="14">AHaneena!$X$10</definedName>
    <definedName name="julpb" localSheetId="19">AKunnamkudath!$X$10</definedName>
    <definedName name="julpb" localSheetId="7">DMifsud_Ceci!$X$10</definedName>
    <definedName name="julpb" localSheetId="33">ECurmi!$X$10</definedName>
    <definedName name="julpb" localSheetId="15">ELama!$X$10</definedName>
    <definedName name="julpb" localSheetId="5">KMizzi!$X$10</definedName>
    <definedName name="julpb" localSheetId="10">LBonnici!$X$10</definedName>
    <definedName name="julpb" localSheetId="4">LCarini!$X$10</definedName>
    <definedName name="julpb" localSheetId="16">MAcero_Garzon!$X$10</definedName>
    <definedName name="julpb" localSheetId="9">MCamilleri!$X$10</definedName>
    <definedName name="julpb" localSheetId="37">MEllul!$X$10</definedName>
    <definedName name="julpb" localSheetId="22">NScerri_Esposito!$X$10</definedName>
    <definedName name="julpb" localSheetId="24">RAcharya!$X$10</definedName>
    <definedName name="julpb" localSheetId="21">RAttard!$X$10</definedName>
    <definedName name="julpb" localSheetId="6">RCamilleri!$X$10</definedName>
    <definedName name="julpb" localSheetId="3">RGaldes!$X$10</definedName>
    <definedName name="julpb" localSheetId="13">RMallan_Albani!$X$10</definedName>
    <definedName name="julpb" localSheetId="18">RSreejith!$X$10</definedName>
    <definedName name="julpb" localSheetId="59">SPare!$X$10</definedName>
    <definedName name="julpb" localSheetId="35">ZMifsud!$X$10</definedName>
    <definedName name="julsb" localSheetId="34">AFalzon!$Y$10</definedName>
    <definedName name="julsb" localSheetId="14">AHaneena!$Y$10</definedName>
    <definedName name="julsb" localSheetId="19">AKunnamkudath!$Y$10</definedName>
    <definedName name="julsb" localSheetId="7">DMifsud_Ceci!$Y$10</definedName>
    <definedName name="julsb" localSheetId="33">ECurmi!$Y$10</definedName>
    <definedName name="julsb" localSheetId="15">ELama!$Y$10</definedName>
    <definedName name="julsb" localSheetId="5">KMizzi!$Y$10</definedName>
    <definedName name="julsb" localSheetId="10">LBonnici!$Y$10</definedName>
    <definedName name="julsb" localSheetId="4">LCarini!$Y$10</definedName>
    <definedName name="julsb" localSheetId="16">MAcero_Garzon!$Y$10</definedName>
    <definedName name="julsb" localSheetId="9">MCamilleri!$Y$10</definedName>
    <definedName name="julsb" localSheetId="37">MEllul!$Y$10</definedName>
    <definedName name="julsb" localSheetId="22">NScerri_Esposito!$Y$10</definedName>
    <definedName name="julsb" localSheetId="24">RAcharya!$Y$10</definedName>
    <definedName name="julsb" localSheetId="21">RAttard!$Y$10</definedName>
    <definedName name="julsb" localSheetId="6">RCamilleri!$Y$10</definedName>
    <definedName name="julsb" localSheetId="3">RGaldes!$Y$10</definedName>
    <definedName name="julsb" localSheetId="13">RMallan_Albani!$Y$10</definedName>
    <definedName name="julsb" localSheetId="18">RSreejith!$Y$10</definedName>
    <definedName name="julsb" localSheetId="59">SPare!$Y$10</definedName>
    <definedName name="julsb" localSheetId="35">ZMifsud!$Y$10</definedName>
    <definedName name="julssc" localSheetId="0">'fs7'!$L$43</definedName>
    <definedName name="julULHr" localSheetId="34">AFalzon!$R$82</definedName>
    <definedName name="julULHr" localSheetId="14">AHaneena!$R$82</definedName>
    <definedName name="julULHr" localSheetId="19">AKunnamkudath!$R$82</definedName>
    <definedName name="julULHr" localSheetId="7">DMifsud_Ceci!$R$82</definedName>
    <definedName name="julULHr" localSheetId="33">ECurmi!$R$82</definedName>
    <definedName name="julULHr" localSheetId="15">ELama!$R$82</definedName>
    <definedName name="julULHr" localSheetId="5">KMizzi!$R$82</definedName>
    <definedName name="julULHr" localSheetId="10">LBonnici!$R$82</definedName>
    <definedName name="julULHr" localSheetId="4">LCarini!$R$82</definedName>
    <definedName name="julULHr" localSheetId="16">MAcero_Garzon!$R$82</definedName>
    <definedName name="julULHr" localSheetId="9">MCamilleri!$R$82</definedName>
    <definedName name="julULHr" localSheetId="37">MEllul!$R$82</definedName>
    <definedName name="julULHr" localSheetId="22">NScerri_Esposito!$R$82</definedName>
    <definedName name="julULHr" localSheetId="24">RAcharya!$R$82</definedName>
    <definedName name="julULHr" localSheetId="21">RAttard!$R$82</definedName>
    <definedName name="julULHr" localSheetId="6">RCamilleri!$R$82</definedName>
    <definedName name="julULHr" localSheetId="3">RGaldes!$R$82</definedName>
    <definedName name="julULHr" localSheetId="13">RMallan_Albani!$R$82</definedName>
    <definedName name="julULHr" localSheetId="18">RSreejith!$R$82</definedName>
    <definedName name="julULHr" localSheetId="59">SPare!$R$82</definedName>
    <definedName name="julULHr" localSheetId="35">ZMifsud!$R$82</definedName>
    <definedName name="JUN_PAY" localSheetId="34">AFalzon!$N$69:$Y$78</definedName>
    <definedName name="JUN_PAY" localSheetId="14">AHaneena!$N$69:$Y$78</definedName>
    <definedName name="JUN_PAY" localSheetId="19">AKunnamkudath!$N$69:$Y$78</definedName>
    <definedName name="JUN_PAY" localSheetId="7">DMifsud_Ceci!$N$69:$Y$78</definedName>
    <definedName name="JUN_PAY" localSheetId="33">ECurmi!$N$69:$Y$78</definedName>
    <definedName name="JUN_PAY" localSheetId="15">ELama!$N$69:$Y$78</definedName>
    <definedName name="JUN_PAY" localSheetId="5">KMizzi!$N$69:$Y$78</definedName>
    <definedName name="JUN_PAY" localSheetId="10">LBonnici!$N$69:$Y$78</definedName>
    <definedName name="JUN_PAY" localSheetId="4">LCarini!$N$69:$Y$78</definedName>
    <definedName name="JUN_PAY" localSheetId="16">MAcero_Garzon!$N$69:$Y$78</definedName>
    <definedName name="JUN_PAY" localSheetId="9">MCamilleri!$N$69:$Y$78</definedName>
    <definedName name="JUN_PAY" localSheetId="37">MEllul!$N$69:$Y$78</definedName>
    <definedName name="JUN_PAY" localSheetId="22">NScerri_Esposito!$N$69:$Y$78</definedName>
    <definedName name="JUN_PAY" localSheetId="24">RAcharya!$N$69:$Y$78</definedName>
    <definedName name="JUN_PAY" localSheetId="21">RAttard!$N$69:$Y$78</definedName>
    <definedName name="JUN_PAY" localSheetId="6">RCamilleri!$N$69:$Y$78</definedName>
    <definedName name="JUN_PAY" localSheetId="3">RGaldes!$N$69:$Y$78</definedName>
    <definedName name="JUN_PAY" localSheetId="13">RMallan_Albani!$N$69:$Y$78</definedName>
    <definedName name="JUN_PAY" localSheetId="18">RSreejith!$N$69:$Y$78</definedName>
    <definedName name="JUN_PAY" localSheetId="59">SPare!$N$69:$Y$78</definedName>
    <definedName name="JUN_PAY" localSheetId="35">ZMifsud!$N$69:$Y$78</definedName>
    <definedName name="JuneeSocSec" localSheetId="34">AFalzon!$V$71</definedName>
    <definedName name="JuneeSocSec" localSheetId="14">AHaneena!$V$71</definedName>
    <definedName name="JuneeSocSec" localSheetId="19">AKunnamkudath!$V$71</definedName>
    <definedName name="JuneeSocSec" localSheetId="7">DMifsud_Ceci!$V$71</definedName>
    <definedName name="JuneeSocSec" localSheetId="33">ECurmi!$V$71</definedName>
    <definedName name="JuneeSocSec" localSheetId="15">ELama!$V$71</definedName>
    <definedName name="JuneeSocSec" localSheetId="5">KMizzi!$V$71</definedName>
    <definedName name="JuneeSocSec" localSheetId="10">LBonnici!$V$71</definedName>
    <definedName name="JuneeSocSec" localSheetId="4">LCarini!$V$71</definedName>
    <definedName name="JuneeSocSec" localSheetId="16">MAcero_Garzon!$V$71</definedName>
    <definedName name="JuneeSocSec" localSheetId="9">MCamilleri!$V$71</definedName>
    <definedName name="JuneeSocSec" localSheetId="37">MEllul!$V$71</definedName>
    <definedName name="JuneeSocSec" localSheetId="22">NScerri_Esposito!$V$71</definedName>
    <definedName name="JuneeSocSec" localSheetId="24">RAcharya!$V$71</definedName>
    <definedName name="JuneeSocSec" localSheetId="21">RAttard!$V$71</definedName>
    <definedName name="JuneeSocSec" localSheetId="6">RCamilleri!$V$71</definedName>
    <definedName name="JuneeSocSec" localSheetId="3">RGaldes!$V$71</definedName>
    <definedName name="JuneeSocSec" localSheetId="13">RMallan_Albani!$V$71</definedName>
    <definedName name="JuneeSocSec" localSheetId="18">RSreejith!$V$71</definedName>
    <definedName name="JuneeSocSec" localSheetId="59">SPare!$V$71</definedName>
    <definedName name="JuneeSocSec" localSheetId="35">ZMifsud!$V$71</definedName>
    <definedName name="JunERSocSec" localSheetId="34">AFalzon!$U$71</definedName>
    <definedName name="JunERSocSec" localSheetId="14">AHaneena!$U$71</definedName>
    <definedName name="JunERSocSec" localSheetId="19">AKunnamkudath!$U$71</definedName>
    <definedName name="JunERSocSec" localSheetId="7">DMifsud_Ceci!$U$71</definedName>
    <definedName name="JunERSocSec" localSheetId="33">ECurmi!$U$71</definedName>
    <definedName name="JunERSocSec" localSheetId="15">ELama!$U$71</definedName>
    <definedName name="JunERSocSec" localSheetId="5">KMizzi!$U$71</definedName>
    <definedName name="JunERSocSec" localSheetId="10">LBonnici!$U$71</definedName>
    <definedName name="JunERSocSec" localSheetId="4">LCarini!$U$71</definedName>
    <definedName name="JunERSocSec" localSheetId="16">MAcero_Garzon!$U$71</definedName>
    <definedName name="JunERSocSec" localSheetId="9">MCamilleri!$U$71</definedName>
    <definedName name="JunERSocSec" localSheetId="37">MEllul!$U$71</definedName>
    <definedName name="JunERSocSec" localSheetId="22">NScerri_Esposito!$U$71</definedName>
    <definedName name="JunERSocSec" localSheetId="24">RAcharya!$U$71</definedName>
    <definedName name="JunERSocSec" localSheetId="21">RAttard!$U$71</definedName>
    <definedName name="JunERSocSec" localSheetId="6">RCamilleri!$U$71</definedName>
    <definedName name="JunERSocSec" localSheetId="3">RGaldes!$U$71</definedName>
    <definedName name="JunERSocSec" localSheetId="13">RMallan_Albani!$U$71</definedName>
    <definedName name="JunERSocSec" localSheetId="18">RSreejith!$U$71</definedName>
    <definedName name="JunERSocSec" localSheetId="59">SPare!$U$71</definedName>
    <definedName name="JunERSocSec" localSheetId="35">ZMifsud!$U$71</definedName>
    <definedName name="juneuhrs" localSheetId="34">AFalzon!$R$71</definedName>
    <definedName name="juneuhrs" localSheetId="14">AHaneena!$R$71</definedName>
    <definedName name="juneuhrs" localSheetId="19">AKunnamkudath!$R$71</definedName>
    <definedName name="juneuhrs" localSheetId="7">DMifsud_Ceci!$R$71</definedName>
    <definedName name="juneuhrs" localSheetId="33">ECurmi!$R$71</definedName>
    <definedName name="juneuhrs" localSheetId="15">ELama!$R$71</definedName>
    <definedName name="juneuhrs" localSheetId="5">KMizzi!$R$71</definedName>
    <definedName name="juneuhrs" localSheetId="10">LBonnici!$R$71</definedName>
    <definedName name="juneuhrs" localSheetId="4">LCarini!$R$71</definedName>
    <definedName name="juneuhrs" localSheetId="16">MAcero_Garzon!$R$71</definedName>
    <definedName name="juneuhrs" localSheetId="9">MCamilleri!$R$71</definedName>
    <definedName name="juneuhrs" localSheetId="37">MEllul!$R$71</definedName>
    <definedName name="juneuhrs" localSheetId="22">NScerri_Esposito!$R$71</definedName>
    <definedName name="juneuhrs" localSheetId="24">RAcharya!$R$71</definedName>
    <definedName name="juneuhrs" localSheetId="21">RAttard!$R$71</definedName>
    <definedName name="juneuhrs" localSheetId="6">RCamilleri!$R$71</definedName>
    <definedName name="juneuhrs" localSheetId="3">RGaldes!$R$71</definedName>
    <definedName name="juneuhrs" localSheetId="13">RMallan_Albani!$R$71</definedName>
    <definedName name="juneuhrs" localSheetId="18">RSreejith!$R$71</definedName>
    <definedName name="juneuhrs" localSheetId="59">SPare!$R$71</definedName>
    <definedName name="juneuhrs" localSheetId="35">ZMifsud!$R$71</definedName>
    <definedName name="junfsstax" localSheetId="0">'fs7'!$D$48</definedName>
    <definedName name="jungrs" localSheetId="34">AFalzon!$S$69:$S$73</definedName>
    <definedName name="jungrs" localSheetId="14">AHaneena!$S$69:$S$73</definedName>
    <definedName name="jungrs" localSheetId="19">AKunnamkudath!$S$69:$S$73</definedName>
    <definedName name="jungrs" localSheetId="7">DMifsud_Ceci!$S$69:$S$73</definedName>
    <definedName name="jungrs" localSheetId="33">ECurmi!$S$69:$S$73</definedName>
    <definedName name="jungrs" localSheetId="15">ELama!$S$69:$S$73</definedName>
    <definedName name="jungrs" localSheetId="5">KMizzi!$S$69:$S$73</definedName>
    <definedName name="jungrs" localSheetId="10">LBonnici!$S$69:$S$73</definedName>
    <definedName name="jungrs" localSheetId="4">LCarini!$S$69:$S$73</definedName>
    <definedName name="jungrs" localSheetId="16">MAcero_Garzon!$S$69:$S$73</definedName>
    <definedName name="jungrs" localSheetId="9">MCamilleri!$S$69:$S$73</definedName>
    <definedName name="jungrs" localSheetId="37">MEllul!$S$69:$S$73</definedName>
    <definedName name="jungrs" localSheetId="22">NScerri_Esposito!$S$69:$S$73</definedName>
    <definedName name="jungrs" localSheetId="24">RAcharya!$S$69:$S$73</definedName>
    <definedName name="jungrs" localSheetId="21">RAttard!$S$69:$S$73</definedName>
    <definedName name="jungrs" localSheetId="6">RCamilleri!$S$69:$S$73</definedName>
    <definedName name="jungrs" localSheetId="3">RGaldes!$S$69:$S$73</definedName>
    <definedName name="jungrs" localSheetId="13">RMallan_Albani!$S$69:$S$73</definedName>
    <definedName name="jungrs" localSheetId="18">RSreejith!$S$69:$S$73</definedName>
    <definedName name="jungrs" localSheetId="59">SPare!$S$69:$S$73</definedName>
    <definedName name="jungrs" localSheetId="35">ZMifsud!$S$69:$S$73</definedName>
    <definedName name="junhrrt" localSheetId="34">AFalzon!$R$9</definedName>
    <definedName name="junhrrt" localSheetId="14">AHaneena!$R$9</definedName>
    <definedName name="junhrrt" localSheetId="19">AKunnamkudath!$R$9</definedName>
    <definedName name="junhrrt" localSheetId="7">DMifsud_Ceci!$R$9</definedName>
    <definedName name="junhrrt" localSheetId="33">ECurmi!$R$9</definedName>
    <definedName name="junhrrt" localSheetId="15">ELama!$R$9</definedName>
    <definedName name="junhrrt" localSheetId="5">KMizzi!$R$9</definedName>
    <definedName name="junhrrt" localSheetId="10">LBonnici!$R$9</definedName>
    <definedName name="junhrrt" localSheetId="4">LCarini!$R$9</definedName>
    <definedName name="junhrrt" localSheetId="16">MAcero_Garzon!$R$9</definedName>
    <definedName name="junhrrt" localSheetId="9">MCamilleri!$R$9</definedName>
    <definedName name="junhrrt" localSheetId="37">MEllul!$R$9</definedName>
    <definedName name="junhrrt" localSheetId="22">NScerri_Esposito!$R$9</definedName>
    <definedName name="junhrrt" localSheetId="24">RAcharya!$R$9</definedName>
    <definedName name="junhrrt" localSheetId="21">RAttard!$R$9</definedName>
    <definedName name="junhrrt" localSheetId="6">RCamilleri!$R$9</definedName>
    <definedName name="junhrrt" localSheetId="3">RGaldes!$R$9</definedName>
    <definedName name="junhrrt" localSheetId="13">RMallan_Albani!$R$9</definedName>
    <definedName name="junhrrt" localSheetId="18">RSreejith!$R$9</definedName>
    <definedName name="junhrrt" localSheetId="59">SPare!$R$9</definedName>
    <definedName name="junhrrt" localSheetId="35">ZMifsud!$R$9</definedName>
    <definedName name="junmlf" localSheetId="34">AFalzon!$U$72</definedName>
    <definedName name="junmlf" localSheetId="14">AHaneena!$U$72</definedName>
    <definedName name="junmlf" localSheetId="19">AKunnamkudath!$U$72</definedName>
    <definedName name="junmlf" localSheetId="7">DMifsud_Ceci!$U$72</definedName>
    <definedName name="junmlf" localSheetId="33">ECurmi!$U$72</definedName>
    <definedName name="junmlf" localSheetId="15">ELama!$U$72</definedName>
    <definedName name="junmlf" localSheetId="0">'fs7'!$F$48</definedName>
    <definedName name="junmlf" localSheetId="5">KMizzi!$U$72</definedName>
    <definedName name="junmlf" localSheetId="10">LBonnici!$U$72</definedName>
    <definedName name="junmlf" localSheetId="4">LCarini!$U$72</definedName>
    <definedName name="junmlf" localSheetId="16">MAcero_Garzon!$U$72</definedName>
    <definedName name="junmlf" localSheetId="9">MCamilleri!$U$72</definedName>
    <definedName name="junmlf" localSheetId="37">MEllul!$U$72</definedName>
    <definedName name="junmlf" localSheetId="22">NScerri_Esposito!$U$72</definedName>
    <definedName name="junmlf" localSheetId="24">RAcharya!$U$72</definedName>
    <definedName name="junmlf" localSheetId="21">RAttard!$U$72</definedName>
    <definedName name="junmlf" localSheetId="6">RCamilleri!$U$72</definedName>
    <definedName name="junmlf" localSheetId="3">RGaldes!$U$72</definedName>
    <definedName name="junmlf" localSheetId="13">RMallan_Albani!$U$72</definedName>
    <definedName name="junmlf" localSheetId="18">RSreejith!$U$72</definedName>
    <definedName name="junmlf" localSheetId="59">SPare!$U$72</definedName>
    <definedName name="junmlf" localSheetId="35">ZMifsud!$U$72</definedName>
    <definedName name="junoth" localSheetId="34">AFalzon!$R$74</definedName>
    <definedName name="junoth" localSheetId="14">AHaneena!$R$74</definedName>
    <definedName name="junoth" localSheetId="19">AKunnamkudath!$R$74</definedName>
    <definedName name="junoth" localSheetId="7">DMifsud_Ceci!$R$74</definedName>
    <definedName name="junoth" localSheetId="33">ECurmi!$R$74</definedName>
    <definedName name="junoth" localSheetId="15">ELama!$R$74</definedName>
    <definedName name="junoth" localSheetId="5">KMizzi!$R$74</definedName>
    <definedName name="junoth" localSheetId="10">LBonnici!$R$74</definedName>
    <definedName name="junoth" localSheetId="4">LCarini!$R$74</definedName>
    <definedName name="junoth" localSheetId="16">MAcero_Garzon!$R$74</definedName>
    <definedName name="junoth" localSheetId="9">MCamilleri!$R$74</definedName>
    <definedName name="junoth" localSheetId="37">MEllul!$R$74</definedName>
    <definedName name="junoth" localSheetId="22">NScerri_Esposito!$R$74</definedName>
    <definedName name="junoth" localSheetId="24">RAcharya!$R$74</definedName>
    <definedName name="junoth" localSheetId="21">RAttard!$R$74</definedName>
    <definedName name="junoth" localSheetId="6">RCamilleri!$R$74</definedName>
    <definedName name="junoth" localSheetId="3">RGaldes!$R$74</definedName>
    <definedName name="junoth" localSheetId="13">RMallan_Albani!$R$74</definedName>
    <definedName name="junoth" localSheetId="18">RSreejith!$R$74</definedName>
    <definedName name="junoth" localSheetId="59">SPare!$R$74</definedName>
    <definedName name="junoth" localSheetId="35">ZMifsud!$R$74</definedName>
    <definedName name="junpb" localSheetId="34">AFalzon!$X$9</definedName>
    <definedName name="junpb" localSheetId="14">AHaneena!$X$9</definedName>
    <definedName name="junpb" localSheetId="19">AKunnamkudath!$X$9</definedName>
    <definedName name="junpb" localSheetId="7">DMifsud_Ceci!$X$9</definedName>
    <definedName name="junpb" localSheetId="33">ECurmi!$X$9</definedName>
    <definedName name="junpb" localSheetId="15">ELama!$X$9</definedName>
    <definedName name="junpb" localSheetId="5">KMizzi!$X$9</definedName>
    <definedName name="junpb" localSheetId="10">LBonnici!$X$9</definedName>
    <definedName name="junpb" localSheetId="4">LCarini!$X$9</definedName>
    <definedName name="junpb" localSheetId="16">MAcero_Garzon!$X$9</definedName>
    <definedName name="junpb" localSheetId="9">MCamilleri!$X$9</definedName>
    <definedName name="junpb" localSheetId="37">MEllul!$X$9</definedName>
    <definedName name="junpb" localSheetId="22">NScerri_Esposito!$X$9</definedName>
    <definedName name="junpb" localSheetId="24">RAcharya!$X$9</definedName>
    <definedName name="junpb" localSheetId="21">RAttard!$X$9</definedName>
    <definedName name="junpb" localSheetId="6">RCamilleri!$X$9</definedName>
    <definedName name="junpb" localSheetId="3">RGaldes!$X$9</definedName>
    <definedName name="junpb" localSheetId="13">RMallan_Albani!$X$9</definedName>
    <definedName name="junpb" localSheetId="18">RSreejith!$X$9</definedName>
    <definedName name="junpb" localSheetId="59">SPare!$X$9</definedName>
    <definedName name="junpb" localSheetId="35">ZMifsud!$X$9</definedName>
    <definedName name="junsb" localSheetId="34">AFalzon!$Y$9</definedName>
    <definedName name="junsb" localSheetId="14">AHaneena!$Y$9</definedName>
    <definedName name="junsb" localSheetId="19">AKunnamkudath!$Y$9</definedName>
    <definedName name="junsb" localSheetId="7">DMifsud_Ceci!$Y$9</definedName>
    <definedName name="junsb" localSheetId="33">ECurmi!$Y$9</definedName>
    <definedName name="junsb" localSheetId="15">ELama!$Y$9</definedName>
    <definedName name="junsb" localSheetId="5">KMizzi!$Y$9</definedName>
    <definedName name="junsb" localSheetId="10">LBonnici!$Y$9</definedName>
    <definedName name="junsb" localSheetId="4">LCarini!$Y$9</definedName>
    <definedName name="junsb" localSheetId="16">MAcero_Garzon!$Y$9</definedName>
    <definedName name="junsb" localSheetId="9">MCamilleri!$Y$9</definedName>
    <definedName name="junsb" localSheetId="37">MEllul!$Y$9</definedName>
    <definedName name="junsb" localSheetId="22">NScerri_Esposito!$Y$9</definedName>
    <definedName name="junsb" localSheetId="24">RAcharya!$Y$9</definedName>
    <definedName name="junsb" localSheetId="21">RAttard!$Y$9</definedName>
    <definedName name="junsb" localSheetId="6">RCamilleri!$Y$9</definedName>
    <definedName name="junsb" localSheetId="3">RGaldes!$Y$9</definedName>
    <definedName name="junsb" localSheetId="13">RMallan_Albani!$Y$9</definedName>
    <definedName name="junsb" localSheetId="18">RSreejith!$Y$9</definedName>
    <definedName name="junsb" localSheetId="59">SPare!$Y$9</definedName>
    <definedName name="junsb" localSheetId="35">ZMifsud!$Y$9</definedName>
    <definedName name="junssc" localSheetId="0">'fs7'!$E$48</definedName>
    <definedName name="junULHr" localSheetId="34">AFalzon!$R$72</definedName>
    <definedName name="junULHr" localSheetId="14">AHaneena!$R$72</definedName>
    <definedName name="junULHr" localSheetId="19">AKunnamkudath!$R$72</definedName>
    <definedName name="junULHr" localSheetId="7">DMifsud_Ceci!$R$72</definedName>
    <definedName name="junULHr" localSheetId="33">ECurmi!$R$72</definedName>
    <definedName name="junULHr" localSheetId="15">ELama!$R$72</definedName>
    <definedName name="junULHr" localSheetId="5">KMizzi!$R$72</definedName>
    <definedName name="junULHr" localSheetId="10">LBonnici!$R$72</definedName>
    <definedName name="junULHr" localSheetId="4">LCarini!$R$72</definedName>
    <definedName name="junULHr" localSheetId="16">MAcero_Garzon!$R$72</definedName>
    <definedName name="junULHr" localSheetId="9">MCamilleri!$R$72</definedName>
    <definedName name="junULHr" localSheetId="37">MEllul!$R$72</definedName>
    <definedName name="junULHr" localSheetId="22">NScerri_Esposito!$R$72</definedName>
    <definedName name="junULHr" localSheetId="24">RAcharya!$R$72</definedName>
    <definedName name="junULHr" localSheetId="21">RAttard!$R$72</definedName>
    <definedName name="junULHr" localSheetId="6">RCamilleri!$R$72</definedName>
    <definedName name="junULHr" localSheetId="3">RGaldes!$R$72</definedName>
    <definedName name="junULHr" localSheetId="13">RMallan_Albani!$R$72</definedName>
    <definedName name="junULHr" localSheetId="18">RSreejith!$R$72</definedName>
    <definedName name="junULHr" localSheetId="59">SPare!$R$72</definedName>
    <definedName name="junULHr" localSheetId="35">ZMifsud!$R$72</definedName>
    <definedName name="Locality" localSheetId="34">AFalzon!$C$10</definedName>
    <definedName name="Locality" localSheetId="14">AHaneena!$C$10</definedName>
    <definedName name="Locality" localSheetId="19">AKunnamkudath!$C$10</definedName>
    <definedName name="Locality" localSheetId="7">DMifsud_Ceci!$C$10</definedName>
    <definedName name="Locality" localSheetId="33">ECurmi!$C$10</definedName>
    <definedName name="Locality" localSheetId="15">ELama!$C$10</definedName>
    <definedName name="Locality" localSheetId="5">KMizzi!$C$10</definedName>
    <definedName name="Locality" localSheetId="10">LBonnici!$C$10</definedName>
    <definedName name="Locality" localSheetId="4">LCarini!$C$10</definedName>
    <definedName name="Locality" localSheetId="16">MAcero_Garzon!$C$10</definedName>
    <definedName name="Locality" localSheetId="9">MCamilleri!$C$10</definedName>
    <definedName name="Locality" localSheetId="37">MEllul!$C$10</definedName>
    <definedName name="Locality" localSheetId="22">NScerri_Esposito!$C$10</definedName>
    <definedName name="Locality" localSheetId="24">RAcharya!$C$10</definedName>
    <definedName name="Locality" localSheetId="21">RAttard!$C$10</definedName>
    <definedName name="Locality" localSheetId="6">RCamilleri!$C$10</definedName>
    <definedName name="Locality" localSheetId="3">RGaldes!$C$10</definedName>
    <definedName name="Locality" localSheetId="13">RMallan_Albani!$C$10</definedName>
    <definedName name="Locality" localSheetId="18">RSreejith!$C$10</definedName>
    <definedName name="Locality" localSheetId="59">SPare!$C$10</definedName>
    <definedName name="Locality" localSheetId="35">ZMifsud!$C$10</definedName>
    <definedName name="MAR_PAY" localSheetId="34">AFalzon!$N$39:$Y$48</definedName>
    <definedName name="MAR_PAY" localSheetId="14">AHaneena!$N$39:$Y$48</definedName>
    <definedName name="MAR_PAY" localSheetId="19">AKunnamkudath!$N$39:$Y$48</definedName>
    <definedName name="MAR_PAY" localSheetId="7">DMifsud_Ceci!$N$39:$Y$48</definedName>
    <definedName name="MAR_PAY" localSheetId="33">ECurmi!$N$39:$Y$48</definedName>
    <definedName name="MAR_PAY" localSheetId="15">ELama!$N$39:$Y$48</definedName>
    <definedName name="MAR_PAY" localSheetId="5">KMizzi!$N$39:$Y$48</definedName>
    <definedName name="MAR_PAY" localSheetId="10">LBonnici!$N$39:$Y$48</definedName>
    <definedName name="MAR_PAY" localSheetId="4">LCarini!$N$39:$Y$48</definedName>
    <definedName name="MAR_PAY" localSheetId="16">MAcero_Garzon!$N$39:$Y$48</definedName>
    <definedName name="MAR_PAY" localSheetId="9">MCamilleri!$N$39:$Y$48</definedName>
    <definedName name="MAR_PAY" localSheetId="37">MEllul!$N$39:$Y$48</definedName>
    <definedName name="MAR_PAY" localSheetId="22">NScerri_Esposito!$N$39:$Y$48</definedName>
    <definedName name="MAR_PAY" localSheetId="24">RAcharya!$N$39:$Y$48</definedName>
    <definedName name="MAR_PAY" localSheetId="21">RAttard!$N$39:$Y$48</definedName>
    <definedName name="MAR_PAY" localSheetId="6">RCamilleri!$N$39:$Y$48</definedName>
    <definedName name="MAR_PAY" localSheetId="3">RGaldes!$N$39:$Y$48</definedName>
    <definedName name="MAR_PAY" localSheetId="13">RMallan_Albani!$N$39:$Y$48</definedName>
    <definedName name="MAR_PAY" localSheetId="18">RSreejith!$N$39:$Y$48</definedName>
    <definedName name="MAR_PAY" localSheetId="59">SPare!$N$39:$Y$48</definedName>
    <definedName name="MAR_PAY" localSheetId="35">ZMifsud!$N$39:$Y$48</definedName>
    <definedName name="mar1ded">DATA!$O$48</definedName>
    <definedName name="mar1rate">DATA!$N$48</definedName>
    <definedName name="mar2ded">DATA!$O$49</definedName>
    <definedName name="mar2rate">DATA!$N$49</definedName>
    <definedName name="mar3ded">DATA!$O$50</definedName>
    <definedName name="mar3rate">DATA!$N$50</definedName>
    <definedName name="mar4ded">DATA!$O$51</definedName>
    <definedName name="mar4rate">DATA!$N$51</definedName>
    <definedName name="mar5ded">DATA!$O$52</definedName>
    <definedName name="mar5rate">DATA!$N$52</definedName>
    <definedName name="MareeSocSec" localSheetId="34">AFalzon!$AI$6</definedName>
    <definedName name="MareeSocSec" localSheetId="14">AHaneena!$AI$6</definedName>
    <definedName name="MareeSocSec" localSheetId="19">AKunnamkudath!$AI$6</definedName>
    <definedName name="MareeSocSec" localSheetId="7">DMifsud_Ceci!$AI$6</definedName>
    <definedName name="MareeSocSec" localSheetId="33">ECurmi!$AI$6</definedName>
    <definedName name="MareeSocSec" localSheetId="15">ELama!$AI$6</definedName>
    <definedName name="MareeSocSec" localSheetId="5">KMizzi!$AI$6</definedName>
    <definedName name="MareeSocSec" localSheetId="10">LBonnici!$AI$6</definedName>
    <definedName name="MareeSocSec" localSheetId="4">LCarini!$AI$6</definedName>
    <definedName name="MareeSocSec" localSheetId="16">MAcero_Garzon!$AI$6</definedName>
    <definedName name="MareeSocSec" localSheetId="9">MCamilleri!$AI$6</definedName>
    <definedName name="MareeSocSec" localSheetId="37">MEllul!$AI$6</definedName>
    <definedName name="MareeSocSec" localSheetId="22">NScerri_Esposito!$AI$6</definedName>
    <definedName name="MareeSocSec" localSheetId="24">RAcharya!$AI$6</definedName>
    <definedName name="MareeSocSec" localSheetId="21">RAttard!$AI$6</definedName>
    <definedName name="MareeSocSec" localSheetId="6">RCamilleri!$AI$6</definedName>
    <definedName name="MareeSocSec" localSheetId="3">RGaldes!$AI$6</definedName>
    <definedName name="MareeSocSec" localSheetId="13">RMallan_Albani!$AI$6</definedName>
    <definedName name="MareeSocSec" localSheetId="18">RSreejith!$AI$6</definedName>
    <definedName name="MareeSocSec" localSheetId="59">SPare!$AI$6</definedName>
    <definedName name="MareeSocSec" localSheetId="35">ZMifsud!$AI$6</definedName>
    <definedName name="MarErSocSec" localSheetId="34">AFalzon!$AH$6</definedName>
    <definedName name="MarErSocSec" localSheetId="14">AHaneena!$AH$6</definedName>
    <definedName name="MarErSocSec" localSheetId="19">AKunnamkudath!$AH$6</definedName>
    <definedName name="MarErSocSec" localSheetId="7">DMifsud_Ceci!$AH$6</definedName>
    <definedName name="MarErSocSec" localSheetId="33">ECurmi!$AH$6</definedName>
    <definedName name="MarErSocSec" localSheetId="15">ELama!$AH$6</definedName>
    <definedName name="MarErSocSec" localSheetId="5">KMizzi!$AH$6</definedName>
    <definedName name="MarErSocSec" localSheetId="10">LBonnici!$AH$6</definedName>
    <definedName name="MarErSocSec" localSheetId="4">LCarini!$AH$6</definedName>
    <definedName name="MarErSocSec" localSheetId="16">MAcero_Garzon!$AH$6</definedName>
    <definedName name="MarErSocSec" localSheetId="9">MCamilleri!$AH$6</definedName>
    <definedName name="MarErSocSec" localSheetId="37">MEllul!$AH$6</definedName>
    <definedName name="MarErSocSec" localSheetId="22">NScerri_Esposito!$AH$6</definedName>
    <definedName name="MarErSocSec" localSheetId="24">RAcharya!$AH$6</definedName>
    <definedName name="MarErSocSec" localSheetId="21">RAttard!$AH$6</definedName>
    <definedName name="MarErSocSec" localSheetId="6">RCamilleri!$AH$6</definedName>
    <definedName name="MarErSocSec" localSheetId="3">RGaldes!$AH$6</definedName>
    <definedName name="MarErSocSec" localSheetId="13">RMallan_Albani!$AH$6</definedName>
    <definedName name="MarErSocSec" localSheetId="18">RSreejith!$AH$6</definedName>
    <definedName name="MarErSocSec" localSheetId="59">SPare!$AH$6</definedName>
    <definedName name="MarErSocSec" localSheetId="35">ZMifsud!$AH$6</definedName>
    <definedName name="mareuhrs" localSheetId="34">AFalzon!$R$41</definedName>
    <definedName name="mareuhrs" localSheetId="14">AHaneena!$R$41</definedName>
    <definedName name="mareuhrs" localSheetId="19">AKunnamkudath!$R$41</definedName>
    <definedName name="mareuhrs" localSheetId="7">DMifsud_Ceci!$R$41</definedName>
    <definedName name="mareuhrs" localSheetId="33">ECurmi!$R$41</definedName>
    <definedName name="mareuhrs" localSheetId="15">ELama!$R$41</definedName>
    <definedName name="mareuhrs" localSheetId="5">KMizzi!$R$41</definedName>
    <definedName name="mareuhrs" localSheetId="10">LBonnici!$R$41</definedName>
    <definedName name="mareuhrs" localSheetId="4">LCarini!$R$41</definedName>
    <definedName name="mareuhrs" localSheetId="16">MAcero_Garzon!$R$41</definedName>
    <definedName name="mareuhrs" localSheetId="9">MCamilleri!$R$41</definedName>
    <definedName name="mareuhrs" localSheetId="37">MEllul!$R$41</definedName>
    <definedName name="mareuhrs" localSheetId="22">NScerri_Esposito!$R$41</definedName>
    <definedName name="mareuhrs" localSheetId="24">RAcharya!$R$41</definedName>
    <definedName name="mareuhrs" localSheetId="21">RAttard!$R$41</definedName>
    <definedName name="mareuhrs" localSheetId="6">RCamilleri!$R$41</definedName>
    <definedName name="mareuhrs" localSheetId="3">RGaldes!$R$41</definedName>
    <definedName name="mareuhrs" localSheetId="13">RMallan_Albani!$R$41</definedName>
    <definedName name="mareuhrs" localSheetId="18">RSreejith!$R$41</definedName>
    <definedName name="mareuhrs" localSheetId="59">SPare!$R$41</definedName>
    <definedName name="mareuhrs" localSheetId="35">ZMifsud!$R$41</definedName>
    <definedName name="marfsstax" localSheetId="0">'fs7'!$D$45</definedName>
    <definedName name="margrs" localSheetId="34">AFalzon!$S$39:$S$43</definedName>
    <definedName name="margrs" localSheetId="14">AHaneena!$S$39:$S$43</definedName>
    <definedName name="margrs" localSheetId="19">AKunnamkudath!$S$39:$S$43</definedName>
    <definedName name="margrs" localSheetId="7">DMifsud_Ceci!$S$39:$S$43</definedName>
    <definedName name="margrs" localSheetId="33">ECurmi!$S$39:$S$43</definedName>
    <definedName name="margrs" localSheetId="15">ELama!$S$39:$S$43</definedName>
    <definedName name="margrs" localSheetId="5">KMizzi!$S$39:$S$43</definedName>
    <definedName name="margrs" localSheetId="10">LBonnici!$S$39:$S$43</definedName>
    <definedName name="margrs" localSheetId="4">LCarini!$S$39:$S$43</definedName>
    <definedName name="margrs" localSheetId="16">MAcero_Garzon!$S$39:$S$43</definedName>
    <definedName name="margrs" localSheetId="9">MCamilleri!$S$39:$S$43</definedName>
    <definedName name="margrs" localSheetId="37">MEllul!$S$39:$S$43</definedName>
    <definedName name="margrs" localSheetId="22">NScerri_Esposito!$S$39:$S$43</definedName>
    <definedName name="margrs" localSheetId="24">RAcharya!$S$39:$S$43</definedName>
    <definedName name="margrs" localSheetId="21">RAttard!$S$39:$S$43</definedName>
    <definedName name="margrs" localSheetId="6">RCamilleri!$S$39:$S$43</definedName>
    <definedName name="margrs" localSheetId="3">RGaldes!$S$39:$S$43</definedName>
    <definedName name="margrs" localSheetId="13">RMallan_Albani!$S$39:$S$43</definedName>
    <definedName name="margrs" localSheetId="18">RSreejith!$S$39:$S$43</definedName>
    <definedName name="margrs" localSheetId="59">SPare!$S$39:$S$43</definedName>
    <definedName name="margrs" localSheetId="35">ZMifsud!$S$39:$S$43</definedName>
    <definedName name="marhrrt" localSheetId="34">AFalzon!$R$6</definedName>
    <definedName name="marhrrt" localSheetId="14">AHaneena!$R$6</definedName>
    <definedName name="marhrrt" localSheetId="19">AKunnamkudath!$R$6</definedName>
    <definedName name="marhrrt" localSheetId="7">DMifsud_Ceci!$R$6</definedName>
    <definedName name="marhrrt" localSheetId="33">ECurmi!$R$6</definedName>
    <definedName name="marhrrt" localSheetId="15">ELama!$R$6</definedName>
    <definedName name="marhrrt" localSheetId="5">KMizzi!$R$6</definedName>
    <definedName name="marhrrt" localSheetId="10">LBonnici!$R$6</definedName>
    <definedName name="marhrrt" localSheetId="4">LCarini!$R$6</definedName>
    <definedName name="marhrrt" localSheetId="16">MAcero_Garzon!$R$6</definedName>
    <definedName name="marhrrt" localSheetId="9">MCamilleri!$R$6</definedName>
    <definedName name="marhrrt" localSheetId="37">MEllul!$R$6</definedName>
    <definedName name="marhrrt" localSheetId="22">NScerri_Esposito!$R$6</definedName>
    <definedName name="marhrrt" localSheetId="24">RAcharya!$R$6</definedName>
    <definedName name="marhrrt" localSheetId="21">RAttard!$R$6</definedName>
    <definedName name="marhrrt" localSheetId="6">RCamilleri!$R$6</definedName>
    <definedName name="marhrrt" localSheetId="3">RGaldes!$R$6</definedName>
    <definedName name="marhrrt" localSheetId="13">RMallan_Albani!$R$6</definedName>
    <definedName name="marhrrt" localSheetId="18">RSreejith!$R$6</definedName>
    <definedName name="marhrrt" localSheetId="59">SPare!$R$6</definedName>
    <definedName name="marhrrt" localSheetId="35">ZMifsud!$R$6</definedName>
    <definedName name="MARMAX1" localSheetId="45">DATA!$L$39</definedName>
    <definedName name="MARMAX1" localSheetId="57">DATA!$L$39</definedName>
    <definedName name="MARMAX1" localSheetId="0">DATA!$L$39</definedName>
    <definedName name="MARMAX1" localSheetId="44">DATA!$L$39</definedName>
    <definedName name="MARMAX1" localSheetId="46">DATA!$L$39</definedName>
    <definedName name="MARMAX1" localSheetId="58">DATA!$L$39</definedName>
    <definedName name="MARMAX1">DATA!$M$48</definedName>
    <definedName name="MARMAX2" localSheetId="45">DATA!$L$40</definedName>
    <definedName name="MARMAX2" localSheetId="57">DATA!$L$40</definedName>
    <definedName name="MARMAX2" localSheetId="0">DATA!$L$40</definedName>
    <definedName name="MARMAX2" localSheetId="44">DATA!$L$40</definedName>
    <definedName name="MARMAX2" localSheetId="46">DATA!$L$40</definedName>
    <definedName name="MARMAX2" localSheetId="58">DATA!$L$40</definedName>
    <definedName name="MARMAX2">DATA!$M$49</definedName>
    <definedName name="MARMAX3" localSheetId="45">DATA!$L$41</definedName>
    <definedName name="MARMAX3" localSheetId="57">DATA!$L$41</definedName>
    <definedName name="MARMAX3" localSheetId="0">DATA!$L$41</definedName>
    <definedName name="MARMAX3" localSheetId="44">DATA!$L$41</definedName>
    <definedName name="MARMAX3" localSheetId="46">DATA!$L$41</definedName>
    <definedName name="MARMAX3" localSheetId="58">DATA!$L$41</definedName>
    <definedName name="MARMAX3">DATA!$M$50</definedName>
    <definedName name="MARMAX4" localSheetId="45">DATA!$L$42</definedName>
    <definedName name="MARMAX4" localSheetId="57">DATA!$L$42</definedName>
    <definedName name="MARMAX4" localSheetId="0">DATA!$L$42</definedName>
    <definedName name="MARMAX4" localSheetId="44">DATA!$L$42</definedName>
    <definedName name="MARMAX4" localSheetId="46">DATA!$L$42</definedName>
    <definedName name="MARMAX4" localSheetId="58">DATA!$L$42</definedName>
    <definedName name="MARMAX4">DATA!$M$51</definedName>
    <definedName name="marmlf" localSheetId="34">AFalzon!$AK$6</definedName>
    <definedName name="marmlf" localSheetId="14">AHaneena!$AK$6</definedName>
    <definedName name="marmlf" localSheetId="19">AKunnamkudath!$AK$6</definedName>
    <definedName name="marmlf" localSheetId="7">DMifsud_Ceci!$AK$6</definedName>
    <definedName name="marmlf" localSheetId="33">ECurmi!$AK$6</definedName>
    <definedName name="marmlf" localSheetId="15">ELama!$AK$6</definedName>
    <definedName name="marmlf" localSheetId="0">'fs7'!$F$45</definedName>
    <definedName name="marmlf" localSheetId="5">KMizzi!$AK$6</definedName>
    <definedName name="marmlf" localSheetId="10">LBonnici!$AK$6</definedName>
    <definedName name="marmlf" localSheetId="4">LCarini!$AK$6</definedName>
    <definedName name="marmlf" localSheetId="16">MAcero_Garzon!$AK$6</definedName>
    <definedName name="marmlf" localSheetId="9">MCamilleri!$AK$6</definedName>
    <definedName name="marmlf" localSheetId="37">MEllul!$AK$6</definedName>
    <definedName name="marmlf" localSheetId="22">NScerri_Esposito!$AK$6</definedName>
    <definedName name="marmlf" localSheetId="24">RAcharya!$AK$6</definedName>
    <definedName name="marmlf" localSheetId="21">RAttard!$AK$6</definedName>
    <definedName name="marmlf" localSheetId="6">RCamilleri!$AK$6</definedName>
    <definedName name="marmlf" localSheetId="3">RGaldes!$AK$6</definedName>
    <definedName name="marmlf" localSheetId="13">RMallan_Albani!$AK$6</definedName>
    <definedName name="marmlf" localSheetId="18">RSreejith!$AK$6</definedName>
    <definedName name="marmlf" localSheetId="59">SPare!$AK$6</definedName>
    <definedName name="marmlf" localSheetId="35">ZMifsud!$AK$6</definedName>
    <definedName name="maroth" localSheetId="34">AFalzon!$R$44</definedName>
    <definedName name="maroth" localSheetId="14">AHaneena!$R$44</definedName>
    <definedName name="maroth" localSheetId="19">AKunnamkudath!$R$44</definedName>
    <definedName name="maroth" localSheetId="7">DMifsud_Ceci!$R$44</definedName>
    <definedName name="maroth" localSheetId="33">ECurmi!$R$44</definedName>
    <definedName name="maroth" localSheetId="15">ELama!$R$44</definedName>
    <definedName name="maroth" localSheetId="5">KMizzi!$R$44</definedName>
    <definedName name="maroth" localSheetId="10">LBonnici!$R$44</definedName>
    <definedName name="maroth" localSheetId="4">LCarini!$R$44</definedName>
    <definedName name="maroth" localSheetId="16">MAcero_Garzon!$R$44</definedName>
    <definedName name="maroth" localSheetId="9">MCamilleri!$R$44</definedName>
    <definedName name="maroth" localSheetId="37">MEllul!$R$44</definedName>
    <definedName name="maroth" localSheetId="22">NScerri_Esposito!$R$44</definedName>
    <definedName name="maroth" localSheetId="24">RAcharya!$R$44</definedName>
    <definedName name="maroth" localSheetId="21">RAttard!$R$44</definedName>
    <definedName name="maroth" localSheetId="6">RCamilleri!$R$44</definedName>
    <definedName name="maroth" localSheetId="3">RGaldes!$R$44</definedName>
    <definedName name="maroth" localSheetId="13">RMallan_Albani!$R$44</definedName>
    <definedName name="maroth" localSheetId="18">RSreejith!$R$44</definedName>
    <definedName name="maroth" localSheetId="59">SPare!$R$44</definedName>
    <definedName name="maroth" localSheetId="35">ZMifsud!$R$44</definedName>
    <definedName name="marpb" localSheetId="34">AFalzon!$X$6</definedName>
    <definedName name="marpb" localSheetId="14">AHaneena!$X$6</definedName>
    <definedName name="marpb" localSheetId="19">AKunnamkudath!$X$6</definedName>
    <definedName name="marpb" localSheetId="7">DMifsud_Ceci!$X$6</definedName>
    <definedName name="marpb" localSheetId="33">ECurmi!$X$6</definedName>
    <definedName name="marpb" localSheetId="15">ELama!$X$6</definedName>
    <definedName name="marpb" localSheetId="5">KMizzi!$X$6</definedName>
    <definedName name="marpb" localSheetId="10">LBonnici!$X$6</definedName>
    <definedName name="marpb" localSheetId="4">LCarini!$X$6</definedName>
    <definedName name="marpb" localSheetId="16">MAcero_Garzon!$X$6</definedName>
    <definedName name="marpb" localSheetId="9">MCamilleri!$X$6</definedName>
    <definedName name="marpb" localSheetId="37">MEllul!$X$6</definedName>
    <definedName name="marpb" localSheetId="22">NScerri_Esposito!$X$6</definedName>
    <definedName name="marpb" localSheetId="24">RAcharya!$X$6</definedName>
    <definedName name="marpb" localSheetId="21">RAttard!$X$6</definedName>
    <definedName name="marpb" localSheetId="6">RCamilleri!$X$6</definedName>
    <definedName name="marpb" localSheetId="3">RGaldes!$X$6</definedName>
    <definedName name="marpb" localSheetId="13">RMallan_Albani!$X$6</definedName>
    <definedName name="marpb" localSheetId="18">RSreejith!$X$6</definedName>
    <definedName name="marpb" localSheetId="59">SPare!$X$6</definedName>
    <definedName name="marpb" localSheetId="35">ZMifsud!$X$6</definedName>
    <definedName name="Married_Rates">DATA!$L$48:$O$52</definedName>
    <definedName name="marsb" localSheetId="34">AFalzon!$Y$6</definedName>
    <definedName name="marsb" localSheetId="14">AHaneena!$Y$6</definedName>
    <definedName name="marsb" localSheetId="19">AKunnamkudath!$Y$6</definedName>
    <definedName name="marsb" localSheetId="7">DMifsud_Ceci!$Y$6</definedName>
    <definedName name="marsb" localSheetId="33">ECurmi!$Y$6</definedName>
    <definedName name="marsb" localSheetId="15">ELama!$Y$6</definedName>
    <definedName name="marsb" localSheetId="5">KMizzi!$Y$6</definedName>
    <definedName name="marsb" localSheetId="10">LBonnici!$Y$6</definedName>
    <definedName name="marsb" localSheetId="4">LCarini!$Y$6</definedName>
    <definedName name="marsb" localSheetId="16">MAcero_Garzon!$Y$6</definedName>
    <definedName name="marsb" localSheetId="9">MCamilleri!$Y$6</definedName>
    <definedName name="marsb" localSheetId="37">MEllul!$Y$6</definedName>
    <definedName name="marsb" localSheetId="22">NScerri_Esposito!$Y$6</definedName>
    <definedName name="marsb" localSheetId="24">RAcharya!$Y$6</definedName>
    <definedName name="marsb" localSheetId="21">RAttard!$Y$6</definedName>
    <definedName name="marsb" localSheetId="6">RCamilleri!$Y$6</definedName>
    <definedName name="marsb" localSheetId="3">RGaldes!$Y$6</definedName>
    <definedName name="marsb" localSheetId="13">RMallan_Albani!$Y$6</definedName>
    <definedName name="marsb" localSheetId="18">RSreejith!$Y$6</definedName>
    <definedName name="marsb" localSheetId="59">SPare!$Y$6</definedName>
    <definedName name="marsb" localSheetId="35">ZMifsud!$Y$6</definedName>
    <definedName name="marssc" localSheetId="0">'fs7'!$E$45</definedName>
    <definedName name="martab">DATA!$J$48:$O$52</definedName>
    <definedName name="marULHr" localSheetId="34">AFalzon!$R$42</definedName>
    <definedName name="marULHr" localSheetId="14">AHaneena!$R$42</definedName>
    <definedName name="marULHr" localSheetId="19">AKunnamkudath!$R$42</definedName>
    <definedName name="marULHr" localSheetId="7">DMifsud_Ceci!$R$42</definedName>
    <definedName name="marULHr" localSheetId="33">ECurmi!$R$42</definedName>
    <definedName name="marULHr" localSheetId="15">ELama!$R$42</definedName>
    <definedName name="marULHr" localSheetId="5">KMizzi!$R$42</definedName>
    <definedName name="marULHr" localSheetId="10">LBonnici!$R$42</definedName>
    <definedName name="marULHr" localSheetId="4">LCarini!$R$42</definedName>
    <definedName name="marULHr" localSheetId="16">MAcero_Garzon!$R$42</definedName>
    <definedName name="marULHr" localSheetId="9">MCamilleri!$R$42</definedName>
    <definedName name="marULHr" localSheetId="37">MEllul!$R$42</definedName>
    <definedName name="marULHr" localSheetId="22">NScerri_Esposito!$R$42</definedName>
    <definedName name="marULHr" localSheetId="24">RAcharya!$R$42</definedName>
    <definedName name="marULHr" localSheetId="21">RAttard!$R$42</definedName>
    <definedName name="marULHr" localSheetId="6">RCamilleri!$R$42</definedName>
    <definedName name="marULHr" localSheetId="3">RGaldes!$R$42</definedName>
    <definedName name="marULHr" localSheetId="13">RMallan_Albani!$R$42</definedName>
    <definedName name="marULHr" localSheetId="18">RSreejith!$R$42</definedName>
    <definedName name="marULHr" localSheetId="59">SPare!$R$42</definedName>
    <definedName name="marULHr" localSheetId="35">ZMifsud!$R$42</definedName>
    <definedName name="MAY_PAY" localSheetId="34">AFalzon!$N$59:$Y$68</definedName>
    <definedName name="MAY_PAY" localSheetId="14">AHaneena!$N$59:$Y$68</definedName>
    <definedName name="MAY_PAY" localSheetId="19">AKunnamkudath!$N$59:$Y$68</definedName>
    <definedName name="MAY_PAY" localSheetId="7">DMifsud_Ceci!$N$59:$Y$68</definedName>
    <definedName name="MAY_PAY" localSheetId="33">ECurmi!$N$59:$Y$68</definedName>
    <definedName name="MAY_PAY" localSheetId="15">ELama!$N$59:$Y$68</definedName>
    <definedName name="MAY_PAY" localSheetId="5">KMizzi!$N$59:$Y$68</definedName>
    <definedName name="MAY_PAY" localSheetId="10">LBonnici!$N$59:$Y$68</definedName>
    <definedName name="MAY_PAY" localSheetId="4">LCarini!$N$59:$Y$68</definedName>
    <definedName name="MAY_PAY" localSheetId="16">MAcero_Garzon!$N$59:$Y$68</definedName>
    <definedName name="MAY_PAY" localSheetId="9">MCamilleri!$N$59:$Y$68</definedName>
    <definedName name="MAY_PAY" localSheetId="37">MEllul!$N$59:$Y$68</definedName>
    <definedName name="MAY_PAY" localSheetId="22">NScerri_Esposito!$N$59:$Y$68</definedName>
    <definedName name="MAY_PAY" localSheetId="24">RAcharya!$N$59:$Y$68</definedName>
    <definedName name="MAY_PAY" localSheetId="21">RAttard!$N$59:$Y$68</definedName>
    <definedName name="MAY_PAY" localSheetId="6">RCamilleri!$N$59:$Y$68</definedName>
    <definedName name="MAY_PAY" localSheetId="3">RGaldes!$N$59:$Y$68</definedName>
    <definedName name="MAY_PAY" localSheetId="13">RMallan_Albani!$N$59:$Y$68</definedName>
    <definedName name="MAY_PAY" localSheetId="18">RSreejith!$N$59:$Y$68</definedName>
    <definedName name="MAY_PAY" localSheetId="59">SPare!$N$59:$Y$68</definedName>
    <definedName name="MAY_PAY" localSheetId="35">ZMifsud!$N$59:$Y$68</definedName>
    <definedName name="MayeeSocSec" localSheetId="34">AFalzon!$V$61</definedName>
    <definedName name="MayeeSocSec" localSheetId="14">AHaneena!$V$61</definedName>
    <definedName name="MayeeSocSec" localSheetId="19">AKunnamkudath!$V$61</definedName>
    <definedName name="MayeeSocSec" localSheetId="7">DMifsud_Ceci!$V$61</definedName>
    <definedName name="MayeeSocSec" localSheetId="33">ECurmi!$V$61</definedName>
    <definedName name="MayeeSocSec" localSheetId="15">ELama!$V$61</definedName>
    <definedName name="MayeeSocSec" localSheetId="5">KMizzi!$V$61</definedName>
    <definedName name="MayeeSocSec" localSheetId="10">LBonnici!$V$61</definedName>
    <definedName name="MayeeSocSec" localSheetId="4">LCarini!$V$61</definedName>
    <definedName name="MayeeSocSec" localSheetId="16">MAcero_Garzon!$V$61</definedName>
    <definedName name="MayeeSocSec" localSheetId="9">MCamilleri!$V$61</definedName>
    <definedName name="MayeeSocSec" localSheetId="37">MEllul!$V$61</definedName>
    <definedName name="MayeeSocSec" localSheetId="22">NScerri_Esposito!$V$61</definedName>
    <definedName name="MayeeSocSec" localSheetId="24">RAcharya!$V$61</definedName>
    <definedName name="MayeeSocSec" localSheetId="21">RAttard!$V$61</definedName>
    <definedName name="MayeeSocSec" localSheetId="6">RCamilleri!$V$61</definedName>
    <definedName name="MayeeSocSec" localSheetId="3">RGaldes!$V$61</definedName>
    <definedName name="MayeeSocSec" localSheetId="13">RMallan_Albani!$V$61</definedName>
    <definedName name="MayeeSocSec" localSheetId="18">RSreejith!$V$61</definedName>
    <definedName name="MayeeSocSec" localSheetId="59">SPare!$V$61</definedName>
    <definedName name="MayeeSocSec" localSheetId="35">ZMifsud!$V$61</definedName>
    <definedName name="MayERSocSec" localSheetId="34">AFalzon!$U$61</definedName>
    <definedName name="MayERSocSec" localSheetId="14">AHaneena!$U$61</definedName>
    <definedName name="MayERSocSec" localSheetId="19">AKunnamkudath!$U$61</definedName>
    <definedName name="MayERSocSec" localSheetId="7">DMifsud_Ceci!$U$61</definedName>
    <definedName name="MayERSocSec" localSheetId="33">ECurmi!$U$61</definedName>
    <definedName name="MayERSocSec" localSheetId="15">ELama!$U$61</definedName>
    <definedName name="MayERSocSec" localSheetId="5">KMizzi!$U$61</definedName>
    <definedName name="MayERSocSec" localSheetId="10">LBonnici!$U$61</definedName>
    <definedName name="MayERSocSec" localSheetId="4">LCarini!$U$61</definedName>
    <definedName name="MayERSocSec" localSheetId="16">MAcero_Garzon!$U$61</definedName>
    <definedName name="MayERSocSec" localSheetId="9">MCamilleri!$U$61</definedName>
    <definedName name="MayERSocSec" localSheetId="37">MEllul!$U$61</definedName>
    <definedName name="MayERSocSec" localSheetId="22">NScerri_Esposito!$U$61</definedName>
    <definedName name="MayERSocSec" localSheetId="24">RAcharya!$U$61</definedName>
    <definedName name="MayERSocSec" localSheetId="21">RAttard!$U$61</definedName>
    <definedName name="MayERSocSec" localSheetId="6">RCamilleri!$U$61</definedName>
    <definedName name="MayERSocSec" localSheetId="3">RGaldes!$U$61</definedName>
    <definedName name="MayERSocSec" localSheetId="13">RMallan_Albani!$U$61</definedName>
    <definedName name="MayERSocSec" localSheetId="18">RSreejith!$U$61</definedName>
    <definedName name="MayERSocSec" localSheetId="59">SPare!$U$61</definedName>
    <definedName name="MayERSocSec" localSheetId="35">ZMifsud!$U$61</definedName>
    <definedName name="mayeuhrs" localSheetId="34">AFalzon!$R$61</definedName>
    <definedName name="mayeuhrs" localSheetId="14">AHaneena!$R$61</definedName>
    <definedName name="mayeuhrs" localSheetId="19">AKunnamkudath!$R$61</definedName>
    <definedName name="mayeuhrs" localSheetId="7">DMifsud_Ceci!$R$61</definedName>
    <definedName name="mayeuhrs" localSheetId="33">ECurmi!$R$61</definedName>
    <definedName name="mayeuhrs" localSheetId="15">ELama!$R$61</definedName>
    <definedName name="mayeuhrs" localSheetId="5">KMizzi!$R$61</definedName>
    <definedName name="mayeuhrs" localSheetId="10">LBonnici!$R$61</definedName>
    <definedName name="mayeuhrs" localSheetId="4">LCarini!$R$61</definedName>
    <definedName name="mayeuhrs" localSheetId="16">MAcero_Garzon!$R$61</definedName>
    <definedName name="mayeuhrs" localSheetId="9">MCamilleri!$R$61</definedName>
    <definedName name="mayeuhrs" localSheetId="37">MEllul!$R$61</definedName>
    <definedName name="mayeuhrs" localSheetId="22">NScerri_Esposito!$R$61</definedName>
    <definedName name="mayeuhrs" localSheetId="24">RAcharya!$R$61</definedName>
    <definedName name="mayeuhrs" localSheetId="21">RAttard!$R$61</definedName>
    <definedName name="mayeuhrs" localSheetId="6">RCamilleri!$R$61</definedName>
    <definedName name="mayeuhrs" localSheetId="3">RGaldes!$R$61</definedName>
    <definedName name="mayeuhrs" localSheetId="13">RMallan_Albani!$R$61</definedName>
    <definedName name="mayeuhrs" localSheetId="18">RSreejith!$R$61</definedName>
    <definedName name="mayeuhrs" localSheetId="59">SPare!$R$61</definedName>
    <definedName name="mayeuhrs" localSheetId="35">ZMifsud!$R$61</definedName>
    <definedName name="mayfsstax" localSheetId="0">'fs7'!$D$47</definedName>
    <definedName name="maygrs" localSheetId="34">AFalzon!$S$59:$S$63</definedName>
    <definedName name="maygrs" localSheetId="14">AHaneena!$S$59:$S$63</definedName>
    <definedName name="maygrs" localSheetId="19">AKunnamkudath!$S$59:$S$63</definedName>
    <definedName name="maygrs" localSheetId="7">DMifsud_Ceci!$S$59:$S$63</definedName>
    <definedName name="maygrs" localSheetId="33">ECurmi!$S$59:$S$63</definedName>
    <definedName name="maygrs" localSheetId="15">ELama!$S$59:$S$63</definedName>
    <definedName name="maygrs" localSheetId="5">KMizzi!$S$59:$S$63</definedName>
    <definedName name="maygrs" localSheetId="10">LBonnici!$S$59:$S$63</definedName>
    <definedName name="maygrs" localSheetId="4">LCarini!$S$59:$S$63</definedName>
    <definedName name="maygrs" localSheetId="16">MAcero_Garzon!$S$59:$S$63</definedName>
    <definedName name="maygrs" localSheetId="9">MCamilleri!$S$59:$S$63</definedName>
    <definedName name="maygrs" localSheetId="37">MEllul!$S$59:$S$63</definedName>
    <definedName name="maygrs" localSheetId="22">NScerri_Esposito!$S$59:$S$63</definedName>
    <definedName name="maygrs" localSheetId="24">RAcharya!$S$59:$S$63</definedName>
    <definedName name="maygrs" localSheetId="21">RAttard!$S$59:$S$63</definedName>
    <definedName name="maygrs" localSheetId="6">RCamilleri!$S$59:$S$63</definedName>
    <definedName name="maygrs" localSheetId="3">RGaldes!$S$59:$S$63</definedName>
    <definedName name="maygrs" localSheetId="13">RMallan_Albani!$S$59:$S$63</definedName>
    <definedName name="maygrs" localSheetId="18">RSreejith!$S$59:$S$63</definedName>
    <definedName name="maygrs" localSheetId="59">SPare!$S$59:$S$63</definedName>
    <definedName name="maygrs" localSheetId="35">ZMifsud!$S$59:$S$63</definedName>
    <definedName name="mayhrrt" localSheetId="34">AFalzon!$R$8</definedName>
    <definedName name="mayhrrt" localSheetId="14">AHaneena!$R$8</definedName>
    <definedName name="mayhrrt" localSheetId="19">AKunnamkudath!$R$8</definedName>
    <definedName name="mayhrrt" localSheetId="7">DMifsud_Ceci!$R$8</definedName>
    <definedName name="mayhrrt" localSheetId="33">ECurmi!$R$8</definedName>
    <definedName name="mayhrrt" localSheetId="15">ELama!$R$8</definedName>
    <definedName name="mayhrrt" localSheetId="5">KMizzi!$R$8</definedName>
    <definedName name="mayhrrt" localSheetId="10">LBonnici!$R$8</definedName>
    <definedName name="mayhrrt" localSheetId="4">LCarini!$R$8</definedName>
    <definedName name="mayhrrt" localSheetId="16">MAcero_Garzon!$R$8</definedName>
    <definedName name="mayhrrt" localSheetId="9">MCamilleri!$R$8</definedName>
    <definedName name="mayhrrt" localSheetId="37">MEllul!$R$8</definedName>
    <definedName name="mayhrrt" localSheetId="22">NScerri_Esposito!$R$8</definedName>
    <definedName name="mayhrrt" localSheetId="24">RAcharya!$R$8</definedName>
    <definedName name="mayhrrt" localSheetId="21">RAttard!$R$8</definedName>
    <definedName name="mayhrrt" localSheetId="6">RCamilleri!$R$8</definedName>
    <definedName name="mayhrrt" localSheetId="3">RGaldes!$R$8</definedName>
    <definedName name="mayhrrt" localSheetId="13">RMallan_Albani!$R$8</definedName>
    <definedName name="mayhrrt" localSheetId="18">RSreejith!$R$8</definedName>
    <definedName name="mayhrrt" localSheetId="59">SPare!$R$8</definedName>
    <definedName name="mayhrrt" localSheetId="35">ZMifsud!$R$8</definedName>
    <definedName name="maymlf" localSheetId="34">AFalzon!$U$62</definedName>
    <definedName name="maymlf" localSheetId="14">AHaneena!$U$62</definedName>
    <definedName name="maymlf" localSheetId="19">AKunnamkudath!$U$62</definedName>
    <definedName name="maymlf" localSheetId="7">DMifsud_Ceci!$U$62</definedName>
    <definedName name="maymlf" localSheetId="33">ECurmi!$U$62</definedName>
    <definedName name="maymlf" localSheetId="15">ELama!$U$62</definedName>
    <definedName name="maymlf" localSheetId="0">'fs7'!$F$47</definedName>
    <definedName name="maymlf" localSheetId="5">KMizzi!$U$62</definedName>
    <definedName name="maymlf" localSheetId="10">LBonnici!$U$62</definedName>
    <definedName name="maymlf" localSheetId="4">LCarini!$U$62</definedName>
    <definedName name="maymlf" localSheetId="16">MAcero_Garzon!$U$62</definedName>
    <definedName name="maymlf" localSheetId="9">MCamilleri!$U$62</definedName>
    <definedName name="maymlf" localSheetId="37">MEllul!$U$62</definedName>
    <definedName name="maymlf" localSheetId="22">NScerri_Esposito!$U$62</definedName>
    <definedName name="maymlf" localSheetId="24">RAcharya!$U$62</definedName>
    <definedName name="maymlf" localSheetId="21">RAttard!$U$62</definedName>
    <definedName name="maymlf" localSheetId="6">RCamilleri!$U$62</definedName>
    <definedName name="maymlf" localSheetId="3">RGaldes!$U$62</definedName>
    <definedName name="maymlf" localSheetId="13">RMallan_Albani!$U$62</definedName>
    <definedName name="maymlf" localSheetId="18">RSreejith!$U$62</definedName>
    <definedName name="maymlf" localSheetId="59">SPare!$U$62</definedName>
    <definedName name="maymlf" localSheetId="35">ZMifsud!$U$62</definedName>
    <definedName name="mayoth" localSheetId="34">AFalzon!$R$64</definedName>
    <definedName name="mayoth" localSheetId="14">AHaneena!$R$64</definedName>
    <definedName name="mayoth" localSheetId="19">AKunnamkudath!$R$64</definedName>
    <definedName name="mayoth" localSheetId="7">DMifsud_Ceci!$R$64</definedName>
    <definedName name="mayoth" localSheetId="33">ECurmi!$R$64</definedName>
    <definedName name="mayoth" localSheetId="15">ELama!$R$64</definedName>
    <definedName name="mayoth" localSheetId="5">KMizzi!$R$64</definedName>
    <definedName name="mayoth" localSheetId="10">LBonnici!$R$64</definedName>
    <definedName name="mayoth" localSheetId="4">LCarini!$R$64</definedName>
    <definedName name="mayoth" localSheetId="16">MAcero_Garzon!$R$64</definedName>
    <definedName name="mayoth" localSheetId="9">MCamilleri!$R$64</definedName>
    <definedName name="mayoth" localSheetId="37">MEllul!$R$64</definedName>
    <definedName name="mayoth" localSheetId="22">NScerri_Esposito!$R$64</definedName>
    <definedName name="mayoth" localSheetId="24">RAcharya!$R$64</definedName>
    <definedName name="mayoth" localSheetId="21">RAttard!$R$64</definedName>
    <definedName name="mayoth" localSheetId="6">RCamilleri!$R$64</definedName>
    <definedName name="mayoth" localSheetId="3">RGaldes!$R$64</definedName>
    <definedName name="mayoth" localSheetId="13">RMallan_Albani!$R$64</definedName>
    <definedName name="mayoth" localSheetId="18">RSreejith!$R$64</definedName>
    <definedName name="mayoth" localSheetId="59">SPare!$R$64</definedName>
    <definedName name="mayoth" localSheetId="35">ZMifsud!$R$64</definedName>
    <definedName name="maypb" localSheetId="34">AFalzon!$X$8</definedName>
    <definedName name="maypb" localSheetId="14">AHaneena!$X$8</definedName>
    <definedName name="maypb" localSheetId="19">AKunnamkudath!$X$8</definedName>
    <definedName name="maypb" localSheetId="7">DMifsud_Ceci!$X$8</definedName>
    <definedName name="maypb" localSheetId="33">ECurmi!$X$8</definedName>
    <definedName name="maypb" localSheetId="15">ELama!$X$8</definedName>
    <definedName name="maypb" localSheetId="5">KMizzi!$X$8</definedName>
    <definedName name="maypb" localSheetId="10">LBonnici!$X$8</definedName>
    <definedName name="maypb" localSheetId="4">LCarini!$X$8</definedName>
    <definedName name="maypb" localSheetId="16">MAcero_Garzon!$X$8</definedName>
    <definedName name="maypb" localSheetId="9">MCamilleri!$X$8</definedName>
    <definedName name="maypb" localSheetId="37">MEllul!$X$8</definedName>
    <definedName name="maypb" localSheetId="22">NScerri_Esposito!$X$8</definedName>
    <definedName name="maypb" localSheetId="24">RAcharya!$X$8</definedName>
    <definedName name="maypb" localSheetId="21">RAttard!$X$8</definedName>
    <definedName name="maypb" localSheetId="6">RCamilleri!$X$8</definedName>
    <definedName name="maypb" localSheetId="3">RGaldes!$X$8</definedName>
    <definedName name="maypb" localSheetId="13">RMallan_Albani!$X$8</definedName>
    <definedName name="maypb" localSheetId="18">RSreejith!$X$8</definedName>
    <definedName name="maypb" localSheetId="59">SPare!$X$8</definedName>
    <definedName name="maypb" localSheetId="35">ZMifsud!$X$8</definedName>
    <definedName name="maysb" localSheetId="34">AFalzon!$Y$8</definedName>
    <definedName name="maysb" localSheetId="14">AHaneena!$Y$8</definedName>
    <definedName name="maysb" localSheetId="19">AKunnamkudath!$Y$8</definedName>
    <definedName name="maysb" localSheetId="7">DMifsud_Ceci!$Y$8</definedName>
    <definedName name="maysb" localSheetId="33">ECurmi!$Y$8</definedName>
    <definedName name="maysb" localSheetId="15">ELama!$Y$8</definedName>
    <definedName name="maysb" localSheetId="5">KMizzi!$Y$8</definedName>
    <definedName name="maysb" localSheetId="10">LBonnici!$Y$8</definedName>
    <definedName name="maysb" localSheetId="4">LCarini!$Y$8</definedName>
    <definedName name="maysb" localSheetId="16">MAcero_Garzon!$Y$8</definedName>
    <definedName name="maysb" localSheetId="9">MCamilleri!$Y$8</definedName>
    <definedName name="maysb" localSheetId="37">MEllul!$Y$8</definedName>
    <definedName name="maysb" localSheetId="22">NScerri_Esposito!$Y$8</definedName>
    <definedName name="maysb" localSheetId="24">RAcharya!$Y$8</definedName>
    <definedName name="maysb" localSheetId="21">RAttard!$Y$8</definedName>
    <definedName name="maysb" localSheetId="6">RCamilleri!$Y$8</definedName>
    <definedName name="maysb" localSheetId="3">RGaldes!$Y$8</definedName>
    <definedName name="maysb" localSheetId="13">RMallan_Albani!$Y$8</definedName>
    <definedName name="maysb" localSheetId="18">RSreejith!$Y$8</definedName>
    <definedName name="maysb" localSheetId="59">SPare!$Y$8</definedName>
    <definedName name="maysb" localSheetId="35">ZMifsud!$Y$8</definedName>
    <definedName name="mayssc" localSheetId="0">'fs7'!$E$47</definedName>
    <definedName name="mayULHr" localSheetId="34">AFalzon!$R$62</definedName>
    <definedName name="mayULHr" localSheetId="14">AHaneena!$R$62</definedName>
    <definedName name="mayULHr" localSheetId="19">AKunnamkudath!$R$62</definedName>
    <definedName name="mayULHr" localSheetId="7">DMifsud_Ceci!$R$62</definedName>
    <definedName name="mayULHr" localSheetId="33">ECurmi!$R$62</definedName>
    <definedName name="mayULHr" localSheetId="15">ELama!$R$62</definedName>
    <definedName name="mayULHr" localSheetId="5">KMizzi!$R$62</definedName>
    <definedName name="mayULHr" localSheetId="10">LBonnici!$R$62</definedName>
    <definedName name="mayULHr" localSheetId="4">LCarini!$R$62</definedName>
    <definedName name="mayULHr" localSheetId="16">MAcero_Garzon!$R$62</definedName>
    <definedName name="mayULHr" localSheetId="9">MCamilleri!$R$62</definedName>
    <definedName name="mayULHr" localSheetId="37">MEllul!$R$62</definedName>
    <definedName name="mayULHr" localSheetId="22">NScerri_Esposito!$R$62</definedName>
    <definedName name="mayULHr" localSheetId="24">RAcharya!$R$62</definedName>
    <definedName name="mayULHr" localSheetId="21">RAttard!$R$62</definedName>
    <definedName name="mayULHr" localSheetId="6">RCamilleri!$R$62</definedName>
    <definedName name="mayULHr" localSheetId="3">RGaldes!$R$62</definedName>
    <definedName name="mayULHr" localSheetId="13">RMallan_Albani!$R$62</definedName>
    <definedName name="mayULHr" localSheetId="18">RSreejith!$R$62</definedName>
    <definedName name="mayULHr" localSheetId="59">SPare!$R$62</definedName>
    <definedName name="mayULHr" localSheetId="35">ZMifsud!$R$62</definedName>
    <definedName name="Med_Tot" localSheetId="34">AFalzon!$Z$16</definedName>
    <definedName name="Med_Tot" localSheetId="14">AHaneena!$Z$16</definedName>
    <definedName name="Med_Tot" localSheetId="19">AKunnamkudath!$Z$16</definedName>
    <definedName name="Med_Tot" localSheetId="7">DMifsud_Ceci!$Z$16</definedName>
    <definedName name="Med_Tot" localSheetId="33">ECurmi!$Z$16</definedName>
    <definedName name="Med_Tot" localSheetId="15">ELama!$Z$16</definedName>
    <definedName name="Med_Tot" localSheetId="5">KMizzi!$Z$16</definedName>
    <definedName name="Med_Tot" localSheetId="10">LBonnici!$Z$16</definedName>
    <definedName name="Med_Tot" localSheetId="4">LCarini!$Z$16</definedName>
    <definedName name="Med_Tot" localSheetId="16">MAcero_Garzon!$Z$16</definedName>
    <definedName name="Med_Tot" localSheetId="9">MCamilleri!$Z$16</definedName>
    <definedName name="Med_Tot" localSheetId="37">MEllul!$Z$16</definedName>
    <definedName name="Med_Tot" localSheetId="22">NScerri_Esposito!$Z$16</definedName>
    <definedName name="Med_Tot" localSheetId="24">RAcharya!$Z$16</definedName>
    <definedName name="Med_Tot" localSheetId="21">RAttard!$Z$16</definedName>
    <definedName name="Med_Tot" localSheetId="6">RCamilleri!$Z$16</definedName>
    <definedName name="Med_Tot" localSheetId="3">RGaldes!$Z$16</definedName>
    <definedName name="Med_Tot" localSheetId="13">RMallan_Albani!$Z$16</definedName>
    <definedName name="Med_Tot" localSheetId="18">RSreejith!$Z$16</definedName>
    <definedName name="Med_Tot" localSheetId="59">SPare!$Z$16</definedName>
    <definedName name="Med_Tot" localSheetId="35">ZMifsud!$Z$16</definedName>
    <definedName name="MLF" localSheetId="40">Summary!#REF!</definedName>
    <definedName name="MLF" localSheetId="41">SummaryPT!$W$85:$X$97</definedName>
    <definedName name="MLF" localSheetId="42">SummaryTOTS!$O$85:$P$97</definedName>
    <definedName name="MLFC">DATA!$G$49</definedName>
    <definedName name="MLFD">DATA!$G$50</definedName>
    <definedName name="months" localSheetId="34">AFalzon!$O$2:$O$17</definedName>
    <definedName name="months" localSheetId="14">AHaneena!$O$2:$O$17</definedName>
    <definedName name="months" localSheetId="19">AKunnamkudath!$O$2:$O$17</definedName>
    <definedName name="months" localSheetId="7">DMifsud_Ceci!$O$2:$O$17</definedName>
    <definedName name="months" localSheetId="33">ECurmi!$O$2:$O$17</definedName>
    <definedName name="months" localSheetId="15">ELama!$O$2:$O$17</definedName>
    <definedName name="months" localSheetId="5">KMizzi!$O$2:$O$17</definedName>
    <definedName name="months" localSheetId="10">LBonnici!$O$2:$O$17</definedName>
    <definedName name="months" localSheetId="4">LCarini!$O$2:$O$17</definedName>
    <definedName name="months" localSheetId="16">MAcero_Garzon!$O$2:$O$17</definedName>
    <definedName name="months" localSheetId="9">MCamilleri!$O$2:$O$17</definedName>
    <definedName name="months" localSheetId="37">MEllul!$O$2:$O$17</definedName>
    <definedName name="months" localSheetId="54">NOV_FS5!$O$2:$O$17</definedName>
    <definedName name="months" localSheetId="22">NScerri_Esposito!$O$2:$O$17</definedName>
    <definedName name="months" localSheetId="53">OCT_FS5!$O$2:$O$17</definedName>
    <definedName name="months" localSheetId="24">RAcharya!$O$2:$O$17</definedName>
    <definedName name="months" localSheetId="21">RAttard!$O$2:$O$17</definedName>
    <definedName name="months" localSheetId="6">RCamilleri!$O$2:$O$17</definedName>
    <definedName name="months" localSheetId="3">RGaldes!$O$2:$O$17</definedName>
    <definedName name="months" localSheetId="13">RMallan_Albani!$O$2:$O$17</definedName>
    <definedName name="months" localSheetId="18">RSreejith!$O$2:$O$17</definedName>
    <definedName name="months" localSheetId="59">SPare!$O$2:$O$17</definedName>
    <definedName name="months" localSheetId="35">ZMifsud!$O$2:$O$17</definedName>
    <definedName name="Name" localSheetId="34">AFalzon!$C$7</definedName>
    <definedName name="Name" localSheetId="14">AHaneena!$C$7</definedName>
    <definedName name="Name" localSheetId="19">AKunnamkudath!$C$7</definedName>
    <definedName name="Name" localSheetId="7">DMifsud_Ceci!$C$7</definedName>
    <definedName name="Name" localSheetId="33">ECurmi!$C$7</definedName>
    <definedName name="Name" localSheetId="15">ELama!$C$7</definedName>
    <definedName name="Name" localSheetId="44">JAN_FS5!$C$7</definedName>
    <definedName name="Name" localSheetId="5">KMizzi!$C$7</definedName>
    <definedName name="Name" localSheetId="10">LBonnici!$C$7</definedName>
    <definedName name="Name" localSheetId="4">LCarini!$C$7</definedName>
    <definedName name="Name" localSheetId="16">MAcero_Garzon!$C$7</definedName>
    <definedName name="Name" localSheetId="9">MCamilleri!$C$7</definedName>
    <definedName name="Name" localSheetId="37">MEllul!$C$7</definedName>
    <definedName name="Name" localSheetId="54">NOV_FS5!$C$7</definedName>
    <definedName name="Name" localSheetId="22">NScerri_Esposito!$C$7</definedName>
    <definedName name="Name" localSheetId="53">OCT_FS5!$C$7</definedName>
    <definedName name="Name" localSheetId="24">RAcharya!$C$7</definedName>
    <definedName name="Name" localSheetId="21">RAttard!$C$7</definedName>
    <definedName name="Name" localSheetId="6">RCamilleri!$C$7</definedName>
    <definedName name="Name" localSheetId="3">RGaldes!$C$7</definedName>
    <definedName name="Name" localSheetId="13">RMallan_Albani!$C$7</definedName>
    <definedName name="Name" localSheetId="18">RSreejith!$C$7</definedName>
    <definedName name="Name" localSheetId="59">SPare!$C$7</definedName>
    <definedName name="Name" localSheetId="35">ZMifsud!$C$7</definedName>
    <definedName name="NewTimer" localSheetId="34">AFalzon!$BE$9</definedName>
    <definedName name="NewTimer" localSheetId="14">AHaneena!$BE$9</definedName>
    <definedName name="NewTimer" localSheetId="19">AKunnamkudath!$BE$9</definedName>
    <definedName name="NewTimer" localSheetId="7">DMifsud_Ceci!$BE$9</definedName>
    <definedName name="NewTimer" localSheetId="33">ECurmi!$BE$9</definedName>
    <definedName name="NewTimer" localSheetId="15">ELama!$BE$9</definedName>
    <definedName name="NewTimer" localSheetId="5">KMizzi!$BE$9</definedName>
    <definedName name="NewTimer" localSheetId="10">LBonnici!$BE$9</definedName>
    <definedName name="NewTimer" localSheetId="4">LCarini!$BE$9</definedName>
    <definedName name="NewTimer" localSheetId="16">MAcero_Garzon!$BE$9</definedName>
    <definedName name="NewTimer" localSheetId="9">MCamilleri!$BE$9</definedName>
    <definedName name="NewTimer" localSheetId="37">MEllul!$BE$9</definedName>
    <definedName name="NewTimer" localSheetId="22">NScerri_Esposito!$BE$9</definedName>
    <definedName name="NewTimer" localSheetId="24">RAcharya!$BE$9</definedName>
    <definedName name="NewTimer" localSheetId="21">RAttard!$BE$9</definedName>
    <definedName name="NewTimer" localSheetId="6">RCamilleri!$BE$9</definedName>
    <definedName name="NewTimer" localSheetId="3">RGaldes!$BE$9</definedName>
    <definedName name="NewTimer" localSheetId="13">RMallan_Albani!$BE$9</definedName>
    <definedName name="NewTimer" localSheetId="18">RSreejith!$BE$9</definedName>
    <definedName name="NewTimer" localSheetId="59">SPare!$BE$9</definedName>
    <definedName name="NewTimer" localSheetId="35">ZMifsud!$BE$9</definedName>
    <definedName name="NOV_PAY" localSheetId="34">AFalzon!$N$119:$Y$128</definedName>
    <definedName name="NOV_PAY" localSheetId="14">AHaneena!$N$119:$Y$128</definedName>
    <definedName name="NOV_PAY" localSheetId="19">AKunnamkudath!$N$119:$Y$128</definedName>
    <definedName name="NOV_PAY" localSheetId="7">DMifsud_Ceci!$N$119:$Y$128</definedName>
    <definedName name="NOV_PAY" localSheetId="33">ECurmi!$N$119:$Y$128</definedName>
    <definedName name="NOV_PAY" localSheetId="15">ELama!$N$119:$Y$128</definedName>
    <definedName name="NOV_PAY" localSheetId="5">KMizzi!$N$119:$Y$128</definedName>
    <definedName name="NOV_PAY" localSheetId="10">LBonnici!$N$119:$Y$128</definedName>
    <definedName name="NOV_PAY" localSheetId="4">LCarini!$N$119:$Y$128</definedName>
    <definedName name="NOV_PAY" localSheetId="16">MAcero_Garzon!$N$119:$Y$128</definedName>
    <definedName name="NOV_PAY" localSheetId="9">MCamilleri!$N$119:$Y$128</definedName>
    <definedName name="NOV_PAY" localSheetId="37">MEllul!$N$119:$Y$128</definedName>
    <definedName name="NOV_PAY" localSheetId="22">NScerri_Esposito!$N$119:$Y$128</definedName>
    <definedName name="NOV_PAY" localSheetId="24">RAcharya!$N$119:$Y$128</definedName>
    <definedName name="NOV_PAY" localSheetId="21">RAttard!$N$119:$Y$128</definedName>
    <definedName name="NOV_PAY" localSheetId="6">RCamilleri!$N$119:$Y$128</definedName>
    <definedName name="NOV_PAY" localSheetId="3">RGaldes!$N$119:$Y$128</definedName>
    <definedName name="NOV_PAY" localSheetId="13">RMallan_Albani!$N$119:$Y$128</definedName>
    <definedName name="NOV_PAY" localSheetId="18">RSreejith!$N$119:$Y$128</definedName>
    <definedName name="NOV_PAY" localSheetId="59">SPare!$N$119:$Y$128</definedName>
    <definedName name="NOV_PAY" localSheetId="35">ZMifsud!$N$119:$Y$128</definedName>
    <definedName name="noveesocsec" localSheetId="34">AFalzon!$V$121</definedName>
    <definedName name="noveesocsec" localSheetId="14">AHaneena!$V$121</definedName>
    <definedName name="noveesocsec" localSheetId="19">AKunnamkudath!$V$121</definedName>
    <definedName name="noveesocsec" localSheetId="7">DMifsud_Ceci!$V$121</definedName>
    <definedName name="noveesocsec" localSheetId="33">ECurmi!$V$121</definedName>
    <definedName name="noveesocsec" localSheetId="15">ELama!$V$121</definedName>
    <definedName name="noveesocsec" localSheetId="5">KMizzi!$V$121</definedName>
    <definedName name="noveesocsec" localSheetId="10">LBonnici!$V$121</definedName>
    <definedName name="noveesocsec" localSheetId="4">LCarini!$V$121</definedName>
    <definedName name="noveesocsec" localSheetId="16">MAcero_Garzon!$V$121</definedName>
    <definedName name="noveesocsec" localSheetId="9">MCamilleri!$V$121</definedName>
    <definedName name="noveesocsec" localSheetId="37">MEllul!$V$121</definedName>
    <definedName name="noveesocsec" localSheetId="22">NScerri_Esposito!$V$121</definedName>
    <definedName name="noveesocsec" localSheetId="24">RAcharya!$V$121</definedName>
    <definedName name="noveesocsec" localSheetId="21">RAttard!$V$121</definedName>
    <definedName name="noveesocsec" localSheetId="6">RCamilleri!$V$121</definedName>
    <definedName name="noveesocsec" localSheetId="3">RGaldes!$V$121</definedName>
    <definedName name="noveesocsec" localSheetId="13">RMallan_Albani!$V$121</definedName>
    <definedName name="noveesocsec" localSheetId="18">RSreejith!$V$121</definedName>
    <definedName name="noveesocsec" localSheetId="59">SPare!$V$121</definedName>
    <definedName name="noveesocsec" localSheetId="35">ZMifsud!$V$121</definedName>
    <definedName name="NovERSocSec" localSheetId="34">AFalzon!$U$121</definedName>
    <definedName name="NovERSocSec" localSheetId="14">AHaneena!$U$121</definedName>
    <definedName name="NovERSocSec" localSheetId="19">AKunnamkudath!$U$121</definedName>
    <definedName name="NovERSocSec" localSheetId="7">DMifsud_Ceci!$U$121</definedName>
    <definedName name="NovERSocSec" localSheetId="33">ECurmi!$U$121</definedName>
    <definedName name="NovERSocSec" localSheetId="15">ELama!$U$121</definedName>
    <definedName name="NovERSocSec" localSheetId="5">KMizzi!$U$121</definedName>
    <definedName name="NovERSocSec" localSheetId="10">LBonnici!$U$121</definedName>
    <definedName name="NovERSocSec" localSheetId="4">LCarini!$U$121</definedName>
    <definedName name="NovERSocSec" localSheetId="16">MAcero_Garzon!$U$121</definedName>
    <definedName name="NovERSocSec" localSheetId="9">MCamilleri!$U$121</definedName>
    <definedName name="NovERSocSec" localSheetId="37">MEllul!$U$121</definedName>
    <definedName name="NovERSocSec" localSheetId="22">NScerri_Esposito!$U$121</definedName>
    <definedName name="NovERSocSec" localSheetId="24">RAcharya!$U$121</definedName>
    <definedName name="NovERSocSec" localSheetId="21">RAttard!$U$121</definedName>
    <definedName name="NovERSocSec" localSheetId="6">RCamilleri!$U$121</definedName>
    <definedName name="NovERSocSec" localSheetId="3">RGaldes!$U$121</definedName>
    <definedName name="NovERSocSec" localSheetId="13">RMallan_Albani!$U$121</definedName>
    <definedName name="NovERSocSec" localSheetId="18">RSreejith!$U$121</definedName>
    <definedName name="NovERSocSec" localSheetId="59">SPare!$U$121</definedName>
    <definedName name="NovERSocSec" localSheetId="35">ZMifsud!$U$121</definedName>
    <definedName name="noveuhrs" localSheetId="34">AFalzon!$R$121</definedName>
    <definedName name="noveuhrs" localSheetId="14">AHaneena!$R$121</definedName>
    <definedName name="noveuhrs" localSheetId="19">AKunnamkudath!$R$121</definedName>
    <definedName name="noveuhrs" localSheetId="7">DMifsud_Ceci!$R$121</definedName>
    <definedName name="noveuhrs" localSheetId="33">ECurmi!$R$121</definedName>
    <definedName name="noveuhrs" localSheetId="15">ELama!$R$121</definedName>
    <definedName name="noveuhrs" localSheetId="5">KMizzi!$R$121</definedName>
    <definedName name="noveuhrs" localSheetId="10">LBonnici!$R$121</definedName>
    <definedName name="noveuhrs" localSheetId="4">LCarini!$R$121</definedName>
    <definedName name="noveuhrs" localSheetId="16">MAcero_Garzon!$R$121</definedName>
    <definedName name="noveuhrs" localSheetId="9">MCamilleri!$R$121</definedName>
    <definedName name="noveuhrs" localSheetId="37">MEllul!$R$121</definedName>
    <definedName name="noveuhrs" localSheetId="22">NScerri_Esposito!$R$121</definedName>
    <definedName name="noveuhrs" localSheetId="24">RAcharya!$R$121</definedName>
    <definedName name="noveuhrs" localSheetId="21">RAttard!$R$121</definedName>
    <definedName name="noveuhrs" localSheetId="6">RCamilleri!$R$121</definedName>
    <definedName name="noveuhrs" localSheetId="3">RGaldes!$R$121</definedName>
    <definedName name="noveuhrs" localSheetId="13">RMallan_Albani!$R$121</definedName>
    <definedName name="noveuhrs" localSheetId="18">RSreejith!$R$121</definedName>
    <definedName name="noveuhrs" localSheetId="59">SPare!$R$121</definedName>
    <definedName name="noveuhrs" localSheetId="35">ZMifsud!$R$121</definedName>
    <definedName name="novfsstax" localSheetId="0">'fs7'!$K$47</definedName>
    <definedName name="novgrs" localSheetId="34">AFalzon!$S$119:$S$123</definedName>
    <definedName name="novgrs" localSheetId="14">AHaneena!$S$119:$S$123</definedName>
    <definedName name="novgrs" localSheetId="19">AKunnamkudath!$S$119:$S$123</definedName>
    <definedName name="novgrs" localSheetId="7">DMifsud_Ceci!$S$119:$S$123</definedName>
    <definedName name="novgrs" localSheetId="33">ECurmi!$S$119:$S$123</definedName>
    <definedName name="novgrs" localSheetId="15">ELama!$S$119:$S$123</definedName>
    <definedName name="novgrs" localSheetId="5">KMizzi!$S$119:$S$123</definedName>
    <definedName name="novgrs" localSheetId="10">LBonnici!$S$119:$S$123</definedName>
    <definedName name="novgrs" localSheetId="4">LCarini!$S$119:$S$123</definedName>
    <definedName name="novgrs" localSheetId="16">MAcero_Garzon!$S$119:$S$123</definedName>
    <definedName name="novgrs" localSheetId="9">MCamilleri!$S$119:$S$123</definedName>
    <definedName name="novgrs" localSheetId="37">MEllul!$S$119:$S$123</definedName>
    <definedName name="novgrs" localSheetId="22">NScerri_Esposito!$S$119:$S$123</definedName>
    <definedName name="novgrs" localSheetId="24">RAcharya!$S$119:$S$123</definedName>
    <definedName name="novgrs" localSheetId="21">RAttard!$S$119:$S$123</definedName>
    <definedName name="novgrs" localSheetId="6">RCamilleri!$S$119:$S$123</definedName>
    <definedName name="novgrs" localSheetId="3">RGaldes!$S$119:$S$123</definedName>
    <definedName name="novgrs" localSheetId="13">RMallan_Albani!$S$119:$S$123</definedName>
    <definedName name="novgrs" localSheetId="18">RSreejith!$S$119:$S$123</definedName>
    <definedName name="novgrs" localSheetId="59">SPare!$S$119:$S$123</definedName>
    <definedName name="novgrs" localSheetId="35">ZMifsud!$S$119:$S$123</definedName>
    <definedName name="novhrrt" localSheetId="34">AFalzon!$R$14</definedName>
    <definedName name="novhrrt" localSheetId="14">AHaneena!$R$14</definedName>
    <definedName name="novhrrt" localSheetId="19">AKunnamkudath!$R$14</definedName>
    <definedName name="novhrrt" localSheetId="7">DMifsud_Ceci!$R$14</definedName>
    <definedName name="novhrrt" localSheetId="33">ECurmi!$R$14</definedName>
    <definedName name="novhrrt" localSheetId="15">ELama!$R$14</definedName>
    <definedName name="novhrrt" localSheetId="5">KMizzi!$R$14</definedName>
    <definedName name="novhrrt" localSheetId="10">LBonnici!$R$14</definedName>
    <definedName name="novhrrt" localSheetId="4">LCarini!$R$14</definedName>
    <definedName name="novhrrt" localSheetId="16">MAcero_Garzon!$R$14</definedName>
    <definedName name="novhrrt" localSheetId="9">MCamilleri!$R$14</definedName>
    <definedName name="novhrrt" localSheetId="37">MEllul!$R$14</definedName>
    <definedName name="novhrrt" localSheetId="22">NScerri_Esposito!$R$14</definedName>
    <definedName name="novhrrt" localSheetId="24">RAcharya!$R$14</definedName>
    <definedName name="novhrrt" localSheetId="21">RAttard!$R$14</definedName>
    <definedName name="novhrrt" localSheetId="6">RCamilleri!$R$14</definedName>
    <definedName name="novhrrt" localSheetId="3">RGaldes!$R$14</definedName>
    <definedName name="novhrrt" localSheetId="13">RMallan_Albani!$R$14</definedName>
    <definedName name="novhrrt" localSheetId="18">RSreejith!$R$14</definedName>
    <definedName name="novhrrt" localSheetId="59">SPare!$R$14</definedName>
    <definedName name="novhrrt" localSheetId="35">ZMifsud!$R$14</definedName>
    <definedName name="Novmlf" localSheetId="34">AFalzon!$U$122</definedName>
    <definedName name="Novmlf" localSheetId="14">AHaneena!$U$122</definedName>
    <definedName name="Novmlf" localSheetId="19">AKunnamkudath!$U$122</definedName>
    <definedName name="Novmlf" localSheetId="7">DMifsud_Ceci!$U$122</definedName>
    <definedName name="Novmlf" localSheetId="33">ECurmi!$U$122</definedName>
    <definedName name="Novmlf" localSheetId="15">ELama!$U$122</definedName>
    <definedName name="novmlf" localSheetId="0">'fs7'!$M$47</definedName>
    <definedName name="Novmlf" localSheetId="5">KMizzi!$U$122</definedName>
    <definedName name="Novmlf" localSheetId="10">LBonnici!$U$122</definedName>
    <definedName name="Novmlf" localSheetId="4">LCarini!$U$122</definedName>
    <definedName name="Novmlf" localSheetId="16">MAcero_Garzon!$U$122</definedName>
    <definedName name="Novmlf" localSheetId="9">MCamilleri!$U$122</definedName>
    <definedName name="Novmlf" localSheetId="37">MEllul!$U$122</definedName>
    <definedName name="Novmlf" localSheetId="22">NScerri_Esposito!$U$122</definedName>
    <definedName name="Novmlf" localSheetId="24">RAcharya!$U$122</definedName>
    <definedName name="Novmlf" localSheetId="21">RAttard!$U$122</definedName>
    <definedName name="Novmlf" localSheetId="6">RCamilleri!$U$122</definedName>
    <definedName name="Novmlf" localSheetId="3">RGaldes!$U$122</definedName>
    <definedName name="Novmlf" localSheetId="13">RMallan_Albani!$U$122</definedName>
    <definedName name="Novmlf" localSheetId="18">RSreejith!$U$122</definedName>
    <definedName name="Novmlf" localSheetId="59">SPare!$U$122</definedName>
    <definedName name="Novmlf" localSheetId="35">ZMifsud!$U$122</definedName>
    <definedName name="novoth" localSheetId="34">AFalzon!$R$124</definedName>
    <definedName name="novoth" localSheetId="14">AHaneena!$R$124</definedName>
    <definedName name="novoth" localSheetId="19">AKunnamkudath!$R$124</definedName>
    <definedName name="novoth" localSheetId="7">DMifsud_Ceci!$R$124</definedName>
    <definedName name="novoth" localSheetId="33">ECurmi!$R$124</definedName>
    <definedName name="novoth" localSheetId="15">ELama!$R$124</definedName>
    <definedName name="novoth" localSheetId="5">KMizzi!$R$124</definedName>
    <definedName name="novoth" localSheetId="10">LBonnici!$R$124</definedName>
    <definedName name="novoth" localSheetId="4">LCarini!$R$124</definedName>
    <definedName name="novoth" localSheetId="16">MAcero_Garzon!$R$124</definedName>
    <definedName name="novoth" localSheetId="9">MCamilleri!$R$124</definedName>
    <definedName name="novoth" localSheetId="37">MEllul!$R$124</definedName>
    <definedName name="novoth" localSheetId="22">NScerri_Esposito!$R$124</definedName>
    <definedName name="novoth" localSheetId="24">RAcharya!$R$124</definedName>
    <definedName name="novoth" localSheetId="21">RAttard!$R$124</definedName>
    <definedName name="novoth" localSheetId="6">RCamilleri!$R$124</definedName>
    <definedName name="novoth" localSheetId="3">RGaldes!$R$124</definedName>
    <definedName name="novoth" localSheetId="13">RMallan_Albani!$R$124</definedName>
    <definedName name="novoth" localSheetId="18">RSreejith!$R$124</definedName>
    <definedName name="novoth" localSheetId="59">SPare!$R$124</definedName>
    <definedName name="novoth" localSheetId="35">ZMifsud!$R$124</definedName>
    <definedName name="novpb" localSheetId="34">AFalzon!$X$14</definedName>
    <definedName name="novpb" localSheetId="14">AHaneena!$X$14</definedName>
    <definedName name="novpb" localSheetId="19">AKunnamkudath!$X$14</definedName>
    <definedName name="novpb" localSheetId="7">DMifsud_Ceci!$X$14</definedName>
    <definedName name="novpb" localSheetId="33">ECurmi!$X$14</definedName>
    <definedName name="novpb" localSheetId="15">ELama!$X$14</definedName>
    <definedName name="novpb" localSheetId="5">KMizzi!$X$14</definedName>
    <definedName name="novpb" localSheetId="10">LBonnici!$X$14</definedName>
    <definedName name="novpb" localSheetId="4">LCarini!$X$14</definedName>
    <definedName name="novpb" localSheetId="16">MAcero_Garzon!$X$14</definedName>
    <definedName name="novpb" localSheetId="9">MCamilleri!$X$14</definedName>
    <definedName name="novpb" localSheetId="37">MEllul!$X$14</definedName>
    <definedName name="novpb" localSheetId="22">NScerri_Esposito!$X$14</definedName>
    <definedName name="novpb" localSheetId="24">RAcharya!$X$14</definedName>
    <definedName name="novpb" localSheetId="21">RAttard!$X$14</definedName>
    <definedName name="novpb" localSheetId="6">RCamilleri!$X$14</definedName>
    <definedName name="novpb" localSheetId="3">RGaldes!$X$14</definedName>
    <definedName name="novpb" localSheetId="13">RMallan_Albani!$X$14</definedName>
    <definedName name="novpb" localSheetId="18">RSreejith!$X$14</definedName>
    <definedName name="novpb" localSheetId="59">SPare!$X$14</definedName>
    <definedName name="novpb" localSheetId="35">ZMifsud!$X$14</definedName>
    <definedName name="novsb" localSheetId="34">AFalzon!$Y$14</definedName>
    <definedName name="novsb" localSheetId="14">AHaneena!$Y$14</definedName>
    <definedName name="novsb" localSheetId="19">AKunnamkudath!$Y$14</definedName>
    <definedName name="novsb" localSheetId="7">DMifsud_Ceci!$Y$14</definedName>
    <definedName name="novsb" localSheetId="33">ECurmi!$Y$14</definedName>
    <definedName name="novsb" localSheetId="15">ELama!$Y$14</definedName>
    <definedName name="novsb" localSheetId="5">KMizzi!$Y$14</definedName>
    <definedName name="novsb" localSheetId="10">LBonnici!$Y$14</definedName>
    <definedName name="novsb" localSheetId="4">LCarini!$Y$14</definedName>
    <definedName name="novsb" localSheetId="16">MAcero_Garzon!$Y$14</definedName>
    <definedName name="novsb" localSheetId="9">MCamilleri!$Y$14</definedName>
    <definedName name="novsb" localSheetId="37">MEllul!$Y$14</definedName>
    <definedName name="novsb" localSheetId="22">NScerri_Esposito!$Y$14</definedName>
    <definedName name="novsb" localSheetId="24">RAcharya!$Y$14</definedName>
    <definedName name="novsb" localSheetId="21">RAttard!$Y$14</definedName>
    <definedName name="novsb" localSheetId="6">RCamilleri!$Y$14</definedName>
    <definedName name="novsb" localSheetId="3">RGaldes!$Y$14</definedName>
    <definedName name="novsb" localSheetId="13">RMallan_Albani!$Y$14</definedName>
    <definedName name="novsb" localSheetId="18">RSreejith!$Y$14</definedName>
    <definedName name="novsb" localSheetId="59">SPare!$Y$14</definedName>
    <definedName name="novsb" localSheetId="35">ZMifsud!$Y$14</definedName>
    <definedName name="novssc" localSheetId="0">'fs7'!$L$47</definedName>
    <definedName name="novULHr" localSheetId="34">AFalzon!$R$132</definedName>
    <definedName name="novULHr" localSheetId="14">AHaneena!$R$132</definedName>
    <definedName name="novULHr" localSheetId="19">AKunnamkudath!$R$132</definedName>
    <definedName name="novULHr" localSheetId="7">DMifsud_Ceci!$R$132</definedName>
    <definedName name="novULHr" localSheetId="33">ECurmi!$R$132</definedName>
    <definedName name="novULHr" localSheetId="15">ELama!$R$132</definedName>
    <definedName name="novULHr" localSheetId="5">KMizzi!$R$132</definedName>
    <definedName name="novULHr" localSheetId="10">LBonnici!$R$132</definedName>
    <definedName name="novULHr" localSheetId="4">LCarini!$R$132</definedName>
    <definedName name="novULHr" localSheetId="16">MAcero_Garzon!$R$132</definedName>
    <definedName name="novULHr" localSheetId="9">MCamilleri!$R$132</definedName>
    <definedName name="novULHr" localSheetId="37">MEllul!$R$132</definedName>
    <definedName name="novULHr" localSheetId="22">NScerri_Esposito!$R$132</definedName>
    <definedName name="novULHr" localSheetId="24">RAcharya!$R$132</definedName>
    <definedName name="novULHr" localSheetId="21">RAttard!$R$132</definedName>
    <definedName name="novULHr" localSheetId="6">RCamilleri!$R$132</definedName>
    <definedName name="novULHr" localSheetId="3">RGaldes!$R$132</definedName>
    <definedName name="novULHr" localSheetId="13">RMallan_Albani!$R$132</definedName>
    <definedName name="novULHr" localSheetId="18">RSreejith!$R$132</definedName>
    <definedName name="novULHr" localSheetId="59">SPare!$R$132</definedName>
    <definedName name="novULHr" localSheetId="35">ZMifsud!$R$132</definedName>
    <definedName name="OCT_PAY" localSheetId="34">AFalzon!$N$109:$Y$118</definedName>
    <definedName name="OCT_PAY" localSheetId="14">AHaneena!$N$109:$Y$118</definedName>
    <definedName name="OCT_PAY" localSheetId="19">AKunnamkudath!$N$109:$Y$118</definedName>
    <definedName name="OCT_PAY" localSheetId="7">DMifsud_Ceci!$N$109:$Y$118</definedName>
    <definedName name="OCT_PAY" localSheetId="33">ECurmi!$N$109:$Y$118</definedName>
    <definedName name="OCT_PAY" localSheetId="15">ELama!$N$109:$Y$118</definedName>
    <definedName name="OCT_PAY" localSheetId="5">KMizzi!$N$109:$Y$118</definedName>
    <definedName name="OCT_PAY" localSheetId="10">LBonnici!$N$109:$Y$118</definedName>
    <definedName name="OCT_PAY" localSheetId="4">LCarini!$N$109:$Y$118</definedName>
    <definedName name="OCT_PAY" localSheetId="16">MAcero_Garzon!$N$109:$Y$118</definedName>
    <definedName name="OCT_PAY" localSheetId="9">MCamilleri!$N$109:$Y$118</definedName>
    <definedName name="OCT_PAY" localSheetId="37">MEllul!$N$109:$Y$118</definedName>
    <definedName name="OCT_PAY" localSheetId="22">NScerri_Esposito!$N$109:$Y$118</definedName>
    <definedName name="OCT_PAY" localSheetId="24">RAcharya!$N$109:$Y$118</definedName>
    <definedName name="OCT_PAY" localSheetId="21">RAttard!$N$109:$Y$118</definedName>
    <definedName name="OCT_PAY" localSheetId="6">RCamilleri!$N$109:$Y$118</definedName>
    <definedName name="OCT_PAY" localSheetId="3">RGaldes!$N$109:$Y$118</definedName>
    <definedName name="OCT_PAY" localSheetId="13">RMallan_Albani!$N$109:$Y$118</definedName>
    <definedName name="OCT_PAY" localSheetId="18">RSreejith!$N$109:$Y$118</definedName>
    <definedName name="OCT_PAY" localSheetId="59">SPare!$N$109:$Y$118</definedName>
    <definedName name="OCT_PAY" localSheetId="35">ZMifsud!$N$109:$Y$118</definedName>
    <definedName name="octeesocsec" localSheetId="34">AFalzon!$V$111</definedName>
    <definedName name="octeesocsec" localSheetId="14">AHaneena!$V$111</definedName>
    <definedName name="octeesocsec" localSheetId="19">AKunnamkudath!$V$111</definedName>
    <definedName name="octeesocsec" localSheetId="7">DMifsud_Ceci!$V$111</definedName>
    <definedName name="octeesocsec" localSheetId="33">ECurmi!$V$111</definedName>
    <definedName name="octeesocsec" localSheetId="15">ELama!$V$111</definedName>
    <definedName name="octeesocsec" localSheetId="5">KMizzi!$V$111</definedName>
    <definedName name="octeesocsec" localSheetId="10">LBonnici!$V$111</definedName>
    <definedName name="octeesocsec" localSheetId="4">LCarini!$V$111</definedName>
    <definedName name="octeesocsec" localSheetId="16">MAcero_Garzon!$V$111</definedName>
    <definedName name="octeesocsec" localSheetId="9">MCamilleri!$V$111</definedName>
    <definedName name="octeesocsec" localSheetId="37">MEllul!$V$111</definedName>
    <definedName name="octeesocsec" localSheetId="22">NScerri_Esposito!$V$111</definedName>
    <definedName name="octeesocsec" localSheetId="24">RAcharya!$V$111</definedName>
    <definedName name="octeesocsec" localSheetId="21">RAttard!$V$111</definedName>
    <definedName name="octeesocsec" localSheetId="6">RCamilleri!$V$111</definedName>
    <definedName name="octeesocsec" localSheetId="3">RGaldes!$V$111</definedName>
    <definedName name="octeesocsec" localSheetId="13">RMallan_Albani!$V$111</definedName>
    <definedName name="octeesocsec" localSheetId="18">RSreejith!$V$111</definedName>
    <definedName name="octeesocsec" localSheetId="59">SPare!$V$111</definedName>
    <definedName name="octeesocsec" localSheetId="35">ZMifsud!$V$111</definedName>
    <definedName name="OctERSocSec" localSheetId="34">AFalzon!$U$111</definedName>
    <definedName name="OctERSocSec" localSheetId="14">AHaneena!$U$111</definedName>
    <definedName name="OctERSocSec" localSheetId="19">AKunnamkudath!$U$111</definedName>
    <definedName name="OctERSocSec" localSheetId="7">DMifsud_Ceci!$U$111</definedName>
    <definedName name="OctERSocSec" localSheetId="33">ECurmi!$U$111</definedName>
    <definedName name="OctERSocSec" localSheetId="15">ELama!$U$111</definedName>
    <definedName name="OctERSocSec" localSheetId="5">KMizzi!$U$111</definedName>
    <definedName name="OctERSocSec" localSheetId="10">LBonnici!$U$111</definedName>
    <definedName name="OctERSocSec" localSheetId="4">LCarini!$U$111</definedName>
    <definedName name="OctERSocSec" localSheetId="16">MAcero_Garzon!$U$111</definedName>
    <definedName name="OctERSocSec" localSheetId="9">MCamilleri!$U$111</definedName>
    <definedName name="OctERSocSec" localSheetId="37">MEllul!$U$111</definedName>
    <definedName name="OctERSocSec" localSheetId="22">NScerri_Esposito!$U$111</definedName>
    <definedName name="OctERSocSec" localSheetId="24">RAcharya!$U$111</definedName>
    <definedName name="OctERSocSec" localSheetId="21">RAttard!$U$111</definedName>
    <definedName name="OctERSocSec" localSheetId="6">RCamilleri!$U$111</definedName>
    <definedName name="OctERSocSec" localSheetId="3">RGaldes!$U$111</definedName>
    <definedName name="OctERSocSec" localSheetId="13">RMallan_Albani!$U$111</definedName>
    <definedName name="OctERSocSec" localSheetId="18">RSreejith!$U$111</definedName>
    <definedName name="OctERSocSec" localSheetId="59">SPare!$U$111</definedName>
    <definedName name="OctERSocSec" localSheetId="35">ZMifsud!$U$111</definedName>
    <definedName name="octeuhrs" localSheetId="34">AFalzon!$R$111</definedName>
    <definedName name="octeuhrs" localSheetId="14">AHaneena!$R$111</definedName>
    <definedName name="octeuhrs" localSheetId="19">AKunnamkudath!$R$111</definedName>
    <definedName name="octeuhrs" localSheetId="7">DMifsud_Ceci!$R$111</definedName>
    <definedName name="octeuhrs" localSheetId="33">ECurmi!$R$111</definedName>
    <definedName name="octeuhrs" localSheetId="15">ELama!$R$111</definedName>
    <definedName name="octeuhrs" localSheetId="5">KMizzi!$R$111</definedName>
    <definedName name="octeuhrs" localSheetId="10">LBonnici!$R$111</definedName>
    <definedName name="octeuhrs" localSheetId="4">LCarini!$R$111</definedName>
    <definedName name="octeuhrs" localSheetId="16">MAcero_Garzon!$R$111</definedName>
    <definedName name="octeuhrs" localSheetId="9">MCamilleri!$R$111</definedName>
    <definedName name="octeuhrs" localSheetId="37">MEllul!$R$111</definedName>
    <definedName name="octeuhrs" localSheetId="22">NScerri_Esposito!$R$111</definedName>
    <definedName name="octeuhrs" localSheetId="24">RAcharya!$R$111</definedName>
    <definedName name="octeuhrs" localSheetId="21">RAttard!$R$111</definedName>
    <definedName name="octeuhrs" localSheetId="6">RCamilleri!$R$111</definedName>
    <definedName name="octeuhrs" localSheetId="3">RGaldes!$R$111</definedName>
    <definedName name="octeuhrs" localSheetId="13">RMallan_Albani!$R$111</definedName>
    <definedName name="octeuhrs" localSheetId="18">RSreejith!$R$111</definedName>
    <definedName name="octeuhrs" localSheetId="59">SPare!$R$111</definedName>
    <definedName name="octeuhrs" localSheetId="35">ZMifsud!$R$111</definedName>
    <definedName name="octfsstax" localSheetId="0">'fs7'!$K$46</definedName>
    <definedName name="octgrs" localSheetId="34">AFalzon!$S$109:$S$113</definedName>
    <definedName name="octgrs" localSheetId="14">AHaneena!$S$109:$S$113</definedName>
    <definedName name="octgrs" localSheetId="19">AKunnamkudath!$S$109:$S$113</definedName>
    <definedName name="octgrs" localSheetId="7">DMifsud_Ceci!$S$109:$S$113</definedName>
    <definedName name="octgrs" localSheetId="33">ECurmi!$S$109:$S$113</definedName>
    <definedName name="octgrs" localSheetId="15">ELama!$S$109:$S$113</definedName>
    <definedName name="octgrs" localSheetId="5">KMizzi!$S$109:$S$113</definedName>
    <definedName name="octgrs" localSheetId="10">LBonnici!$S$109:$S$113</definedName>
    <definedName name="octgrs" localSheetId="4">LCarini!$S$109:$S$113</definedName>
    <definedName name="octgrs" localSheetId="16">MAcero_Garzon!$S$109:$S$113</definedName>
    <definedName name="octgrs" localSheetId="9">MCamilleri!$S$109:$S$113</definedName>
    <definedName name="octgrs" localSheetId="37">MEllul!$S$109:$S$113</definedName>
    <definedName name="octgrs" localSheetId="22">NScerri_Esposito!$S$109:$S$113</definedName>
    <definedName name="octgrs" localSheetId="24">RAcharya!$S$109:$S$113</definedName>
    <definedName name="octgrs" localSheetId="21">RAttard!$S$109:$S$113</definedName>
    <definedName name="octgrs" localSheetId="6">RCamilleri!$S$109:$S$113</definedName>
    <definedName name="octgrs" localSheetId="3">RGaldes!$S$109:$S$113</definedName>
    <definedName name="octgrs" localSheetId="13">RMallan_Albani!$S$109:$S$113</definedName>
    <definedName name="octgrs" localSheetId="18">RSreejith!$S$109:$S$113</definedName>
    <definedName name="octgrs" localSheetId="59">SPare!$S$109:$S$113</definedName>
    <definedName name="octgrs" localSheetId="35">ZMifsud!$S$109:$S$113</definedName>
    <definedName name="octhrrt" localSheetId="34">AFalzon!$R$13</definedName>
    <definedName name="octhrrt" localSheetId="14">AHaneena!$R$13</definedName>
    <definedName name="octhrrt" localSheetId="19">AKunnamkudath!$R$13</definedName>
    <definedName name="octhrrt" localSheetId="7">DMifsud_Ceci!$R$13</definedName>
    <definedName name="octhrrt" localSheetId="33">ECurmi!$R$13</definedName>
    <definedName name="octhrrt" localSheetId="15">ELama!$R$13</definedName>
    <definedName name="octhrrt" localSheetId="5">KMizzi!$R$13</definedName>
    <definedName name="octhrrt" localSheetId="10">LBonnici!$R$13</definedName>
    <definedName name="octhrrt" localSheetId="4">LCarini!$R$13</definedName>
    <definedName name="octhrrt" localSheetId="16">MAcero_Garzon!$R$13</definedName>
    <definedName name="octhrrt" localSheetId="9">MCamilleri!$R$13</definedName>
    <definedName name="octhrrt" localSheetId="37">MEllul!$R$13</definedName>
    <definedName name="octhrrt" localSheetId="22">NScerri_Esposito!$R$13</definedName>
    <definedName name="octhrrt" localSheetId="24">RAcharya!$R$13</definedName>
    <definedName name="octhrrt" localSheetId="21">RAttard!$R$13</definedName>
    <definedName name="octhrrt" localSheetId="6">RCamilleri!$R$13</definedName>
    <definedName name="octhrrt" localSheetId="3">RGaldes!$R$13</definedName>
    <definedName name="octhrrt" localSheetId="13">RMallan_Albani!$R$13</definedName>
    <definedName name="octhrrt" localSheetId="18">RSreejith!$R$13</definedName>
    <definedName name="octhrrt" localSheetId="59">SPare!$R$13</definedName>
    <definedName name="octhrrt" localSheetId="35">ZMifsud!$R$13</definedName>
    <definedName name="Octmlf" localSheetId="34">AFalzon!$U$112</definedName>
    <definedName name="Octmlf" localSheetId="14">AHaneena!$U$112</definedName>
    <definedName name="Octmlf" localSheetId="19">AKunnamkudath!$U$112</definedName>
    <definedName name="Octmlf" localSheetId="7">DMifsud_Ceci!$U$112</definedName>
    <definedName name="Octmlf" localSheetId="33">ECurmi!$U$112</definedName>
    <definedName name="Octmlf" localSheetId="15">ELama!$U$112</definedName>
    <definedName name="octmlf" localSheetId="0">'fs7'!$M$46</definedName>
    <definedName name="Octmlf" localSheetId="5">KMizzi!$U$112</definedName>
    <definedName name="Octmlf" localSheetId="10">LBonnici!$U$112</definedName>
    <definedName name="Octmlf" localSheetId="4">LCarini!$U$112</definedName>
    <definedName name="Octmlf" localSheetId="16">MAcero_Garzon!$U$112</definedName>
    <definedName name="Octmlf" localSheetId="9">MCamilleri!$U$112</definedName>
    <definedName name="Octmlf" localSheetId="37">MEllul!$U$112</definedName>
    <definedName name="Octmlf" localSheetId="22">NScerri_Esposito!$U$112</definedName>
    <definedName name="Octmlf" localSheetId="24">RAcharya!$U$112</definedName>
    <definedName name="Octmlf" localSheetId="21">RAttard!$U$112</definedName>
    <definedName name="Octmlf" localSheetId="6">RCamilleri!$U$112</definedName>
    <definedName name="Octmlf" localSheetId="3">RGaldes!$U$112</definedName>
    <definedName name="Octmlf" localSheetId="13">RMallan_Albani!$U$112</definedName>
    <definedName name="Octmlf" localSheetId="18">RSreejith!$U$112</definedName>
    <definedName name="Octmlf" localSheetId="59">SPare!$U$112</definedName>
    <definedName name="Octmlf" localSheetId="35">ZMifsud!$U$112</definedName>
    <definedName name="octoth" localSheetId="34">AFalzon!$R$114</definedName>
    <definedName name="octoth" localSheetId="14">AHaneena!$R$114</definedName>
    <definedName name="octoth" localSheetId="19">AKunnamkudath!$R$114</definedName>
    <definedName name="octoth" localSheetId="7">DMifsud_Ceci!$R$114</definedName>
    <definedName name="octoth" localSheetId="33">ECurmi!$R$114</definedName>
    <definedName name="octoth" localSheetId="15">ELama!$R$114</definedName>
    <definedName name="octoth" localSheetId="5">KMizzi!$R$114</definedName>
    <definedName name="octoth" localSheetId="10">LBonnici!$R$114</definedName>
    <definedName name="octoth" localSheetId="4">LCarini!$R$114</definedName>
    <definedName name="octoth" localSheetId="16">MAcero_Garzon!$R$114</definedName>
    <definedName name="octoth" localSheetId="9">MCamilleri!$R$114</definedName>
    <definedName name="octoth" localSheetId="37">MEllul!$R$114</definedName>
    <definedName name="octoth" localSheetId="22">NScerri_Esposito!$R$114</definedName>
    <definedName name="octoth" localSheetId="24">RAcharya!$R$114</definedName>
    <definedName name="octoth" localSheetId="21">RAttard!$R$114</definedName>
    <definedName name="octoth" localSheetId="6">RCamilleri!$R$114</definedName>
    <definedName name="octoth" localSheetId="3">RGaldes!$R$114</definedName>
    <definedName name="octoth" localSheetId="13">RMallan_Albani!$R$114</definedName>
    <definedName name="octoth" localSheetId="18">RSreejith!$R$114</definedName>
    <definedName name="octoth" localSheetId="59">SPare!$R$114</definedName>
    <definedName name="octoth" localSheetId="35">ZMifsud!$R$114</definedName>
    <definedName name="octpb" localSheetId="34">AFalzon!$X$13</definedName>
    <definedName name="octpb" localSheetId="14">AHaneena!$X$13</definedName>
    <definedName name="octpb" localSheetId="19">AKunnamkudath!$X$13</definedName>
    <definedName name="octpb" localSheetId="7">DMifsud_Ceci!$X$13</definedName>
    <definedName name="octpb" localSheetId="33">ECurmi!$X$13</definedName>
    <definedName name="octpb" localSheetId="15">ELama!$X$13</definedName>
    <definedName name="octpb" localSheetId="5">KMizzi!$X$13</definedName>
    <definedName name="octpb" localSheetId="10">LBonnici!$X$13</definedName>
    <definedName name="octpb" localSheetId="4">LCarini!$X$13</definedName>
    <definedName name="octpb" localSheetId="16">MAcero_Garzon!$X$13</definedName>
    <definedName name="octpb" localSheetId="9">MCamilleri!$X$13</definedName>
    <definedName name="octpb" localSheetId="37">MEllul!$X$13</definedName>
    <definedName name="octpb" localSheetId="22">NScerri_Esposito!$X$13</definedName>
    <definedName name="octpb" localSheetId="24">RAcharya!$X$13</definedName>
    <definedName name="octpb" localSheetId="21">RAttard!$X$13</definedName>
    <definedName name="octpb" localSheetId="6">RCamilleri!$X$13</definedName>
    <definedName name="octpb" localSheetId="3">RGaldes!$X$13</definedName>
    <definedName name="octpb" localSheetId="13">RMallan_Albani!$X$13</definedName>
    <definedName name="octpb" localSheetId="18">RSreejith!$X$13</definedName>
    <definedName name="octpb" localSheetId="59">SPare!$X$13</definedName>
    <definedName name="octpb" localSheetId="35">ZMifsud!$X$13</definedName>
    <definedName name="octsb" localSheetId="34">AFalzon!$Y$13</definedName>
    <definedName name="octsb" localSheetId="14">AHaneena!$Y$13</definedName>
    <definedName name="octsb" localSheetId="19">AKunnamkudath!$Y$13</definedName>
    <definedName name="octsb" localSheetId="7">DMifsud_Ceci!$Y$13</definedName>
    <definedName name="octsb" localSheetId="33">ECurmi!$Y$13</definedName>
    <definedName name="octsb" localSheetId="15">ELama!$Y$13</definedName>
    <definedName name="octsb" localSheetId="5">KMizzi!$Y$13</definedName>
    <definedName name="octsb" localSheetId="10">LBonnici!$Y$13</definedName>
    <definedName name="octsb" localSheetId="4">LCarini!$Y$13</definedName>
    <definedName name="octsb" localSheetId="16">MAcero_Garzon!$Y$13</definedName>
    <definedName name="octsb" localSheetId="9">MCamilleri!$Y$13</definedName>
    <definedName name="octsb" localSheetId="37">MEllul!$Y$13</definedName>
    <definedName name="octsb" localSheetId="22">NScerri_Esposito!$Y$13</definedName>
    <definedName name="octsb" localSheetId="24">RAcharya!$Y$13</definedName>
    <definedName name="octsb" localSheetId="21">RAttard!$Y$13</definedName>
    <definedName name="octsb" localSheetId="6">RCamilleri!$Y$13</definedName>
    <definedName name="octsb" localSheetId="3">RGaldes!$Y$13</definedName>
    <definedName name="octsb" localSheetId="13">RMallan_Albani!$Y$13</definedName>
    <definedName name="octsb" localSheetId="18">RSreejith!$Y$13</definedName>
    <definedName name="octsb" localSheetId="59">SPare!$Y$13</definedName>
    <definedName name="octsb" localSheetId="35">ZMifsud!$Y$13</definedName>
    <definedName name="octssc" localSheetId="0">'fs7'!$L$46</definedName>
    <definedName name="octULHr" localSheetId="34">AFalzon!$R$112</definedName>
    <definedName name="octULHr" localSheetId="14">AHaneena!$R$112</definedName>
    <definedName name="octULHr" localSheetId="19">AKunnamkudath!$R$112</definedName>
    <definedName name="octULHr" localSheetId="7">DMifsud_Ceci!$R$112</definedName>
    <definedName name="octULHr" localSheetId="33">ECurmi!$R$112</definedName>
    <definedName name="octULHr" localSheetId="15">ELama!$R$112</definedName>
    <definedName name="octULHr" localSheetId="5">KMizzi!$R$112</definedName>
    <definedName name="octULHr" localSheetId="10">LBonnici!$R$112</definedName>
    <definedName name="octULHr" localSheetId="4">LCarini!$R$112</definedName>
    <definedName name="octULHr" localSheetId="16">MAcero_Garzon!$R$112</definedName>
    <definedName name="octULHr" localSheetId="9">MCamilleri!$R$112</definedName>
    <definedName name="octULHr" localSheetId="37">MEllul!$R$112</definedName>
    <definedName name="octULHr" localSheetId="22">NScerri_Esposito!$R$112</definedName>
    <definedName name="octULHr" localSheetId="24">RAcharya!$R$112</definedName>
    <definedName name="octULHr" localSheetId="21">RAttard!$R$112</definedName>
    <definedName name="octULHr" localSheetId="6">RCamilleri!$R$112</definedName>
    <definedName name="octULHr" localSheetId="3">RGaldes!$R$112</definedName>
    <definedName name="octULHr" localSheetId="13">RMallan_Albani!$R$112</definedName>
    <definedName name="octULHr" localSheetId="18">RSreejith!$R$112</definedName>
    <definedName name="octULHr" localSheetId="59">SPare!$R$112</definedName>
    <definedName name="octULHr" localSheetId="35">ZMifsud!$R$112</definedName>
    <definedName name="OTPAY" localSheetId="40">Summary!#REF!</definedName>
    <definedName name="OTPAY" localSheetId="41">SummaryPT!$W$105:$X$117</definedName>
    <definedName name="OTPAY" localSheetId="42">SummaryTOTS!$O$105:$P$117</definedName>
    <definedName name="OTTAX" localSheetId="40">Summary!#REF!</definedName>
    <definedName name="OTTAX" localSheetId="41">SummaryPT!$W$125:$X$137</definedName>
    <definedName name="OTTAX" localSheetId="42">SummaryTOTS!$O$125:$P$137</definedName>
    <definedName name="par1ded">DATA!$O$66</definedName>
    <definedName name="par1rate">DATA!$N$66</definedName>
    <definedName name="par2ded">DATA!$O$67</definedName>
    <definedName name="par2rate">DATA!$N$67</definedName>
    <definedName name="par3ded">DATA!$O$68</definedName>
    <definedName name="par3rate">DATA!$N$68</definedName>
    <definedName name="par4ded">DATA!$O$69</definedName>
    <definedName name="par4rate">DATA!$N$69</definedName>
    <definedName name="par5ded">DATA!$O$70</definedName>
    <definedName name="par5rate">DATA!$N$70</definedName>
    <definedName name="Parent_Rates">DATA!$L$66:$O$70</definedName>
    <definedName name="PARMAX1" localSheetId="45">DATA!$L$45</definedName>
    <definedName name="PARMAX1" localSheetId="57">DATA!$L$45</definedName>
    <definedName name="PARMAX1" localSheetId="0">DATA!$L$45</definedName>
    <definedName name="PARMAX1" localSheetId="44">DATA!$L$45</definedName>
    <definedName name="PARMAX1" localSheetId="46">DATA!$L$45</definedName>
    <definedName name="PARMAX1" localSheetId="58">DATA!$L$45</definedName>
    <definedName name="PARMAX1">DATA!$M$66</definedName>
    <definedName name="PARMAX2" localSheetId="45">DATA!$L$46</definedName>
    <definedName name="PARMAX2" localSheetId="57">DATA!$L$46</definedName>
    <definedName name="PARMAX2" localSheetId="0">DATA!$L$46</definedName>
    <definedName name="PARMAX2" localSheetId="44">DATA!$L$46</definedName>
    <definedName name="PARMAX2" localSheetId="46">DATA!$L$46</definedName>
    <definedName name="PARMAX2" localSheetId="58">DATA!$L$46</definedName>
    <definedName name="PARMAX2">DATA!$M$67</definedName>
    <definedName name="PARMAX3" localSheetId="45">DATA!$L$47</definedName>
    <definedName name="PARMAX3" localSheetId="57">DATA!$L$47</definedName>
    <definedName name="PARMAX3" localSheetId="0">DATA!$L$47</definedName>
    <definedName name="PARMAX3" localSheetId="44">DATA!$L$47</definedName>
    <definedName name="PARMAX3" localSheetId="46">DATA!$L$47</definedName>
    <definedName name="PARMAX3" localSheetId="58">DATA!$L$47</definedName>
    <definedName name="PARMAX3">DATA!$M$68</definedName>
    <definedName name="PARMAX4" localSheetId="45">DATA!$L$48</definedName>
    <definedName name="PARMAX4" localSheetId="57">DATA!$L$48</definedName>
    <definedName name="PARMAX4" localSheetId="0">DATA!$L$48</definedName>
    <definedName name="PARMAX4" localSheetId="44">DATA!$L$48</definedName>
    <definedName name="PARMAX4" localSheetId="46">DATA!$L$48</definedName>
    <definedName name="PARMAX4" localSheetId="58">DATA!$L$48</definedName>
    <definedName name="PARMAX4">DATA!$M$69</definedName>
    <definedName name="partab">DATA!$J$66:$O$70</definedName>
    <definedName name="PayAPR" localSheetId="34">AFalzon!$O$49:$Y$57</definedName>
    <definedName name="PayAPR" localSheetId="14">AHaneena!$O$49:$Y$57</definedName>
    <definedName name="PayAPR" localSheetId="19">AKunnamkudath!$O$49:$Y$57</definedName>
    <definedName name="PayAPR" localSheetId="7">DMifsud_Ceci!$O$49:$Y$57</definedName>
    <definedName name="PayAPR" localSheetId="33">ECurmi!$O$49:$Y$57</definedName>
    <definedName name="PayAPR" localSheetId="15">ELama!$O$49:$Y$57</definedName>
    <definedName name="PayAPR" localSheetId="5">KMizzi!$O$49:$Y$57</definedName>
    <definedName name="PayAPR" localSheetId="10">LBonnici!$O$49:$Y$57</definedName>
    <definedName name="PayAPR" localSheetId="4">LCarini!$O$49:$Y$57</definedName>
    <definedName name="PayAPR" localSheetId="16">MAcero_Garzon!$O$49:$Y$57</definedName>
    <definedName name="PayAPR" localSheetId="9">MCamilleri!$O$49:$Y$57</definedName>
    <definedName name="PayAPR" localSheetId="37">MEllul!$O$49:$Y$57</definedName>
    <definedName name="PayAPR" localSheetId="22">NScerri_Esposito!$O$49:$Y$57</definedName>
    <definedName name="PayAPR" localSheetId="24">RAcharya!$O$49:$Y$57</definedName>
    <definedName name="PayAPR" localSheetId="21">RAttard!$O$49:$Y$57</definedName>
    <definedName name="PayAPR" localSheetId="6">RCamilleri!$O$49:$Y$57</definedName>
    <definedName name="PayAPR" localSheetId="3">RGaldes!$O$49:$Y$57</definedName>
    <definedName name="PayAPR" localSheetId="13">RMallan_Albani!$O$49:$Y$57</definedName>
    <definedName name="PayAPR" localSheetId="18">RSreejith!$O$49:$Y$57</definedName>
    <definedName name="PayAPR" localSheetId="59">SPare!$O$49:$Y$57</definedName>
    <definedName name="PayAPR" localSheetId="35">ZMifsud!$O$49:$Y$57</definedName>
    <definedName name="PayAUG" localSheetId="34">AFalzon!$O$79:$Y$87</definedName>
    <definedName name="PayAUG" localSheetId="14">AHaneena!$O$79:$Y$87</definedName>
    <definedName name="PayAUG" localSheetId="19">AKunnamkudath!$O$79:$Y$87</definedName>
    <definedName name="PayAUG" localSheetId="7">DMifsud_Ceci!$O$79:$Y$87</definedName>
    <definedName name="PayAUG" localSheetId="33">ECurmi!$O$79:$Y$87</definedName>
    <definedName name="PayAUG" localSheetId="15">ELama!$O$79:$Y$87</definedName>
    <definedName name="PayAUG" localSheetId="5">KMizzi!$O$79:$Y$87</definedName>
    <definedName name="PayAUG" localSheetId="10">LBonnici!$O$79:$Y$87</definedName>
    <definedName name="PayAUG" localSheetId="4">LCarini!$O$79:$Y$87</definedName>
    <definedName name="PayAUG" localSheetId="16">MAcero_Garzon!$O$79:$Y$87</definedName>
    <definedName name="PayAUG" localSheetId="9">MCamilleri!$O$79:$Y$87</definedName>
    <definedName name="PayAUG" localSheetId="37">MEllul!$O$79:$Y$87</definedName>
    <definedName name="PayAUG" localSheetId="22">NScerri_Esposito!$O$79:$Y$87</definedName>
    <definedName name="PayAUG" localSheetId="24">RAcharya!$O$79:$Y$87</definedName>
    <definedName name="PayAUG" localSheetId="21">RAttard!$O$79:$Y$87</definedName>
    <definedName name="PayAUG" localSheetId="6">RCamilleri!$O$79:$Y$87</definedName>
    <definedName name="PayAUG" localSheetId="3">RGaldes!$O$79:$Y$87</definedName>
    <definedName name="PayAUG" localSheetId="13">RMallan_Albani!$O$79:$Y$87</definedName>
    <definedName name="PayAUG" localSheetId="18">RSreejith!$O$79:$Y$87</definedName>
    <definedName name="PayAUG" localSheetId="59">SPare!$O$79:$Y$87</definedName>
    <definedName name="PayAUG" localSheetId="35">ZMifsud!$O$79:$Y$87</definedName>
    <definedName name="PayDEC" localSheetId="34">AFalzon!$O$129:$Y$137</definedName>
    <definedName name="PayDEC" localSheetId="14">AHaneena!$O$129:$Y$137</definedName>
    <definedName name="PayDEC" localSheetId="19">AKunnamkudath!$O$129:$Y$137</definedName>
    <definedName name="PayDEC" localSheetId="7">DMifsud_Ceci!$O$129:$Y$137</definedName>
    <definedName name="PayDEC" localSheetId="33">ECurmi!$O$129:$Y$137</definedName>
    <definedName name="PayDEC" localSheetId="15">ELama!$O$129:$Y$137</definedName>
    <definedName name="PayDEC" localSheetId="5">KMizzi!$O$129:$Y$137</definedName>
    <definedName name="PayDEC" localSheetId="10">LBonnici!$O$129:$Y$137</definedName>
    <definedName name="PayDEC" localSheetId="4">LCarini!$O$129:$Y$137</definedName>
    <definedName name="PayDEC" localSheetId="16">MAcero_Garzon!$O$129:$Y$137</definedName>
    <definedName name="PayDEC" localSheetId="9">MCamilleri!$O$129:$Y$137</definedName>
    <definedName name="PayDEC" localSheetId="37">MEllul!$O$129:$Y$137</definedName>
    <definedName name="PayDEC" localSheetId="22">NScerri_Esposito!$O$129:$Y$137</definedName>
    <definedName name="PayDEC" localSheetId="24">RAcharya!$O$129:$Y$137</definedName>
    <definedName name="PayDEC" localSheetId="21">RAttard!$O$129:$Y$137</definedName>
    <definedName name="PayDEC" localSheetId="6">RCamilleri!$O$129:$Y$137</definedName>
    <definedName name="PayDEC" localSheetId="3">RGaldes!$O$129:$Y$137</definedName>
    <definedName name="PayDEC" localSheetId="13">RMallan_Albani!$O$129:$Y$137</definedName>
    <definedName name="PayDEC" localSheetId="18">RSreejith!$O$129:$Y$137</definedName>
    <definedName name="PayDEC" localSheetId="59">SPare!$O$129:$Y$137</definedName>
    <definedName name="PayDEC" localSheetId="35">ZMifsud!$O$129:$Y$137</definedName>
    <definedName name="PayFEB" localSheetId="34">AFalzon!$O$29:$Y$37</definedName>
    <definedName name="PayFEB" localSheetId="14">AHaneena!$O$29:$Y$37</definedName>
    <definedName name="PayFEB" localSheetId="19">AKunnamkudath!$O$29:$Y$37</definedName>
    <definedName name="PayFEB" localSheetId="7">DMifsud_Ceci!$O$29:$Y$37</definedName>
    <definedName name="PayFEB" localSheetId="33">ECurmi!$O$29:$Y$37</definedName>
    <definedName name="PayFEB" localSheetId="15">ELama!$O$29:$Y$37</definedName>
    <definedName name="PayFEB" localSheetId="5">KMizzi!$O$29:$Y$37</definedName>
    <definedName name="PayFEB" localSheetId="10">LBonnici!$O$29:$Y$37</definedName>
    <definedName name="PayFEB" localSheetId="4">LCarini!$O$29:$Y$37</definedName>
    <definedName name="PayFEB" localSheetId="16">MAcero_Garzon!$O$29:$Y$37</definedName>
    <definedName name="PayFEB" localSheetId="9">MCamilleri!$O$29:$Y$37</definedName>
    <definedName name="PayFEB" localSheetId="37">MEllul!$O$29:$Y$37</definedName>
    <definedName name="PayFEB" localSheetId="22">NScerri_Esposito!$O$29:$Y$37</definedName>
    <definedName name="PayFEB" localSheetId="24">RAcharya!$O$29:$Y$37</definedName>
    <definedName name="PayFEB" localSheetId="21">RAttard!$O$29:$Y$37</definedName>
    <definedName name="PayFEB" localSheetId="6">RCamilleri!$O$29:$Y$37</definedName>
    <definedName name="PayFEB" localSheetId="3">RGaldes!$O$29:$Y$37</definedName>
    <definedName name="PayFEB" localSheetId="13">RMallan_Albani!$O$29:$Y$37</definedName>
    <definedName name="PayFEB" localSheetId="18">RSreejith!$O$29:$Y$37</definedName>
    <definedName name="PayFEB" localSheetId="59">SPare!$O$29:$Y$37</definedName>
    <definedName name="PayFEB" localSheetId="35">ZMifsud!$O$29:$Y$37</definedName>
    <definedName name="PayJAN" localSheetId="34">AFalzon!$O$19:$Y$27</definedName>
    <definedName name="PayJAN" localSheetId="14">AHaneena!$O$19:$Y$27</definedName>
    <definedName name="PayJAN" localSheetId="19">AKunnamkudath!$O$19:$Y$27</definedName>
    <definedName name="PayJAN" localSheetId="7">DMifsud_Ceci!$O$19:$Y$27</definedName>
    <definedName name="PayJAN" localSheetId="33">ECurmi!$O$19:$Y$27</definedName>
    <definedName name="PayJAN" localSheetId="15">ELama!$O$19:$Y$27</definedName>
    <definedName name="PayJAN" localSheetId="5">KMizzi!$O$19:$Y$27</definedName>
    <definedName name="PayJAN" localSheetId="10">LBonnici!$O$19:$Y$27</definedName>
    <definedName name="PayJAN" localSheetId="4">LCarini!$O$19:$Y$27</definedName>
    <definedName name="PayJAN" localSheetId="16">MAcero_Garzon!$O$19:$Y$27</definedName>
    <definedName name="PayJAN" localSheetId="9">MCamilleri!$O$19:$Y$27</definedName>
    <definedName name="PayJAN" localSheetId="37">MEllul!$O$19:$Y$27</definedName>
    <definedName name="PayJAN" localSheetId="22">NScerri_Esposito!$O$19:$Y$27</definedName>
    <definedName name="PayJAN" localSheetId="24">RAcharya!$O$19:$Y$27</definedName>
    <definedName name="PayJAN" localSheetId="21">RAttard!$O$19:$Y$27</definedName>
    <definedName name="PayJAN" localSheetId="6">RCamilleri!$O$19:$Y$27</definedName>
    <definedName name="PayJAN" localSheetId="3">RGaldes!$O$19:$Y$27</definedName>
    <definedName name="PayJAN" localSheetId="13">RMallan_Albani!$O$19:$Y$27</definedName>
    <definedName name="PayJAN" localSheetId="18">RSreejith!$O$19:$Y$27</definedName>
    <definedName name="PayJAN" localSheetId="59">SPare!$O$19:$Y$27</definedName>
    <definedName name="PayJAN" localSheetId="35">ZMifsud!$O$19:$Y$27</definedName>
    <definedName name="PayJUN" localSheetId="34">AFalzon!$O$69:$Y$77</definedName>
    <definedName name="PayJUN" localSheetId="14">AHaneena!$O$69:$Y$77</definedName>
    <definedName name="PayJUN" localSheetId="19">AKunnamkudath!$O$69:$Y$77</definedName>
    <definedName name="PayJUN" localSheetId="7">DMifsud_Ceci!$O$69:$Y$77</definedName>
    <definedName name="PayJUN" localSheetId="33">ECurmi!$O$69:$Y$77</definedName>
    <definedName name="PayJUN" localSheetId="15">ELama!$O$69:$Y$77</definedName>
    <definedName name="PayJUN" localSheetId="5">KMizzi!$O$69:$Y$77</definedName>
    <definedName name="PayJUN" localSheetId="10">LBonnici!$O$69:$Y$77</definedName>
    <definedName name="PayJUN" localSheetId="4">LCarini!$O$69:$Y$77</definedName>
    <definedName name="PayJUN" localSheetId="16">MAcero_Garzon!$O$69:$Y$77</definedName>
    <definedName name="PayJUN" localSheetId="9">MCamilleri!$O$69:$Y$77</definedName>
    <definedName name="PayJUN" localSheetId="37">MEllul!$O$69:$Y$77</definedName>
    <definedName name="PayJUN" localSheetId="22">NScerri_Esposito!$O$69:$Y$77</definedName>
    <definedName name="PayJUN" localSheetId="24">RAcharya!$O$69:$Y$77</definedName>
    <definedName name="PayJUN" localSheetId="21">RAttard!$O$69:$Y$77</definedName>
    <definedName name="PayJUN" localSheetId="6">RCamilleri!$O$69:$Y$77</definedName>
    <definedName name="PayJUN" localSheetId="3">RGaldes!$O$69:$Y$77</definedName>
    <definedName name="PayJUN" localSheetId="13">RMallan_Albani!$O$69:$Y$77</definedName>
    <definedName name="PayJUN" localSheetId="18">RSreejith!$O$69:$Y$77</definedName>
    <definedName name="PayJUN" localSheetId="59">SPare!$O$69:$Y$77</definedName>
    <definedName name="PayJUN" localSheetId="35">ZMifsud!$O$69:$Y$77</definedName>
    <definedName name="PayMAR" localSheetId="34">AFalzon!$O$39:$Y$47</definedName>
    <definedName name="PayMAR" localSheetId="14">AHaneena!$O$39:$Y$47</definedName>
    <definedName name="PayMAR" localSheetId="19">AKunnamkudath!$O$39:$Y$47</definedName>
    <definedName name="PayMAR" localSheetId="7">DMifsud_Ceci!$O$39:$Y$47</definedName>
    <definedName name="PayMAR" localSheetId="33">ECurmi!$O$39:$Y$47</definedName>
    <definedName name="PayMAR" localSheetId="15">ELama!$O$39:$Y$47</definedName>
    <definedName name="PayMAR" localSheetId="5">KMizzi!$O$39:$Y$47</definedName>
    <definedName name="PayMAR" localSheetId="10">LBonnici!$O$39:$Y$47</definedName>
    <definedName name="PayMAR" localSheetId="4">LCarini!$O$39:$Y$47</definedName>
    <definedName name="PayMAR" localSheetId="16">MAcero_Garzon!$O$39:$Y$47</definedName>
    <definedName name="PayMAR" localSheetId="9">MCamilleri!$O$39:$Y$47</definedName>
    <definedName name="PayMAR" localSheetId="37">MEllul!$O$39:$Y$47</definedName>
    <definedName name="PayMAR" localSheetId="22">NScerri_Esposito!$O$39:$Y$47</definedName>
    <definedName name="PayMAR" localSheetId="24">RAcharya!$O$39:$Y$47</definedName>
    <definedName name="PayMAR" localSheetId="21">RAttard!$O$39:$Y$47</definedName>
    <definedName name="PayMAR" localSheetId="6">RCamilleri!$O$39:$Y$47</definedName>
    <definedName name="PayMAR" localSheetId="3">RGaldes!$O$39:$Y$47</definedName>
    <definedName name="PayMAR" localSheetId="13">RMallan_Albani!$O$39:$Y$47</definedName>
    <definedName name="PayMAR" localSheetId="18">RSreejith!$O$39:$Y$47</definedName>
    <definedName name="PayMAR" localSheetId="59">SPare!$O$39:$Y$47</definedName>
    <definedName name="PayMAR" localSheetId="35">ZMifsud!$O$39:$Y$47</definedName>
    <definedName name="PayMAY" localSheetId="34">AFalzon!$O$59:$Y$67</definedName>
    <definedName name="PayMAY" localSheetId="14">AHaneena!$O$59:$Y$67</definedName>
    <definedName name="PayMAY" localSheetId="19">AKunnamkudath!$O$59:$Y$67</definedName>
    <definedName name="PayMAY" localSheetId="7">DMifsud_Ceci!$O$59:$Y$67</definedName>
    <definedName name="PayMAY" localSheetId="33">ECurmi!$O$59:$Y$67</definedName>
    <definedName name="PayMAY" localSheetId="15">ELama!$O$59:$Y$67</definedName>
    <definedName name="PayMAY" localSheetId="5">KMizzi!$O$59:$Y$67</definedName>
    <definedName name="PayMAY" localSheetId="10">LBonnici!$O$59:$Y$67</definedName>
    <definedName name="PayMAY" localSheetId="4">LCarini!$O$59:$Y$67</definedName>
    <definedName name="PayMAY" localSheetId="16">MAcero_Garzon!$O$59:$Y$67</definedName>
    <definedName name="PayMAY" localSheetId="9">MCamilleri!$O$59:$Y$67</definedName>
    <definedName name="PayMAY" localSheetId="37">MEllul!$O$59:$Y$67</definedName>
    <definedName name="PayMAY" localSheetId="22">NScerri_Esposito!$O$59:$Y$67</definedName>
    <definedName name="PayMAY" localSheetId="24">RAcharya!$O$59:$Y$67</definedName>
    <definedName name="PayMAY" localSheetId="21">RAttard!$O$59:$Y$67</definedName>
    <definedName name="PayMAY" localSheetId="6">RCamilleri!$O$59:$Y$67</definedName>
    <definedName name="PayMAY" localSheetId="3">RGaldes!$O$59:$Y$67</definedName>
    <definedName name="PayMAY" localSheetId="13">RMallan_Albani!$O$59:$Y$67</definedName>
    <definedName name="PayMAY" localSheetId="18">RSreejith!$O$59:$Y$67</definedName>
    <definedName name="PayMAY" localSheetId="59">SPare!$O$59:$Y$67</definedName>
    <definedName name="PayMAY" localSheetId="35">ZMifsud!$O$59:$Y$67</definedName>
    <definedName name="PayNOV" localSheetId="34">AFalzon!$O$119:$Y$127</definedName>
    <definedName name="PayNOV" localSheetId="14">AHaneena!$O$119:$Y$127</definedName>
    <definedName name="PayNOV" localSheetId="19">AKunnamkudath!$O$119:$Y$127</definedName>
    <definedName name="PayNOV" localSheetId="7">DMifsud_Ceci!$O$119:$Y$127</definedName>
    <definedName name="PayNOV" localSheetId="33">ECurmi!$O$119:$Y$127</definedName>
    <definedName name="PayNOV" localSheetId="15">ELama!$O$119:$Y$127</definedName>
    <definedName name="PayNOV" localSheetId="5">KMizzi!$O$119:$Y$127</definedName>
    <definedName name="PayNOV" localSheetId="10">LBonnici!$O$119:$Y$127</definedName>
    <definedName name="PayNOV" localSheetId="4">LCarini!$O$119:$Y$127</definedName>
    <definedName name="PayNOV" localSheetId="16">MAcero_Garzon!$O$119:$Y$127</definedName>
    <definedName name="PayNOV" localSheetId="9">MCamilleri!$O$119:$Y$127</definedName>
    <definedName name="PayNOV" localSheetId="37">MEllul!$O$119:$Y$127</definedName>
    <definedName name="PayNOV" localSheetId="22">NScerri_Esposito!$O$119:$Y$127</definedName>
    <definedName name="PayNOV" localSheetId="24">RAcharya!$O$119:$Y$127</definedName>
    <definedName name="PayNOV" localSheetId="21">RAttard!$O$119:$Y$127</definedName>
    <definedName name="PayNOV" localSheetId="6">RCamilleri!$O$119:$Y$127</definedName>
    <definedName name="PayNOV" localSheetId="3">RGaldes!$O$119:$Y$127</definedName>
    <definedName name="PayNOV" localSheetId="13">RMallan_Albani!$O$119:$Y$127</definedName>
    <definedName name="PayNOV" localSheetId="18">RSreejith!$O$119:$Y$127</definedName>
    <definedName name="PayNOV" localSheetId="59">SPare!$O$119:$Y$127</definedName>
    <definedName name="PayNOV" localSheetId="35">ZMifsud!$O$119:$Y$127</definedName>
    <definedName name="PayOCT" localSheetId="34">AFalzon!$O$109:$Y$117</definedName>
    <definedName name="PayOCT" localSheetId="14">AHaneena!$O$109:$Y$117</definedName>
    <definedName name="PayOCT" localSheetId="19">AKunnamkudath!$O$109:$Y$117</definedName>
    <definedName name="PayOCT" localSheetId="7">DMifsud_Ceci!$O$109:$Y$117</definedName>
    <definedName name="PayOCT" localSheetId="33">ECurmi!$O$109:$Y$117</definedName>
    <definedName name="PayOCT" localSheetId="15">ELama!$O$109:$Y$117</definedName>
    <definedName name="PayOCT" localSheetId="5">KMizzi!$O$109:$Y$117</definedName>
    <definedName name="PayOCT" localSheetId="10">LBonnici!$O$109:$Y$117</definedName>
    <definedName name="PayOCT" localSheetId="4">LCarini!$O$109:$Y$117</definedName>
    <definedName name="PayOCT" localSheetId="16">MAcero_Garzon!$O$109:$Y$117</definedName>
    <definedName name="PayOCT" localSheetId="9">MCamilleri!$O$109:$Y$117</definedName>
    <definedName name="PayOCT" localSheetId="37">MEllul!$O$109:$Y$117</definedName>
    <definedName name="PayOCT" localSheetId="22">NScerri_Esposito!$O$109:$Y$117</definedName>
    <definedName name="PayOCT" localSheetId="24">RAcharya!$O$109:$Y$117</definedName>
    <definedName name="PayOCT" localSheetId="21">RAttard!$O$109:$Y$117</definedName>
    <definedName name="PayOCT" localSheetId="6">RCamilleri!$O$109:$Y$117</definedName>
    <definedName name="PayOCT" localSheetId="3">RGaldes!$O$109:$Y$117</definedName>
    <definedName name="PayOCT" localSheetId="13">RMallan_Albani!$O$109:$Y$117</definedName>
    <definedName name="PayOCT" localSheetId="18">RSreejith!$O$109:$Y$117</definedName>
    <definedName name="PayOCT" localSheetId="59">SPare!$O$109:$Y$117</definedName>
    <definedName name="PayOCT" localSheetId="35">ZMifsud!$O$109:$Y$117</definedName>
    <definedName name="PaySEP" localSheetId="34">AFalzon!$O$99:$Y$107</definedName>
    <definedName name="PaySEP" localSheetId="14">AHaneena!$O$99:$Y$107</definedName>
    <definedName name="PaySEP" localSheetId="19">AKunnamkudath!$O$99:$Y$107</definedName>
    <definedName name="PaySEP" localSheetId="7">DMifsud_Ceci!$O$99:$Y$107</definedName>
    <definedName name="PaySEP" localSheetId="33">ECurmi!$O$99:$Y$107</definedName>
    <definedName name="PaySEP" localSheetId="15">ELama!$O$99:$Y$107</definedName>
    <definedName name="PaySEP" localSheetId="5">KMizzi!$O$99:$Y$107</definedName>
    <definedName name="PaySEP" localSheetId="10">LBonnici!$O$99:$Y$107</definedName>
    <definedName name="PaySEP" localSheetId="4">LCarini!$O$99:$Y$107</definedName>
    <definedName name="PaySEP" localSheetId="16">MAcero_Garzon!$O$99:$Y$107</definedName>
    <definedName name="PaySEP" localSheetId="9">MCamilleri!$O$99:$Y$107</definedName>
    <definedName name="PaySEP" localSheetId="37">MEllul!$O$99:$Y$107</definedName>
    <definedName name="PaySEP" localSheetId="22">NScerri_Esposito!$O$99:$Y$107</definedName>
    <definedName name="PaySEP" localSheetId="24">RAcharya!$O$99:$Y$107</definedName>
    <definedName name="PaySEP" localSheetId="21">RAttard!$O$99:$Y$107</definedName>
    <definedName name="PaySEP" localSheetId="6">RCamilleri!$O$99:$Y$107</definedName>
    <definedName name="PaySEP" localSheetId="3">RGaldes!$O$99:$Y$107</definedName>
    <definedName name="PaySEP" localSheetId="13">RMallan_Albani!$O$99:$Y$107</definedName>
    <definedName name="PaySEP" localSheetId="18">RSreejith!$O$99:$Y$107</definedName>
    <definedName name="PaySEP" localSheetId="59">SPare!$O$99:$Y$107</definedName>
    <definedName name="PaySEP" localSheetId="35">ZMifsud!$O$99:$Y$107</definedName>
    <definedName name="Payslip_value">Summary!$A$4:$X$20</definedName>
    <definedName name="PCODE" localSheetId="34">AFalzon!$C$11</definedName>
    <definedName name="PCODE" localSheetId="14">AHaneena!$C$11</definedName>
    <definedName name="PCODE" localSheetId="19">AKunnamkudath!$C$11</definedName>
    <definedName name="PCODE" localSheetId="7">DMifsud_Ceci!$C$11</definedName>
    <definedName name="PCODE" localSheetId="33">ECurmi!$C$11</definedName>
    <definedName name="PCODE" localSheetId="15">ELama!$C$11</definedName>
    <definedName name="PCODE" localSheetId="5">KMizzi!$C$11</definedName>
    <definedName name="PCODE" localSheetId="10">LBonnici!$C$11</definedName>
    <definedName name="PCODE" localSheetId="4">LCarini!$C$11</definedName>
    <definedName name="PCODE" localSheetId="16">MAcero_Garzon!$C$11</definedName>
    <definedName name="PCODE" localSheetId="9">MCamilleri!$C$11</definedName>
    <definedName name="PCODE" localSheetId="37">MEllul!$C$11</definedName>
    <definedName name="PCODE" localSheetId="22">NScerri_Esposito!$C$11</definedName>
    <definedName name="PCODE" localSheetId="24">RAcharya!$C$11</definedName>
    <definedName name="PCODE" localSheetId="21">RAttard!$C$11</definedName>
    <definedName name="PCODE" localSheetId="6">RCamilleri!$C$11</definedName>
    <definedName name="PCODE" localSheetId="3">RGaldes!$C$11</definedName>
    <definedName name="PCODE" localSheetId="13">RMallan_Albani!$C$11</definedName>
    <definedName name="PCODE" localSheetId="18">RSreejith!$C$11</definedName>
    <definedName name="PCODE" localSheetId="59">SPare!$C$11</definedName>
    <definedName name="PCODE" localSheetId="35">ZMifsud!$C$11</definedName>
    <definedName name="PREVFS3" localSheetId="34">AFalzon!$G$64</definedName>
    <definedName name="PREVFS3" localSheetId="14">AHaneena!$G$64</definedName>
    <definedName name="PREVFS3" localSheetId="19">AKunnamkudath!$G$64</definedName>
    <definedName name="PREVFS3" localSheetId="7">DMifsud_Ceci!$G$64</definedName>
    <definedName name="PREVFS3" localSheetId="33">ECurmi!$G$64</definedName>
    <definedName name="PREVFS3" localSheetId="15">ELama!$G$64</definedName>
    <definedName name="PREVFS3" localSheetId="5">KMizzi!$G$64</definedName>
    <definedName name="PREVFS3" localSheetId="10">LBonnici!$G$64</definedName>
    <definedName name="PREVFS3" localSheetId="4">LCarini!$G$64</definedName>
    <definedName name="PREVFS3" localSheetId="16">MAcero_Garzon!$G$64</definedName>
    <definedName name="PREVFS3" localSheetId="9">MCamilleri!$G$64</definedName>
    <definedName name="PREVFS3" localSheetId="37">MEllul!$G$64</definedName>
    <definedName name="PREVFS3" localSheetId="22">NScerri_Esposito!$G$64</definedName>
    <definedName name="PREVFS3" localSheetId="24">RAcharya!$G$64</definedName>
    <definedName name="PREVFS3" localSheetId="21">RAttard!$G$64</definedName>
    <definedName name="PREVFS3" localSheetId="6">RCamilleri!$G$64</definedName>
    <definedName name="PREVFS3" localSheetId="3">RGaldes!$G$64</definedName>
    <definedName name="PREVFS3" localSheetId="13">RMallan_Albani!$G$64</definedName>
    <definedName name="PREVFS3" localSheetId="18">RSreejith!$G$64</definedName>
    <definedName name="PREVFS3" localSheetId="59">SPare!$G$64</definedName>
    <definedName name="PREVFS3" localSheetId="35">ZMifsud!$G$64</definedName>
    <definedName name="_xlnm.Print_Area" localSheetId="34">AFalzon!$N$29:$V$38</definedName>
    <definedName name="_xlnm.Print_Area" localSheetId="14">AHaneena!$N$29:$V$38</definedName>
    <definedName name="_xlnm.Print_Area" localSheetId="19">AKunnamkudath!$N$29:$V$38</definedName>
    <definedName name="_xlnm.Print_Area" localSheetId="7">DMifsud_Ceci!$N$29:$V$38</definedName>
    <definedName name="_xlnm.Print_Area" localSheetId="33">ECurmi!$N$29:$V$38</definedName>
    <definedName name="_xlnm.Print_Area" localSheetId="15">ELama!$N$29:$V$38</definedName>
    <definedName name="_xlnm.Print_Area" localSheetId="5">KMizzi!$N$29:$V$38</definedName>
    <definedName name="_xlnm.Print_Area" localSheetId="10">LBonnici!$N$29:$V$38</definedName>
    <definedName name="_xlnm.Print_Area" localSheetId="4">LCarini!$N$19:$V$28</definedName>
    <definedName name="_xlnm.Print_Area" localSheetId="16">MAcero_Garzon!$N$29:$V$38</definedName>
    <definedName name="_xlnm.Print_Area" localSheetId="9">MCamilleri!$N$29:$V$38</definedName>
    <definedName name="_xlnm.Print_Area" localSheetId="37">MEllul!$N$29:$V$38</definedName>
    <definedName name="_xlnm.Print_Area" localSheetId="22">NScerri_Esposito!$N$29:$V$38</definedName>
    <definedName name="_xlnm.Print_Area" localSheetId="24">RAcharya!$N$29:$V$38</definedName>
    <definedName name="_xlnm.Print_Area" localSheetId="21">RAttard!$N$29:$V$38</definedName>
    <definedName name="_xlnm.Print_Area" localSheetId="6">RCamilleri!$N$29:$V$38</definedName>
    <definedName name="_xlnm.Print_Area" localSheetId="3">RGaldes!$N$29:$V$38</definedName>
    <definedName name="_xlnm.Print_Area" localSheetId="13">RMallan_Albani!$N$29:$V$38</definedName>
    <definedName name="_xlnm.Print_Area" localSheetId="18">RSreejith!$N$29:$V$38</definedName>
    <definedName name="_xlnm.Print_Area" localSheetId="59">SPare!$N$119:$V$128</definedName>
    <definedName name="_xlnm.Print_Area" localSheetId="35">ZMifsud!$N$29:$V$38</definedName>
    <definedName name="PSLIPVAL" localSheetId="40">Summary!#REF!</definedName>
    <definedName name="PSLIPVAL" localSheetId="41">SummaryPT!$W$5:$X$17</definedName>
    <definedName name="PSLIPVAL" localSheetId="42">SummaryTOTS!$O$5:$P$17</definedName>
    <definedName name="PT_Rate">DATA!$P$41</definedName>
    <definedName name="ptrate" localSheetId="34">AFalzon!$G$73</definedName>
    <definedName name="ptrate" localSheetId="14">AHaneena!$G$73</definedName>
    <definedName name="ptrate" localSheetId="19">AKunnamkudath!$G$73</definedName>
    <definedName name="ptrate" localSheetId="7">DMifsud_Ceci!$G$73</definedName>
    <definedName name="ptrate" localSheetId="33">ECurmi!$G$73</definedName>
    <definedName name="ptrate" localSheetId="15">ELama!$G$73</definedName>
    <definedName name="ptrate" localSheetId="5">KMizzi!$G$73</definedName>
    <definedName name="ptrate" localSheetId="10">LBonnici!$G$73</definedName>
    <definedName name="ptrate" localSheetId="4">LCarini!$G$73</definedName>
    <definedName name="ptrate" localSheetId="16">MAcero_Garzon!$G$73</definedName>
    <definedName name="ptrate" localSheetId="9">MCamilleri!$G$73</definedName>
    <definedName name="ptrate" localSheetId="37">MEllul!$G$73</definedName>
    <definedName name="ptrate" localSheetId="22">NScerri_Esposito!$G$73</definedName>
    <definedName name="ptrate" localSheetId="24">RAcharya!$G$73</definedName>
    <definedName name="ptrate" localSheetId="21">RAttard!$G$73</definedName>
    <definedName name="ptrate" localSheetId="6">RCamilleri!$G$73</definedName>
    <definedName name="ptrate" localSheetId="3">RGaldes!$G$73</definedName>
    <definedName name="ptrate" localSheetId="13">RMallan_Albani!$G$73</definedName>
    <definedName name="ptrate" localSheetId="18">RSreejith!$G$73</definedName>
    <definedName name="ptrate" localSheetId="59">SPare!$G$73</definedName>
    <definedName name="ptrate" localSheetId="35">ZMifsud!$G$73</definedName>
    <definedName name="PYRL_Summary" localSheetId="34">AFalzon!$M$2:$BB$17</definedName>
    <definedName name="PYRL_Summary" localSheetId="14">AHaneena!$M$2:$BB$17</definedName>
    <definedName name="PYRL_Summary" localSheetId="19">AKunnamkudath!$M$2:$BB$17</definedName>
    <definedName name="PYRL_Summary" localSheetId="7">DMifsud_Ceci!$M$2:$BB$17</definedName>
    <definedName name="PYRL_Summary" localSheetId="33">ECurmi!$M$2:$BB$17</definedName>
    <definedName name="PYRL_Summary" localSheetId="15">ELama!$M$2:$BB$17</definedName>
    <definedName name="PYRL_Summary" localSheetId="44">JAN_FS5!$M$2:$BB$17</definedName>
    <definedName name="PYRL_Summary" localSheetId="5">KMizzi!$M$2:$BB$17</definedName>
    <definedName name="PYRL_Summary" localSheetId="10">LBonnici!$M$2:$BB$17</definedName>
    <definedName name="PYRL_Summary" localSheetId="4">LCarini!$M$2:$BB$17</definedName>
    <definedName name="PYRL_Summary" localSheetId="16">MAcero_Garzon!$M$2:$BB$17</definedName>
    <definedName name="PYRL_Summary" localSheetId="9">MCamilleri!$M$2:$BB$17</definedName>
    <definedName name="PYRL_Summary" localSheetId="37">MEllul!$M$2:$BB$17</definedName>
    <definedName name="PYRL_Summary" localSheetId="54">NOV_FS5!$M$2:$BB$17</definedName>
    <definedName name="PYRL_Summary" localSheetId="22">NScerri_Esposito!$M$2:$BB$17</definedName>
    <definedName name="PYRL_Summary" localSheetId="53">OCT_FS5!$M$2:$BB$17</definedName>
    <definedName name="PYRL_Summary" localSheetId="24">RAcharya!$M$2:$BB$17</definedName>
    <definedName name="PYRL_Summary" localSheetId="21">RAttard!$M$2:$BB$17</definedName>
    <definedName name="PYRL_Summary" localSheetId="6">RCamilleri!$M$2:$BB$17</definedName>
    <definedName name="PYRL_Summary" localSheetId="3">RGaldes!$M$2:$BB$17</definedName>
    <definedName name="PYRL_Summary" localSheetId="13">RMallan_Albani!$M$2:$BB$17</definedName>
    <definedName name="PYRL_Summary" localSheetId="18">RSreejith!$M$2:$BB$17</definedName>
    <definedName name="PYRL_Summary" localSheetId="59">SPare!$M$2:$BB$17</definedName>
    <definedName name="PYRL_Summary" localSheetId="35">ZMifsud!$M$2:$BB$17</definedName>
    <definedName name="ratemax1" localSheetId="34">AFalzon!$G$68</definedName>
    <definedName name="ratemax1" localSheetId="14">AHaneena!$G$68</definedName>
    <definedName name="ratemax1" localSheetId="19">AKunnamkudath!$G$68</definedName>
    <definedName name="ratemax1" localSheetId="7">DMifsud_Ceci!$G$68</definedName>
    <definedName name="ratemax1" localSheetId="33">ECurmi!$G$68</definedName>
    <definedName name="ratemax1" localSheetId="15">ELama!$G$68</definedName>
    <definedName name="ratemax1" localSheetId="5">KMizzi!$G$68</definedName>
    <definedName name="ratemax1" localSheetId="10">LBonnici!$G$68</definedName>
    <definedName name="ratemax1" localSheetId="4">LCarini!$G$68</definedName>
    <definedName name="ratemax1" localSheetId="16">MAcero_Garzon!$G$68</definedName>
    <definedName name="ratemax1" localSheetId="9">MCamilleri!$G$68</definedName>
    <definedName name="ratemax1" localSheetId="37">MEllul!$G$68</definedName>
    <definedName name="ratemax1" localSheetId="22">NScerri_Esposito!$G$68</definedName>
    <definedName name="ratemax1" localSheetId="24">RAcharya!$G$68</definedName>
    <definedName name="ratemax1" localSheetId="21">RAttard!$G$68</definedName>
    <definedName name="ratemax1" localSheetId="6">RCamilleri!$G$68</definedName>
    <definedName name="ratemax1" localSheetId="3">RGaldes!$G$68</definedName>
    <definedName name="ratemax1" localSheetId="13">RMallan_Albani!$G$68</definedName>
    <definedName name="ratemax1" localSheetId="18">RSreejith!$G$68</definedName>
    <definedName name="ratemax1" localSheetId="59">SPare!$G$68</definedName>
    <definedName name="ratemax1" localSheetId="35">ZMifsud!$G$68</definedName>
    <definedName name="ratemax2" localSheetId="34">AFalzon!$G$69</definedName>
    <definedName name="ratemax2" localSheetId="14">AHaneena!$G$69</definedName>
    <definedName name="ratemax2" localSheetId="19">AKunnamkudath!$G$69</definedName>
    <definedName name="ratemax2" localSheetId="7">DMifsud_Ceci!$G$69</definedName>
    <definedName name="ratemax2" localSheetId="33">ECurmi!$G$69</definedName>
    <definedName name="ratemax2" localSheetId="15">ELama!$G$69</definedName>
    <definedName name="ratemax2" localSheetId="5">KMizzi!$G$69</definedName>
    <definedName name="ratemax2" localSheetId="10">LBonnici!$G$69</definedName>
    <definedName name="ratemax2" localSheetId="4">LCarini!$G$69</definedName>
    <definedName name="ratemax2" localSheetId="16">MAcero_Garzon!$G$69</definedName>
    <definedName name="ratemax2" localSheetId="9">MCamilleri!$G$69</definedName>
    <definedName name="ratemax2" localSheetId="37">MEllul!$G$69</definedName>
    <definedName name="ratemax2" localSheetId="22">NScerri_Esposito!$G$69</definedName>
    <definedName name="ratemax2" localSheetId="24">RAcharya!$G$69</definedName>
    <definedName name="ratemax2" localSheetId="21">RAttard!$G$69</definedName>
    <definedName name="ratemax2" localSheetId="6">RCamilleri!$G$69</definedName>
    <definedName name="ratemax2" localSheetId="3">RGaldes!$G$69</definedName>
    <definedName name="ratemax2" localSheetId="13">RMallan_Albani!$G$69</definedName>
    <definedName name="ratemax2" localSheetId="18">RSreejith!$G$69</definedName>
    <definedName name="ratemax2" localSheetId="59">SPare!$G$69</definedName>
    <definedName name="ratemax2" localSheetId="35">ZMifsud!$G$69</definedName>
    <definedName name="ratemax3" localSheetId="34">AFalzon!$G$70</definedName>
    <definedName name="ratemax3" localSheetId="14">AHaneena!$G$70</definedName>
    <definedName name="ratemax3" localSheetId="19">AKunnamkudath!$G$70</definedName>
    <definedName name="ratemax3" localSheetId="7">DMifsud_Ceci!$G$70</definedName>
    <definedName name="ratemax3" localSheetId="33">ECurmi!$G$70</definedName>
    <definedName name="ratemax3" localSheetId="15">ELama!$G$70</definedName>
    <definedName name="ratemax3" localSheetId="5">KMizzi!$G$70</definedName>
    <definedName name="ratemax3" localSheetId="10">LBonnici!$G$70</definedName>
    <definedName name="ratemax3" localSheetId="4">LCarini!$G$70</definedName>
    <definedName name="ratemax3" localSheetId="16">MAcero_Garzon!$G$70</definedName>
    <definedName name="ratemax3" localSheetId="9">MCamilleri!$G$70</definedName>
    <definedName name="ratemax3" localSheetId="37">MEllul!$G$70</definedName>
    <definedName name="ratemax3" localSheetId="22">NScerri_Esposito!$G$70</definedName>
    <definedName name="ratemax3" localSheetId="24">RAcharya!$G$70</definedName>
    <definedName name="ratemax3" localSheetId="21">RAttard!$G$70</definedName>
    <definedName name="ratemax3" localSheetId="6">RCamilleri!$G$70</definedName>
    <definedName name="ratemax3" localSheetId="3">RGaldes!$G$70</definedName>
    <definedName name="ratemax3" localSheetId="13">RMallan_Albani!$G$70</definedName>
    <definedName name="ratemax3" localSheetId="18">RSreejith!$G$70</definedName>
    <definedName name="ratemax3" localSheetId="59">SPare!$G$70</definedName>
    <definedName name="ratemax3" localSheetId="35">ZMifsud!$G$70</definedName>
    <definedName name="ratemax4" localSheetId="34">AFalzon!$G$71</definedName>
    <definedName name="ratemax4" localSheetId="14">AHaneena!$G$71</definedName>
    <definedName name="ratemax4" localSheetId="19">AKunnamkudath!$G$71</definedName>
    <definedName name="ratemax4" localSheetId="7">DMifsud_Ceci!$G$71</definedName>
    <definedName name="ratemax4" localSheetId="33">ECurmi!$G$71</definedName>
    <definedName name="ratemax4" localSheetId="15">ELama!$G$71</definedName>
    <definedName name="ratemax4" localSheetId="5">KMizzi!$G$71</definedName>
    <definedName name="ratemax4" localSheetId="10">LBonnici!$G$71</definedName>
    <definedName name="ratemax4" localSheetId="4">LCarini!$G$71</definedName>
    <definedName name="ratemax4" localSheetId="16">MAcero_Garzon!$G$71</definedName>
    <definedName name="ratemax4" localSheetId="9">MCamilleri!$G$71</definedName>
    <definedName name="ratemax4" localSheetId="37">MEllul!$G$71</definedName>
    <definedName name="ratemax4" localSheetId="22">NScerri_Esposito!$G$71</definedName>
    <definedName name="ratemax4" localSheetId="24">RAcharya!$G$71</definedName>
    <definedName name="ratemax4" localSheetId="21">RAttard!$G$71</definedName>
    <definedName name="ratemax4" localSheetId="6">RCamilleri!$G$71</definedName>
    <definedName name="ratemax4" localSheetId="3">RGaldes!$G$71</definedName>
    <definedName name="ratemax4" localSheetId="13">RMallan_Albani!$G$71</definedName>
    <definedName name="ratemax4" localSheetId="18">RSreejith!$G$71</definedName>
    <definedName name="ratemax4" localSheetId="59">SPare!$G$71</definedName>
    <definedName name="ratemax4" localSheetId="35">ZMifsud!$G$71</definedName>
    <definedName name="ratemax5" localSheetId="34">AFalzon!$G$72</definedName>
    <definedName name="ratemax5" localSheetId="14">AHaneena!$G$72</definedName>
    <definedName name="ratemax5" localSheetId="19">AKunnamkudath!$G$72</definedName>
    <definedName name="ratemax5" localSheetId="7">DMifsud_Ceci!$G$72</definedName>
    <definedName name="ratemax5" localSheetId="33">ECurmi!$G$72</definedName>
    <definedName name="ratemax5" localSheetId="15">ELama!$G$72</definedName>
    <definedName name="ratemax5" localSheetId="5">KMizzi!$G$72</definedName>
    <definedName name="ratemax5" localSheetId="10">LBonnici!$G$72</definedName>
    <definedName name="ratemax5" localSheetId="4">LCarini!$G$72</definedName>
    <definedName name="ratemax5" localSheetId="16">MAcero_Garzon!$G$72</definedName>
    <definedName name="ratemax5" localSheetId="9">MCamilleri!$G$72</definedName>
    <definedName name="ratemax5" localSheetId="37">MEllul!$G$72</definedName>
    <definedName name="ratemax5" localSheetId="22">NScerri_Esposito!$G$72</definedName>
    <definedName name="ratemax5" localSheetId="24">RAcharya!$G$72</definedName>
    <definedName name="ratemax5" localSheetId="21">RAttard!$G$72</definedName>
    <definedName name="ratemax5" localSheetId="6">RCamilleri!$G$72</definedName>
    <definedName name="ratemax5" localSheetId="3">RGaldes!$G$72</definedName>
    <definedName name="ratemax5" localSheetId="13">RMallan_Albani!$G$72</definedName>
    <definedName name="ratemax5" localSheetId="18">RSreejith!$G$72</definedName>
    <definedName name="ratemax5" localSheetId="59">SPare!$G$72</definedName>
    <definedName name="ratemax5" localSheetId="35">ZMifsud!$G$72</definedName>
    <definedName name="SEP_PAY" localSheetId="34">AFalzon!$N$99:$Y$108</definedName>
    <definedName name="SEP_PAY" localSheetId="14">AHaneena!$N$99:$Y$108</definedName>
    <definedName name="SEP_PAY" localSheetId="19">AKunnamkudath!$N$99:$Y$108</definedName>
    <definedName name="SEP_PAY" localSheetId="7">DMifsud_Ceci!$N$99:$Y$108</definedName>
    <definedName name="SEP_PAY" localSheetId="33">ECurmi!$N$99:$Y$108</definedName>
    <definedName name="SEP_PAY" localSheetId="15">ELama!$N$99:$Y$108</definedName>
    <definedName name="SEP_PAY" localSheetId="5">KMizzi!$N$99:$Y$108</definedName>
    <definedName name="SEP_PAY" localSheetId="10">LBonnici!$N$99:$Y$108</definedName>
    <definedName name="SEP_PAY" localSheetId="4">LCarini!$N$99:$Y$108</definedName>
    <definedName name="SEP_PAY" localSheetId="16">MAcero_Garzon!$N$99:$Y$108</definedName>
    <definedName name="SEP_PAY" localSheetId="9">MCamilleri!$N$99:$Y$108</definedName>
    <definedName name="SEP_PAY" localSheetId="37">MEllul!$N$99:$Y$108</definedName>
    <definedName name="SEP_PAY" localSheetId="22">NScerri_Esposito!$N$99:$Y$108</definedName>
    <definedName name="SEP_PAY" localSheetId="24">RAcharya!$N$99:$Y$108</definedName>
    <definedName name="SEP_PAY" localSheetId="21">RAttard!$N$99:$Y$108</definedName>
    <definedName name="SEP_PAY" localSheetId="6">RCamilleri!$N$99:$Y$108</definedName>
    <definedName name="SEP_PAY" localSheetId="3">RGaldes!$N$99:$Y$108</definedName>
    <definedName name="SEP_PAY" localSheetId="13">RMallan_Albani!$N$99:$Y$108</definedName>
    <definedName name="SEP_PAY" localSheetId="18">RSreejith!$N$99:$Y$108</definedName>
    <definedName name="SEP_PAY" localSheetId="59">SPare!$N$99:$Y$108</definedName>
    <definedName name="SEP_PAY" localSheetId="35">ZMifsud!$N$99:$Y$108</definedName>
    <definedName name="sepeesocsec" localSheetId="34">AFalzon!$V$101</definedName>
    <definedName name="sepeesocsec" localSheetId="14">AHaneena!$V$101</definedName>
    <definedName name="sepeesocsec" localSheetId="19">AKunnamkudath!$V$101</definedName>
    <definedName name="sepeesocsec" localSheetId="7">DMifsud_Ceci!$V$101</definedName>
    <definedName name="sepeesocsec" localSheetId="33">ECurmi!$V$101</definedName>
    <definedName name="sepeesocsec" localSheetId="15">ELama!$V$101</definedName>
    <definedName name="sepeesocsec" localSheetId="5">KMizzi!$V$101</definedName>
    <definedName name="sepeesocsec" localSheetId="10">LBonnici!$V$101</definedName>
    <definedName name="sepeesocsec" localSheetId="4">LCarini!$V$101</definedName>
    <definedName name="sepeesocsec" localSheetId="16">MAcero_Garzon!$V$101</definedName>
    <definedName name="sepeesocsec" localSheetId="9">MCamilleri!$V$101</definedName>
    <definedName name="sepeesocsec" localSheetId="37">MEllul!$V$101</definedName>
    <definedName name="sepeesocsec" localSheetId="22">NScerri_Esposito!$V$101</definedName>
    <definedName name="sepeesocsec" localSheetId="24">RAcharya!$V$101</definedName>
    <definedName name="sepeesocsec" localSheetId="21">RAttard!$V$101</definedName>
    <definedName name="sepeesocsec" localSheetId="6">RCamilleri!$V$101</definedName>
    <definedName name="sepeesocsec" localSheetId="3">RGaldes!$V$101</definedName>
    <definedName name="sepeesocsec" localSheetId="13">RMallan_Albani!$V$101</definedName>
    <definedName name="sepeesocsec" localSheetId="18">RSreejith!$V$101</definedName>
    <definedName name="sepeesocsec" localSheetId="59">SPare!$V$101</definedName>
    <definedName name="sepeesocsec" localSheetId="35">ZMifsud!$V$101</definedName>
    <definedName name="SepERSocSec" localSheetId="34">AFalzon!$U$101</definedName>
    <definedName name="SepERSocSec" localSheetId="14">AHaneena!$U$101</definedName>
    <definedName name="SepERSocSec" localSheetId="19">AKunnamkudath!$U$101</definedName>
    <definedName name="SepERSocSec" localSheetId="7">DMifsud_Ceci!$U$101</definedName>
    <definedName name="SepERSocSec" localSheetId="33">ECurmi!$U$101</definedName>
    <definedName name="SepERSocSec" localSheetId="15">ELama!$U$101</definedName>
    <definedName name="SepERSocSec" localSheetId="5">KMizzi!$U$101</definedName>
    <definedName name="SepERSocSec" localSheetId="10">LBonnici!$U$101</definedName>
    <definedName name="SepERSocSec" localSheetId="4">LCarini!$U$101</definedName>
    <definedName name="SepERSocSec" localSheetId="16">MAcero_Garzon!$U$101</definedName>
    <definedName name="SepERSocSec" localSheetId="9">MCamilleri!$U$101</definedName>
    <definedName name="SepERSocSec" localSheetId="37">MEllul!$U$101</definedName>
    <definedName name="SepERSocSec" localSheetId="22">NScerri_Esposito!$U$101</definedName>
    <definedName name="SepERSocSec" localSheetId="24">RAcharya!$U$101</definedName>
    <definedName name="SepERSocSec" localSheetId="21">RAttard!$U$101</definedName>
    <definedName name="SepERSocSec" localSheetId="6">RCamilleri!$U$101</definedName>
    <definedName name="SepERSocSec" localSheetId="3">RGaldes!$U$101</definedName>
    <definedName name="SepERSocSec" localSheetId="13">RMallan_Albani!$U$101</definedName>
    <definedName name="SepERSocSec" localSheetId="18">RSreejith!$U$101</definedName>
    <definedName name="SepERSocSec" localSheetId="59">SPare!$U$101</definedName>
    <definedName name="SepERSocSec" localSheetId="35">ZMifsud!$U$101</definedName>
    <definedName name="sepeuhrs" localSheetId="34">AFalzon!$R$101</definedName>
    <definedName name="sepeuhrs" localSheetId="14">AHaneena!$R$101</definedName>
    <definedName name="sepeuhrs" localSheetId="19">AKunnamkudath!$R$101</definedName>
    <definedName name="sepeuhrs" localSheetId="7">DMifsud_Ceci!$R$101</definedName>
    <definedName name="sepeuhrs" localSheetId="33">ECurmi!$R$101</definedName>
    <definedName name="sepeuhrs" localSheetId="15">ELama!$R$101</definedName>
    <definedName name="sepeuhrs" localSheetId="5">KMizzi!$R$101</definedName>
    <definedName name="sepeuhrs" localSheetId="10">LBonnici!$R$101</definedName>
    <definedName name="sepeuhrs" localSheetId="4">LCarini!$R$101</definedName>
    <definedName name="sepeuhrs" localSheetId="16">MAcero_Garzon!$R$101</definedName>
    <definedName name="sepeuhrs" localSheetId="9">MCamilleri!$R$101</definedName>
    <definedName name="sepeuhrs" localSheetId="37">MEllul!$R$101</definedName>
    <definedName name="sepeuhrs" localSheetId="22">NScerri_Esposito!$R$101</definedName>
    <definedName name="sepeuhrs" localSheetId="24">RAcharya!$R$101</definedName>
    <definedName name="sepeuhrs" localSheetId="21">RAttard!$R$101</definedName>
    <definedName name="sepeuhrs" localSheetId="6">RCamilleri!$R$101</definedName>
    <definedName name="sepeuhrs" localSheetId="3">RGaldes!$R$101</definedName>
    <definedName name="sepeuhrs" localSheetId="13">RMallan_Albani!$R$101</definedName>
    <definedName name="sepeuhrs" localSheetId="18">RSreejith!$R$101</definedName>
    <definedName name="sepeuhrs" localSheetId="59">SPare!$R$101</definedName>
    <definedName name="sepeuhrs" localSheetId="35">ZMifsud!$R$101</definedName>
    <definedName name="sepfsstax" localSheetId="0">'fs7'!$K$45</definedName>
    <definedName name="sepgrs" localSheetId="34">AFalzon!$S$99:$S$103</definedName>
    <definedName name="sepgrs" localSheetId="14">AHaneena!$S$99:$S$103</definedName>
    <definedName name="sepgrs" localSheetId="19">AKunnamkudath!$S$99:$S$103</definedName>
    <definedName name="sepgrs" localSheetId="7">DMifsud_Ceci!$S$99:$S$103</definedName>
    <definedName name="sepgrs" localSheetId="33">ECurmi!$S$99:$S$103</definedName>
    <definedName name="sepgrs" localSheetId="15">ELama!$S$99:$S$103</definedName>
    <definedName name="sepgrs" localSheetId="5">KMizzi!$S$99:$S$103</definedName>
    <definedName name="sepgrs" localSheetId="10">LBonnici!$S$99:$S$103</definedName>
    <definedName name="sepgrs" localSheetId="4">LCarini!$S$99:$S$103</definedName>
    <definedName name="sepgrs" localSheetId="16">MAcero_Garzon!$S$99:$S$103</definedName>
    <definedName name="sepgrs" localSheetId="9">MCamilleri!$S$99:$S$103</definedName>
    <definedName name="sepgrs" localSheetId="37">MEllul!$S$99:$S$103</definedName>
    <definedName name="sepgrs" localSheetId="22">NScerri_Esposito!$S$99:$S$103</definedName>
    <definedName name="sepgrs" localSheetId="24">RAcharya!$S$99:$S$103</definedName>
    <definedName name="sepgrs" localSheetId="21">RAttard!$S$99:$S$103</definedName>
    <definedName name="sepgrs" localSheetId="6">RCamilleri!$S$99:$S$103</definedName>
    <definedName name="sepgrs" localSheetId="3">RGaldes!$S$99:$S$103</definedName>
    <definedName name="sepgrs" localSheetId="13">RMallan_Albani!$S$99:$S$103</definedName>
    <definedName name="sepgrs" localSheetId="18">RSreejith!$S$99:$S$103</definedName>
    <definedName name="sepgrs" localSheetId="59">SPare!$S$99:$S$103</definedName>
    <definedName name="sepgrs" localSheetId="35">ZMifsud!$S$99:$S$103</definedName>
    <definedName name="sephrrt" localSheetId="34">AFalzon!$R$12</definedName>
    <definedName name="sephrrt" localSheetId="14">AHaneena!$R$12</definedName>
    <definedName name="sephrrt" localSheetId="19">AKunnamkudath!$R$12</definedName>
    <definedName name="sephrrt" localSheetId="7">DMifsud_Ceci!$R$12</definedName>
    <definedName name="sephrrt" localSheetId="33">ECurmi!$R$12</definedName>
    <definedName name="sephrrt" localSheetId="15">ELama!$R$12</definedName>
    <definedName name="sephrrt" localSheetId="5">KMizzi!$R$12</definedName>
    <definedName name="sephrrt" localSheetId="10">LBonnici!$R$12</definedName>
    <definedName name="sephrrt" localSheetId="4">LCarini!$R$12</definedName>
    <definedName name="sephrrt" localSheetId="16">MAcero_Garzon!$R$12</definedName>
    <definedName name="sephrrt" localSheetId="9">MCamilleri!$R$12</definedName>
    <definedName name="sephrrt" localSheetId="37">MEllul!$R$12</definedName>
    <definedName name="sephrrt" localSheetId="22">NScerri_Esposito!$R$12</definedName>
    <definedName name="sephrrt" localSheetId="24">RAcharya!$R$12</definedName>
    <definedName name="sephrrt" localSheetId="21">RAttard!$R$12</definedName>
    <definedName name="sephrrt" localSheetId="6">RCamilleri!$R$12</definedName>
    <definedName name="sephrrt" localSheetId="3">RGaldes!$R$12</definedName>
    <definedName name="sephrrt" localSheetId="13">RMallan_Albani!$R$12</definedName>
    <definedName name="sephrrt" localSheetId="18">RSreejith!$R$12</definedName>
    <definedName name="sephrrt" localSheetId="59">SPare!$R$12</definedName>
    <definedName name="sephrrt" localSheetId="35">ZMifsud!$R$12</definedName>
    <definedName name="sepmlf" localSheetId="34">AFalzon!$U$102</definedName>
    <definedName name="sepmlf" localSheetId="14">AHaneena!$U$102</definedName>
    <definedName name="sepmlf" localSheetId="19">AKunnamkudath!$U$102</definedName>
    <definedName name="sepmlf" localSheetId="7">DMifsud_Ceci!$U$102</definedName>
    <definedName name="sepmlf" localSheetId="33">ECurmi!$U$102</definedName>
    <definedName name="sepmlf" localSheetId="15">ELama!$U$102</definedName>
    <definedName name="sepmlf" localSheetId="0">'fs7'!$M$45</definedName>
    <definedName name="sepmlf" localSheetId="5">KMizzi!$U$102</definedName>
    <definedName name="sepmlf" localSheetId="10">LBonnici!$U$102</definedName>
    <definedName name="sepmlf" localSheetId="4">LCarini!$U$102</definedName>
    <definedName name="sepmlf" localSheetId="16">MAcero_Garzon!$U$102</definedName>
    <definedName name="sepmlf" localSheetId="9">MCamilleri!$U$102</definedName>
    <definedName name="sepmlf" localSheetId="37">MEllul!$U$102</definedName>
    <definedName name="sepmlf" localSheetId="22">NScerri_Esposito!$U$102</definedName>
    <definedName name="sepmlf" localSheetId="24">RAcharya!$U$102</definedName>
    <definedName name="sepmlf" localSheetId="21">RAttard!$U$102</definedName>
    <definedName name="sepmlf" localSheetId="6">RCamilleri!$U$102</definedName>
    <definedName name="sepmlf" localSheetId="3">RGaldes!$U$102</definedName>
    <definedName name="sepmlf" localSheetId="13">RMallan_Albani!$U$102</definedName>
    <definedName name="sepmlf" localSheetId="18">RSreejith!$U$102</definedName>
    <definedName name="sepmlf" localSheetId="59">SPare!$U$102</definedName>
    <definedName name="sepmlf" localSheetId="35">ZMifsud!$U$102</definedName>
    <definedName name="sepoth" localSheetId="34">AFalzon!$R$104</definedName>
    <definedName name="sepoth" localSheetId="14">AHaneena!$R$104</definedName>
    <definedName name="sepoth" localSheetId="19">AKunnamkudath!$R$104</definedName>
    <definedName name="sepoth" localSheetId="7">DMifsud_Ceci!$R$104</definedName>
    <definedName name="sepoth" localSheetId="33">ECurmi!$R$104</definedName>
    <definedName name="sepoth" localSheetId="15">ELama!$R$104</definedName>
    <definedName name="sepoth" localSheetId="5">KMizzi!$R$104</definedName>
    <definedName name="sepoth" localSheetId="10">LBonnici!$R$104</definedName>
    <definedName name="sepoth" localSheetId="4">LCarini!$R$104</definedName>
    <definedName name="sepoth" localSheetId="16">MAcero_Garzon!$R$104</definedName>
    <definedName name="sepoth" localSheetId="9">MCamilleri!$R$104</definedName>
    <definedName name="sepoth" localSheetId="37">MEllul!$R$104</definedName>
    <definedName name="sepoth" localSheetId="22">NScerri_Esposito!$R$104</definedName>
    <definedName name="sepoth" localSheetId="24">RAcharya!$R$104</definedName>
    <definedName name="sepoth" localSheetId="21">RAttard!$R$104</definedName>
    <definedName name="sepoth" localSheetId="6">RCamilleri!$R$104</definedName>
    <definedName name="sepoth" localSheetId="3">RGaldes!$R$104</definedName>
    <definedName name="sepoth" localSheetId="13">RMallan_Albani!$R$104</definedName>
    <definedName name="sepoth" localSheetId="18">RSreejith!$R$104</definedName>
    <definedName name="sepoth" localSheetId="59">SPare!$R$104</definedName>
    <definedName name="sepoth" localSheetId="35">ZMifsud!$R$104</definedName>
    <definedName name="seppb" localSheetId="34">AFalzon!$X$12</definedName>
    <definedName name="seppb" localSheetId="14">AHaneena!$X$12</definedName>
    <definedName name="seppb" localSheetId="19">AKunnamkudath!$X$12</definedName>
    <definedName name="seppb" localSheetId="7">DMifsud_Ceci!$X$12</definedName>
    <definedName name="seppb" localSheetId="33">ECurmi!$X$12</definedName>
    <definedName name="seppb" localSheetId="15">ELama!$X$12</definedName>
    <definedName name="seppb" localSheetId="5">KMizzi!$X$12</definedName>
    <definedName name="seppb" localSheetId="10">LBonnici!$X$12</definedName>
    <definedName name="seppb" localSheetId="4">LCarini!$X$12</definedName>
    <definedName name="seppb" localSheetId="16">MAcero_Garzon!$X$12</definedName>
    <definedName name="seppb" localSheetId="9">MCamilleri!$X$12</definedName>
    <definedName name="seppb" localSheetId="37">MEllul!$X$12</definedName>
    <definedName name="seppb" localSheetId="22">NScerri_Esposito!$X$12</definedName>
    <definedName name="seppb" localSheetId="24">RAcharya!$X$12</definedName>
    <definedName name="seppb" localSheetId="21">RAttard!$X$12</definedName>
    <definedName name="seppb" localSheetId="6">RCamilleri!$X$12</definedName>
    <definedName name="seppb" localSheetId="3">RGaldes!$X$12</definedName>
    <definedName name="seppb" localSheetId="13">RMallan_Albani!$X$12</definedName>
    <definedName name="seppb" localSheetId="18">RSreejith!$X$12</definedName>
    <definedName name="seppb" localSheetId="59">SPare!$X$12</definedName>
    <definedName name="seppb" localSheetId="35">ZMifsud!$X$12</definedName>
    <definedName name="sepsb" localSheetId="34">AFalzon!$Y$12</definedName>
    <definedName name="sepsb" localSheetId="14">AHaneena!$Y$12</definedName>
    <definedName name="sepsb" localSheetId="19">AKunnamkudath!$Y$12</definedName>
    <definedName name="sepsb" localSheetId="7">DMifsud_Ceci!$Y$12</definedName>
    <definedName name="sepsb" localSheetId="33">ECurmi!$Y$12</definedName>
    <definedName name="sepsb" localSheetId="15">ELama!$Y$12</definedName>
    <definedName name="sepsb" localSheetId="5">KMizzi!$Y$12</definedName>
    <definedName name="sepsb" localSheetId="10">LBonnici!$Y$12</definedName>
    <definedName name="sepsb" localSheetId="4">LCarini!$Y$12</definedName>
    <definedName name="sepsb" localSheetId="16">MAcero_Garzon!$Y$12</definedName>
    <definedName name="sepsb" localSheetId="9">MCamilleri!$Y$12</definedName>
    <definedName name="sepsb" localSheetId="37">MEllul!$Y$12</definedName>
    <definedName name="sepsb" localSheetId="22">NScerri_Esposito!$Y$12</definedName>
    <definedName name="sepsb" localSheetId="24">RAcharya!$Y$12</definedName>
    <definedName name="sepsb" localSheetId="21">RAttard!$Y$12</definedName>
    <definedName name="sepsb" localSheetId="6">RCamilleri!$Y$12</definedName>
    <definedName name="sepsb" localSheetId="3">RGaldes!$Y$12</definedName>
    <definedName name="sepsb" localSheetId="13">RMallan_Albani!$Y$12</definedName>
    <definedName name="sepsb" localSheetId="18">RSreejith!$Y$12</definedName>
    <definedName name="sepsb" localSheetId="59">SPare!$Y$12</definedName>
    <definedName name="sepsb" localSheetId="35">ZMifsud!$Y$12</definedName>
    <definedName name="sepssc" localSheetId="0">'fs7'!$L$45</definedName>
    <definedName name="sepULHr" localSheetId="34">AFalzon!$R$102</definedName>
    <definedName name="sepULHr" localSheetId="14">AHaneena!$R$102</definedName>
    <definedName name="sepULHr" localSheetId="19">AKunnamkudath!$R$102</definedName>
    <definedName name="sepULHr" localSheetId="7">DMifsud_Ceci!$R$102</definedName>
    <definedName name="sepULHr" localSheetId="33">ECurmi!$R$102</definedName>
    <definedName name="sepULHr" localSheetId="15">ELama!$R$102</definedName>
    <definedName name="sepULHr" localSheetId="5">KMizzi!$R$102</definedName>
    <definedName name="sepULHr" localSheetId="10">LBonnici!$R$102</definedName>
    <definedName name="sepULHr" localSheetId="4">LCarini!$R$102</definedName>
    <definedName name="sepULHr" localSheetId="16">MAcero_Garzon!$R$102</definedName>
    <definedName name="sepULHr" localSheetId="9">MCamilleri!$R$102</definedName>
    <definedName name="sepULHr" localSheetId="37">MEllul!$R$102</definedName>
    <definedName name="sepULHr" localSheetId="22">NScerri_Esposito!$R$102</definedName>
    <definedName name="sepULHr" localSheetId="24">RAcharya!$R$102</definedName>
    <definedName name="sepULHr" localSheetId="21">RAttard!$R$102</definedName>
    <definedName name="sepULHr" localSheetId="6">RCamilleri!$R$102</definedName>
    <definedName name="sepULHr" localSheetId="3">RGaldes!$R$102</definedName>
    <definedName name="sepULHr" localSheetId="13">RMallan_Albani!$R$102</definedName>
    <definedName name="sepULHr" localSheetId="18">RSreejith!$R$102</definedName>
    <definedName name="sepULHr" localSheetId="59">SPare!$R$102</definedName>
    <definedName name="sepULHr" localSheetId="35">ZMifsud!$R$102</definedName>
    <definedName name="sheetnames">REPLACE(GET.WORKBOOK(1),1,FIND("]",GET.WORKBOOK(1)),"")</definedName>
    <definedName name="sing1ded">DATA!$O$42</definedName>
    <definedName name="sing1rate">DATA!$N$42</definedName>
    <definedName name="sing2ded">DATA!$O$43</definedName>
    <definedName name="sing2rate">DATA!$N$43</definedName>
    <definedName name="sing3ded">DATA!$O$44</definedName>
    <definedName name="sing3rate">DATA!$N$44</definedName>
    <definedName name="sing4ded">DATA!$O$45</definedName>
    <definedName name="sing4rate">DATA!$N$45</definedName>
    <definedName name="sing5ded">DATA!$O$46</definedName>
    <definedName name="sing5rate">DATA!$N$46</definedName>
    <definedName name="Single_Rates">DATA!$L$42:$O$46</definedName>
    <definedName name="singlemaxrate">DATA!$N$46</definedName>
    <definedName name="SINMAX1" localSheetId="45">DATA!$L$33</definedName>
    <definedName name="SINMAX1" localSheetId="57">DATA!$L$33</definedName>
    <definedName name="SINMAX1" localSheetId="0">DATA!$L$33</definedName>
    <definedName name="SINMAX1" localSheetId="44">DATA!$L$33</definedName>
    <definedName name="SINMAX1" localSheetId="46">DATA!$L$33</definedName>
    <definedName name="SINMAX1" localSheetId="58">DATA!$L$33</definedName>
    <definedName name="SINMAX1">DATA!$M$42</definedName>
    <definedName name="SINMAX2" localSheetId="45">DATA!$L$34</definedName>
    <definedName name="SINMAX2" localSheetId="57">DATA!$L$34</definedName>
    <definedName name="SINMAX2" localSheetId="0">DATA!$L$34</definedName>
    <definedName name="SINMAX2" localSheetId="44">DATA!$L$34</definedName>
    <definedName name="SINMAX2" localSheetId="46">DATA!$L$34</definedName>
    <definedName name="SINMAX2" localSheetId="58">DATA!$L$34</definedName>
    <definedName name="SINMAX2">DATA!$M$43</definedName>
    <definedName name="SINMAX3" localSheetId="45">DATA!$L$35</definedName>
    <definedName name="SINMAX3" localSheetId="57">DATA!$L$35</definedName>
    <definedName name="SINMAX3" localSheetId="0">DATA!$L$35</definedName>
    <definedName name="SINMAX3" localSheetId="44">DATA!$L$35</definedName>
    <definedName name="SINMAX3" localSheetId="46">DATA!$L$35</definedName>
    <definedName name="SINMAX3" localSheetId="58">DATA!$L$35</definedName>
    <definedName name="SINMAX3">DATA!$M$44</definedName>
    <definedName name="SINMAX4" localSheetId="45">DATA!$L$36</definedName>
    <definedName name="SINMAX4" localSheetId="57">DATA!$L$36</definedName>
    <definedName name="SINMAX4" localSheetId="0">DATA!$L$36</definedName>
    <definedName name="SINMAX4" localSheetId="44">DATA!$L$36</definedName>
    <definedName name="SINMAX4" localSheetId="46">DATA!$L$36</definedName>
    <definedName name="SINMAX4" localSheetId="58">DATA!$L$36</definedName>
    <definedName name="SINMAX4">DATA!$M$45</definedName>
    <definedName name="Sintab">DATA!$J$42:$O$46</definedName>
    <definedName name="SOCSec" localSheetId="34">AFalzon!$I$9</definedName>
    <definedName name="SOCSec" localSheetId="14">AHaneena!$I$9</definedName>
    <definedName name="SOCSec" localSheetId="19">AKunnamkudath!$I$9</definedName>
    <definedName name="SOCSec" localSheetId="7">DMifsud_Ceci!$I$9</definedName>
    <definedName name="SOCSec" localSheetId="33">ECurmi!$I$9</definedName>
    <definedName name="SOCSec" localSheetId="15">ELama!$I$9</definedName>
    <definedName name="SOCSec" localSheetId="5">KMizzi!$I$9</definedName>
    <definedName name="SOCSec" localSheetId="10">LBonnici!$I$9</definedName>
    <definedName name="SOCSec" localSheetId="4">LCarini!$I$9</definedName>
    <definedName name="SOCSec" localSheetId="16">MAcero_Garzon!$I$9</definedName>
    <definedName name="SOCSec" localSheetId="9">MCamilleri!$I$9</definedName>
    <definedName name="SOCSec" localSheetId="37">MEllul!$I$9</definedName>
    <definedName name="SOCSec" localSheetId="22">NScerri_Esposito!$I$9</definedName>
    <definedName name="SOCSec" localSheetId="24">RAcharya!$I$9</definedName>
    <definedName name="SOCSec" localSheetId="21">RAttard!$I$9</definedName>
    <definedName name="SOCSec" localSheetId="6">RCamilleri!$I$9</definedName>
    <definedName name="SOCSec" localSheetId="3">RGaldes!$I$9</definedName>
    <definedName name="SOCSec" localSheetId="13">RMallan_Albani!$I$9</definedName>
    <definedName name="SOCSec" localSheetId="18">RSreejith!$I$9</definedName>
    <definedName name="SOCSec" localSheetId="59">SPare!$I$9</definedName>
    <definedName name="SOCSec" localSheetId="35">ZMifsud!$I$9</definedName>
    <definedName name="SOCSECCRATE" localSheetId="45">DATA!$E$36</definedName>
    <definedName name="SOCSECCRATE" localSheetId="57">DATA!$E$36</definedName>
    <definedName name="SOCSECCRATE" localSheetId="0">DATA!$E$36</definedName>
    <definedName name="SOCSECCRATE" localSheetId="44">DATA!$E$36</definedName>
    <definedName name="SOCSECCRATE" localSheetId="46">DATA!$E$36</definedName>
    <definedName name="SOCSECCRATE" localSheetId="58">DATA!$E$36</definedName>
    <definedName name="SOCSECCRATE">DATA!$E$45</definedName>
    <definedName name="socsecrateC">DATA!$D$49</definedName>
    <definedName name="socsecrateD" localSheetId="45">DATA!$D$41</definedName>
    <definedName name="socsecrateD" localSheetId="57">DATA!$D$41</definedName>
    <definedName name="socsecrateD" localSheetId="0">DATA!$D$41</definedName>
    <definedName name="socsecrateD" localSheetId="44">DATA!$D$41</definedName>
    <definedName name="socsecrateD" localSheetId="46">DATA!$D$41</definedName>
    <definedName name="socsecrateD" localSheetId="58">DATA!$D$41</definedName>
    <definedName name="socsecrateD">DATA!$D$50</definedName>
    <definedName name="SpouseId" localSheetId="34">AFalzon!$I$11</definedName>
    <definedName name="SpouseId" localSheetId="14">AHaneena!$I$11</definedName>
    <definedName name="SpouseId" localSheetId="19">AKunnamkudath!$I$11</definedName>
    <definedName name="SpouseId" localSheetId="7">DMifsud_Ceci!$I$11</definedName>
    <definedName name="SpouseId" localSheetId="33">ECurmi!$I$11</definedName>
    <definedName name="SpouseId" localSheetId="15">ELama!$I$11</definedName>
    <definedName name="SpouseId" localSheetId="5">KMizzi!$I$11</definedName>
    <definedName name="SpouseId" localSheetId="10">LBonnici!$I$11</definedName>
    <definedName name="SpouseId" localSheetId="4">LCarini!$I$11</definedName>
    <definedName name="SpouseId" localSheetId="16">MAcero_Garzon!$I$11</definedName>
    <definedName name="SpouseId" localSheetId="9">MCamilleri!$I$11</definedName>
    <definedName name="SpouseId" localSheetId="37">MEllul!$I$11</definedName>
    <definedName name="SpouseId" localSheetId="22">NScerri_Esposito!$I$11</definedName>
    <definedName name="SpouseId" localSheetId="24">RAcharya!$I$11</definedName>
    <definedName name="SpouseId" localSheetId="21">RAttard!$I$11</definedName>
    <definedName name="SpouseId" localSheetId="6">RCamilleri!$I$11</definedName>
    <definedName name="SpouseId" localSheetId="3">RGaldes!$I$11</definedName>
    <definedName name="SpouseId" localSheetId="13">RMallan_Albani!$I$11</definedName>
    <definedName name="SpouseId" localSheetId="18">RSreejith!$I$11</definedName>
    <definedName name="SpouseId" localSheetId="59">SPare!$I$11</definedName>
    <definedName name="SpouseId" localSheetId="35">ZMifsud!$I$11</definedName>
    <definedName name="SSCAemployermultiplier">DATA!$E$40</definedName>
    <definedName name="SSCAmlfmultiplier">DATA!$G$40</definedName>
    <definedName name="SSCBemployermultiplier" localSheetId="45">DATA!$E$32</definedName>
    <definedName name="SSCBemployermultiplier" localSheetId="57">DATA!$E$32</definedName>
    <definedName name="SSCBemployermultiplier" localSheetId="0">DATA!$E$32</definedName>
    <definedName name="SSCBemployermultiplier" localSheetId="44">DATA!$E$32</definedName>
    <definedName name="SSCBemployermultiplier" localSheetId="46">DATA!$E$32</definedName>
    <definedName name="SSCBemployermultiplier" localSheetId="58">DATA!$E$32</definedName>
    <definedName name="SSCBemployermultiplier">DATA!$E$41</definedName>
    <definedName name="SSCBmlfmultiplier" localSheetId="45">DATA!$G$32</definedName>
    <definedName name="SSCBmlfmultiplier" localSheetId="57">DATA!$G$32</definedName>
    <definedName name="SSCBmlfmultiplier" localSheetId="0">DATA!$G$32</definedName>
    <definedName name="SSCBmlfmultiplier" localSheetId="44">DATA!$G$32</definedName>
    <definedName name="SSCBmlfmultiplier" localSheetId="46">DATA!$G$32</definedName>
    <definedName name="SSCBmlfmultiplier" localSheetId="58">DATA!$G$32</definedName>
    <definedName name="SSCBmlfmultiplier">DATA!$G$41</definedName>
    <definedName name="SSCcatAMAX">DATA!$C$40</definedName>
    <definedName name="SSCcatBMAX" localSheetId="45">DATA!$C$32</definedName>
    <definedName name="SSCcatBMAX" localSheetId="57">DATA!$C$32</definedName>
    <definedName name="SSCcatBMAX" localSheetId="0">DATA!$C$32</definedName>
    <definedName name="SSCcatBMAX" localSheetId="44">DATA!$C$32</definedName>
    <definedName name="SSCcatBMAX" localSheetId="46">DATA!$C$32</definedName>
    <definedName name="SSCcatBMAX" localSheetId="58">DATA!$C$32</definedName>
    <definedName name="SSCcatBMAX" localSheetId="40">DATA!$C$41</definedName>
    <definedName name="SSCcatBMAX">DATA!$C$41</definedName>
    <definedName name="SSCcatCMAX" localSheetId="45">DATA!$C$40</definedName>
    <definedName name="SSCcatCMAX" localSheetId="57">DATA!$C$40</definedName>
    <definedName name="SSCcatCMAX" localSheetId="0">DATA!$C$40</definedName>
    <definedName name="SSCcatCMAX" localSheetId="44">DATA!$C$40</definedName>
    <definedName name="SSCcatCMAX" localSheetId="46">DATA!$C$40</definedName>
    <definedName name="SSCcatCMAX" localSheetId="58">DATA!$C$40</definedName>
    <definedName name="SSCcatCMAX" localSheetId="40">DATA!$C$49</definedName>
    <definedName name="SSCcatCMAX">DATA!$C$49</definedName>
    <definedName name="SSCcatDMAX">DATA!$C$50</definedName>
    <definedName name="SSCcatDMin">DATA!$B$50</definedName>
    <definedName name="SSCCemployermultiplier">DATA!$E$49</definedName>
    <definedName name="SSCCmlfmultiplier" localSheetId="45">DATA!$G$40</definedName>
    <definedName name="SSCCmlfmultiplier" localSheetId="57">DATA!$G$40</definedName>
    <definedName name="SSCCmlfmultiplier" localSheetId="0">DATA!$G$40</definedName>
    <definedName name="SSCCmlfmultiplier" localSheetId="44">DATA!$G$40</definedName>
    <definedName name="SSCCmlfmultiplier" localSheetId="46">DATA!$G$40</definedName>
    <definedName name="SSCCmlfmultiplier" localSheetId="58">DATA!$G$40</definedName>
    <definedName name="SSCCmlfmultiplier">DATA!$G$49</definedName>
    <definedName name="SSCDmlfmultiplier" localSheetId="45">DATA!$G$41</definedName>
    <definedName name="SSCDmlfmultiplier" localSheetId="57">DATA!$G$41</definedName>
    <definedName name="SSCDmlfmultiplier" localSheetId="0">DATA!$G$41</definedName>
    <definedName name="SSCDmlfmultiplier" localSheetId="44">DATA!$G$41</definedName>
    <definedName name="SSCDmlfmultiplier" localSheetId="46">DATA!$G$41</definedName>
    <definedName name="SSCDmlfmultiplier" localSheetId="58">DATA!$G$41</definedName>
    <definedName name="SSCDmlfmultiplier">DATA!$G$50</definedName>
    <definedName name="SStable">DATA!$J$41:$O$82</definedName>
    <definedName name="StartEmp" localSheetId="34">AFalzon!$F$59</definedName>
    <definedName name="StartEmp" localSheetId="14">AHaneena!$F$59</definedName>
    <definedName name="StartEmp" localSheetId="19">AKunnamkudath!$F$59</definedName>
    <definedName name="StartEmp" localSheetId="7">DMifsud_Ceci!$F$59</definedName>
    <definedName name="StartEmp" localSheetId="33">ECurmi!$F$59</definedName>
    <definedName name="StartEmp" localSheetId="15">ELama!$F$59</definedName>
    <definedName name="StartEmp" localSheetId="44">JAN_FS5!$F$60</definedName>
    <definedName name="StartEmp" localSheetId="5">KMizzi!$F$59</definedName>
    <definedName name="StartEmp" localSheetId="10">LBonnici!$F$59</definedName>
    <definedName name="StartEmp" localSheetId="4">LCarini!$F$59</definedName>
    <definedName name="StartEmp" localSheetId="16">MAcero_Garzon!$F$59</definedName>
    <definedName name="StartEmp" localSheetId="9">MCamilleri!$F$59</definedName>
    <definedName name="StartEmp" localSheetId="37">MEllul!$F$59</definedName>
    <definedName name="StartEmp" localSheetId="54">NOV_FS5!$F$59</definedName>
    <definedName name="StartEmp" localSheetId="22">NScerri_Esposito!$F$59</definedName>
    <definedName name="StartEmp" localSheetId="53">OCT_FS5!$F$59</definedName>
    <definedName name="StartEmp" localSheetId="24">RAcharya!$F$59</definedName>
    <definedName name="StartEmp" localSheetId="21">RAttard!$F$59</definedName>
    <definedName name="StartEmp" localSheetId="6">RCamilleri!$F$59</definedName>
    <definedName name="StartEmp" localSheetId="3">RGaldes!$F$59</definedName>
    <definedName name="StartEmp" localSheetId="13">RMallan_Albani!$F$59</definedName>
    <definedName name="StartEmp" localSheetId="18">RSreejith!$F$59</definedName>
    <definedName name="StartEmp" localSheetId="59">SPare!$F$59</definedName>
    <definedName name="StartEmp" localSheetId="35">ZMifsud!$F$59</definedName>
    <definedName name="Str" localSheetId="34">AFalzon!$C$9</definedName>
    <definedName name="Str" localSheetId="14">AHaneena!$C$9</definedName>
    <definedName name="Str" localSheetId="19">AKunnamkudath!$C$9</definedName>
    <definedName name="Str" localSheetId="7">DMifsud_Ceci!$C$9</definedName>
    <definedName name="Str" localSheetId="33">ECurmi!$C$9</definedName>
    <definedName name="Str" localSheetId="15">ELama!$C$9</definedName>
    <definedName name="Str" localSheetId="5">KMizzi!$C$9</definedName>
    <definedName name="Str" localSheetId="10">LBonnici!$C$9</definedName>
    <definedName name="Str" localSheetId="4">LCarini!$C$9</definedName>
    <definedName name="Str" localSheetId="16">MAcero_Garzon!$C$9</definedName>
    <definedName name="Str" localSheetId="9">MCamilleri!$C$9</definedName>
    <definedName name="Str" localSheetId="37">MEllul!$C$9</definedName>
    <definedName name="Str" localSheetId="22">NScerri_Esposito!$C$9</definedName>
    <definedName name="Str" localSheetId="24">RAcharya!$C$9</definedName>
    <definedName name="Str" localSheetId="21">RAttard!$C$9</definedName>
    <definedName name="Str" localSheetId="6">RCamilleri!$C$9</definedName>
    <definedName name="Str" localSheetId="3">RGaldes!$C$9</definedName>
    <definedName name="Str" localSheetId="13">RMallan_Albani!$C$9</definedName>
    <definedName name="Str" localSheetId="18">RSreejith!$C$9</definedName>
    <definedName name="Str" localSheetId="59">SPare!$C$9</definedName>
    <definedName name="Str" localSheetId="35">ZMifsud!$C$9</definedName>
    <definedName name="Surname" localSheetId="34">AFalzon!$C$6</definedName>
    <definedName name="Surname" localSheetId="14">AHaneena!$C$6</definedName>
    <definedName name="Surname" localSheetId="19">AKunnamkudath!$C$6</definedName>
    <definedName name="Surname" localSheetId="7">DMifsud_Ceci!$C$6</definedName>
    <definedName name="Surname" localSheetId="33">ECurmi!$C$6</definedName>
    <definedName name="Surname" localSheetId="15">ELama!$C$6</definedName>
    <definedName name="Surname" localSheetId="44">JAN_FS5!$C$6</definedName>
    <definedName name="Surname" localSheetId="5">KMizzi!$C$6</definedName>
    <definedName name="Surname" localSheetId="10">LBonnici!$C$6</definedName>
    <definedName name="Surname" localSheetId="4">LCarini!$C$6</definedName>
    <definedName name="Surname" localSheetId="16">MAcero_Garzon!$C$6</definedName>
    <definedName name="Surname" localSheetId="9">MCamilleri!$C$6</definedName>
    <definedName name="Surname" localSheetId="37">MEllul!$C$6</definedName>
    <definedName name="Surname" localSheetId="54">NOV_FS5!$C$6</definedName>
    <definedName name="Surname" localSheetId="22">NScerri_Esposito!$C$6</definedName>
    <definedName name="Surname" localSheetId="53">OCT_FS5!$C$6</definedName>
    <definedName name="Surname" localSheetId="24">RAcharya!$C$6</definedName>
    <definedName name="Surname" localSheetId="21">RAttard!$C$6</definedName>
    <definedName name="Surname" localSheetId="6">RCamilleri!$C$6</definedName>
    <definedName name="Surname" localSheetId="3">RGaldes!$C$6</definedName>
    <definedName name="Surname" localSheetId="13">RMallan_Albani!$C$6</definedName>
    <definedName name="Surname" localSheetId="18">RSreejith!$C$6</definedName>
    <definedName name="Surname" localSheetId="59">SPare!$C$6</definedName>
    <definedName name="Surname" localSheetId="35">ZMifsud!$C$6</definedName>
    <definedName name="taxdeduct" localSheetId="34">AFalzon!$H$75</definedName>
    <definedName name="taxdeduct" localSheetId="14">AHaneena!$H$75</definedName>
    <definedName name="taxdeduct" localSheetId="19">AKunnamkudath!$H$75</definedName>
    <definedName name="taxdeduct" localSheetId="7">DMifsud_Ceci!$H$75</definedName>
    <definedName name="taxdeduct" localSheetId="33">ECurmi!$H$75</definedName>
    <definedName name="taxdeduct" localSheetId="15">ELama!$H$75</definedName>
    <definedName name="taxdeduct" localSheetId="5">KMizzi!$H$75</definedName>
    <definedName name="taxdeduct" localSheetId="10">LBonnici!$H$75</definedName>
    <definedName name="taxdeduct" localSheetId="4">LCarini!$H$75</definedName>
    <definedName name="taxdeduct" localSheetId="16">MAcero_Garzon!$H$75</definedName>
    <definedName name="taxdeduct" localSheetId="9">MCamilleri!$H$75</definedName>
    <definedName name="taxdeduct" localSheetId="37">MEllul!$H$75</definedName>
    <definedName name="taxdeduct" localSheetId="22">NScerri_Esposito!$H$75</definedName>
    <definedName name="taxdeduct" localSheetId="24">RAcharya!$H$75</definedName>
    <definedName name="taxdeduct" localSheetId="21">RAttard!$H$75</definedName>
    <definedName name="taxdeduct" localSheetId="6">RCamilleri!$H$75</definedName>
    <definedName name="taxdeduct" localSheetId="3">RGaldes!$H$75</definedName>
    <definedName name="taxdeduct" localSheetId="13">RMallan_Albani!$H$75</definedName>
    <definedName name="taxdeduct" localSheetId="18">RSreejith!$H$75</definedName>
    <definedName name="taxdeduct" localSheetId="59">SPare!$H$75</definedName>
    <definedName name="taxdeduct" localSheetId="35">ZMifsud!$H$75</definedName>
    <definedName name="taxpercent" localSheetId="34">AFalzon!$G$75</definedName>
    <definedName name="taxpercent" localSheetId="14">AHaneena!$G$75</definedName>
    <definedName name="taxpercent" localSheetId="19">AKunnamkudath!$G$75</definedName>
    <definedName name="taxpercent" localSheetId="7">DMifsud_Ceci!$G$75</definedName>
    <definedName name="taxpercent" localSheetId="33">ECurmi!$G$75</definedName>
    <definedName name="taxpercent" localSheetId="15">ELama!$G$75</definedName>
    <definedName name="taxpercent" localSheetId="5">KMizzi!$G$75</definedName>
    <definedName name="taxpercent" localSheetId="10">LBonnici!$G$75</definedName>
    <definedName name="taxpercent" localSheetId="4">LCarini!$G$75</definedName>
    <definedName name="taxpercent" localSheetId="16">MAcero_Garzon!$G$75</definedName>
    <definedName name="taxpercent" localSheetId="9">MCamilleri!$G$75</definedName>
    <definedName name="taxpercent" localSheetId="37">MEllul!$G$75</definedName>
    <definedName name="taxpercent" localSheetId="22">NScerri_Esposito!$G$75</definedName>
    <definedName name="taxpercent" localSheetId="24">RAcharya!$G$75</definedName>
    <definedName name="taxpercent" localSheetId="21">RAttard!$G$75</definedName>
    <definedName name="taxpercent" localSheetId="6">RCamilleri!$G$75</definedName>
    <definedName name="taxpercent" localSheetId="3">RGaldes!$G$75</definedName>
    <definedName name="taxpercent" localSheetId="13">RMallan_Albani!$G$75</definedName>
    <definedName name="taxpercent" localSheetId="18">RSreejith!$G$75</definedName>
    <definedName name="taxpercent" localSheetId="59">SPare!$G$75</definedName>
    <definedName name="taxpercent" localSheetId="35">ZMifsud!$G$75</definedName>
    <definedName name="TaxStatusText" localSheetId="22">#N/A</definedName>
    <definedName name="TaxStatusText">IFS( LEFT(LCarini!FS4_Status,3)="SIN","SINGLE", LEFT(LCarini!FS4_Status,3)="PAR","PARENT"&amp;IF(LEN(LCarini!FS4_Status)&gt;3,"+"&amp;RIGHT(LCarini!FS4_Status,1),""), LEFT(LCarini!FS4_Status,3)="MAR","MARRIED"&amp;IF(LEN(LCarini!FS4_Status)&gt;3,"+"&amp;RIGHT(LCarini!FS4_Status,1),""), TRUE,NA() )</definedName>
    <definedName name="Telephone_Number" localSheetId="34">AFalzon!$C$12</definedName>
    <definedName name="Telephone_Number" localSheetId="14">AHaneena!$C$12</definedName>
    <definedName name="Telephone_Number" localSheetId="19">AKunnamkudath!$C$12</definedName>
    <definedName name="Telephone_Number" localSheetId="7">DMifsud_Ceci!$C$12</definedName>
    <definedName name="Telephone_Number" localSheetId="33">ECurmi!$C$12</definedName>
    <definedName name="Telephone_Number" localSheetId="15">ELama!$C$12</definedName>
    <definedName name="Telephone_Number" localSheetId="5">KMizzi!$C$12</definedName>
    <definedName name="Telephone_Number" localSheetId="10">LBonnici!$C$12</definedName>
    <definedName name="Telephone_Number" localSheetId="4">LCarini!$C$12</definedName>
    <definedName name="Telephone_Number" localSheetId="16">MAcero_Garzon!$C$12</definedName>
    <definedName name="Telephone_Number" localSheetId="9">MCamilleri!$C$12</definedName>
    <definedName name="Telephone_Number" localSheetId="37">MEllul!$C$12</definedName>
    <definedName name="Telephone_Number" localSheetId="22">NScerri_Esposito!$C$12</definedName>
    <definedName name="Telephone_Number" localSheetId="24">RAcharya!$C$12</definedName>
    <definedName name="Telephone_Number" localSheetId="21">RAttard!$C$12</definedName>
    <definedName name="Telephone_Number" localSheetId="6">RCamilleri!$C$12</definedName>
    <definedName name="Telephone_Number" localSheetId="3">RGaldes!$C$12</definedName>
    <definedName name="Telephone_Number" localSheetId="13">RMallan_Albani!$C$12</definedName>
    <definedName name="Telephone_Number" localSheetId="18">RSreejith!$C$12</definedName>
    <definedName name="Telephone_Number" localSheetId="59">SPare!$C$12</definedName>
    <definedName name="Telephone_Number" localSheetId="35">ZMifsud!$C$12</definedName>
    <definedName name="TERMDATE" localSheetId="34">AFalzon!$F$63</definedName>
    <definedName name="TERMDATE" localSheetId="14">AHaneena!$F$63</definedName>
    <definedName name="TERMDATE" localSheetId="19">AKunnamkudath!$F$63</definedName>
    <definedName name="TERMDATE" localSheetId="7">DMifsud_Ceci!$F$63</definedName>
    <definedName name="TERMDATE" localSheetId="33">ECurmi!$F$63</definedName>
    <definedName name="TERMDATE" localSheetId="15">ELama!$F$63</definedName>
    <definedName name="TERMDATE" localSheetId="44">JAN_FS5!$F$64</definedName>
    <definedName name="TERMDATE" localSheetId="5">KMizzi!$F$63</definedName>
    <definedName name="TERMDATE" localSheetId="10">LBonnici!$F$63</definedName>
    <definedName name="TERMDATE" localSheetId="4">LCarini!$F$63</definedName>
    <definedName name="TERMDATE" localSheetId="16">MAcero_Garzon!$F$63</definedName>
    <definedName name="TERMDATE" localSheetId="9">MCamilleri!$F$63</definedName>
    <definedName name="TERMDATE" localSheetId="37">MEllul!$F$63</definedName>
    <definedName name="TERMDATE" localSheetId="54">NOV_FS5!$F$63</definedName>
    <definedName name="TERMDATE" localSheetId="22">NScerri_Esposito!$F$63</definedName>
    <definedName name="TERMDATE" localSheetId="53">OCT_FS5!$F$63</definedName>
    <definedName name="TERMDATE" localSheetId="24">RAcharya!$F$63</definedName>
    <definedName name="TERMDATE" localSheetId="21">RAttard!$F$63</definedName>
    <definedName name="TERMDATE" localSheetId="6">RCamilleri!$F$63</definedName>
    <definedName name="TERMDATE" localSheetId="3">RGaldes!$F$63</definedName>
    <definedName name="TERMDATE" localSheetId="13">RMallan_Albani!$F$63</definedName>
    <definedName name="TERMDATE" localSheetId="18">RSreejith!$F$63</definedName>
    <definedName name="TERMDATE" localSheetId="59">SPare!$F$63</definedName>
    <definedName name="TERMDATE" localSheetId="35">ZMifsud!$F$63</definedName>
    <definedName name="Timer" localSheetId="34">AFalzon!$F$61</definedName>
    <definedName name="Timer" localSheetId="14">AHaneena!$F$61</definedName>
    <definedName name="Timer" localSheetId="19">AKunnamkudath!$F$61</definedName>
    <definedName name="Timer" localSheetId="7">DMifsud_Ceci!$F$61</definedName>
    <definedName name="Timer" localSheetId="33">ECurmi!$F$61</definedName>
    <definedName name="Timer" localSheetId="15">ELama!$F$61</definedName>
    <definedName name="Timer" localSheetId="5">KMizzi!$F$61</definedName>
    <definedName name="Timer" localSheetId="10">LBonnici!$F$61</definedName>
    <definedName name="Timer" localSheetId="4">LCarini!$F$61</definedName>
    <definedName name="Timer" localSheetId="16">MAcero_Garzon!$F$61</definedName>
    <definedName name="Timer" localSheetId="9">MCamilleri!$F$61</definedName>
    <definedName name="Timer" localSheetId="37">MEllul!$F$61</definedName>
    <definedName name="Timer" localSheetId="22">NScerri_Esposito!$F$61</definedName>
    <definedName name="Timer" localSheetId="24">RAcharya!$F$61</definedName>
    <definedName name="Timer" localSheetId="21">RAttard!$F$61</definedName>
    <definedName name="Timer" localSheetId="6">RCamilleri!$F$61</definedName>
    <definedName name="Timer" localSheetId="3">RGaldes!$F$61</definedName>
    <definedName name="Timer" localSheetId="13">RMallan_Albani!$F$61</definedName>
    <definedName name="Timer" localSheetId="18">RSreejith!$F$61</definedName>
    <definedName name="Timer" localSheetId="59">SPare!$F$61</definedName>
    <definedName name="Timer" localSheetId="35">ZMifsud!$F$61</definedName>
    <definedName name="TitleDivSum" localSheetId="43">SumDiv!$A$1:$I$1</definedName>
    <definedName name="wwapr" localSheetId="34">AFalzon!$AG$7</definedName>
    <definedName name="wwapr" localSheetId="14">AHaneena!$AG$7</definedName>
    <definedName name="wwapr" localSheetId="19">AKunnamkudath!$AG$7</definedName>
    <definedName name="wwapr" localSheetId="7">DMifsud_Ceci!$AG$7</definedName>
    <definedName name="wwapr" localSheetId="33">ECurmi!$AG$7</definedName>
    <definedName name="wwapr" localSheetId="15">ELama!$AG$7</definedName>
    <definedName name="wwapr" localSheetId="5">KMizzi!$AG$7</definedName>
    <definedName name="wwapr" localSheetId="10">LBonnici!$AG$7</definedName>
    <definedName name="wwapr" localSheetId="4">LCarini!$AG$7</definedName>
    <definedName name="wwapr" localSheetId="16">MAcero_Garzon!$AG$7</definedName>
    <definedName name="wwapr" localSheetId="9">MCamilleri!$AG$7</definedName>
    <definedName name="wwapr" localSheetId="37">MEllul!$AG$7</definedName>
    <definedName name="wwapr" localSheetId="22">NScerri_Esposito!$AG$7</definedName>
    <definedName name="wwapr" localSheetId="24">RAcharya!$AG$7</definedName>
    <definedName name="wwapr" localSheetId="21">RAttard!$AG$7</definedName>
    <definedName name="wwapr" localSheetId="6">RCamilleri!$AG$7</definedName>
    <definedName name="wwapr" localSheetId="3">RGaldes!$AG$7</definedName>
    <definedName name="wwapr" localSheetId="13">RMallan_Albani!$AG$7</definedName>
    <definedName name="wwapr" localSheetId="18">RSreejith!$AG$7</definedName>
    <definedName name="wwapr" localSheetId="59">SPare!$AG$7</definedName>
    <definedName name="wwapr" localSheetId="35">ZMifsud!$AG$7</definedName>
    <definedName name="wwaug" localSheetId="34">AFalzon!$AG$11</definedName>
    <definedName name="wwaug" localSheetId="14">AHaneena!$AG$11</definedName>
    <definedName name="wwaug" localSheetId="19">AKunnamkudath!$AG$11</definedName>
    <definedName name="wwaug" localSheetId="7">DMifsud_Ceci!$AG$11</definedName>
    <definedName name="wwaug" localSheetId="33">ECurmi!$AG$11</definedName>
    <definedName name="wwaug" localSheetId="15">ELama!$AG$11</definedName>
    <definedName name="wwaug" localSheetId="5">KMizzi!$AG$11</definedName>
    <definedName name="wwaug" localSheetId="10">LBonnici!$AG$11</definedName>
    <definedName name="wwaug" localSheetId="4">LCarini!$AG$11</definedName>
    <definedName name="wwaug" localSheetId="16">MAcero_Garzon!$AG$11</definedName>
    <definedName name="wwaug" localSheetId="9">MCamilleri!$AG$11</definedName>
    <definedName name="wwaug" localSheetId="37">MEllul!$AG$11</definedName>
    <definedName name="wwaug" localSheetId="22">NScerri_Esposito!$AG$11</definedName>
    <definedName name="wwaug" localSheetId="24">RAcharya!$AG$11</definedName>
    <definedName name="wwaug" localSheetId="21">RAttard!$AG$11</definedName>
    <definedName name="wwaug" localSheetId="6">RCamilleri!$AG$11</definedName>
    <definedName name="wwaug" localSheetId="3">RGaldes!$AG$11</definedName>
    <definedName name="wwaug" localSheetId="13">RMallan_Albani!$AG$11</definedName>
    <definedName name="wwaug" localSheetId="18">RSreejith!$AG$11</definedName>
    <definedName name="wwaug" localSheetId="59">SPare!$AG$11</definedName>
    <definedName name="wwaug" localSheetId="35">ZMifsud!$AG$11</definedName>
    <definedName name="wwdec" localSheetId="34">AFalzon!$AG$15</definedName>
    <definedName name="wwdec" localSheetId="14">AHaneena!$AG$15</definedName>
    <definedName name="wwdec" localSheetId="19">AKunnamkudath!$AG$15</definedName>
    <definedName name="wwdec" localSheetId="7">DMifsud_Ceci!$AG$15</definedName>
    <definedName name="wwdec" localSheetId="33">ECurmi!$AG$15</definedName>
    <definedName name="wwdec" localSheetId="15">ELama!$AG$15</definedName>
    <definedName name="wwdec" localSheetId="5">KMizzi!$AG$15</definedName>
    <definedName name="wwdec" localSheetId="10">LBonnici!$AG$15</definedName>
    <definedName name="wwdec" localSheetId="4">LCarini!$AG$15</definedName>
    <definedName name="wwdec" localSheetId="16">MAcero_Garzon!$AG$15</definedName>
    <definedName name="wwdec" localSheetId="9">MCamilleri!$AG$15</definedName>
    <definedName name="wwdec" localSheetId="37">MEllul!$AG$15</definedName>
    <definedName name="wwdec" localSheetId="22">NScerri_Esposito!$AG$15</definedName>
    <definedName name="wwdec" localSheetId="24">RAcharya!$AG$15</definedName>
    <definedName name="wwdec" localSheetId="21">RAttard!$AG$15</definedName>
    <definedName name="wwdec" localSheetId="6">RCamilleri!$AG$15</definedName>
    <definedName name="wwdec" localSheetId="3">RGaldes!$AG$15</definedName>
    <definedName name="wwdec" localSheetId="13">RMallan_Albani!$AG$15</definedName>
    <definedName name="wwdec" localSheetId="18">RSreejith!$AG$15</definedName>
    <definedName name="wwdec" localSheetId="59">SPare!$AG$15</definedName>
    <definedName name="wwdec" localSheetId="35">ZMifsud!$AG$15</definedName>
    <definedName name="wwfeb" localSheetId="34">AFalzon!$AG$5</definedName>
    <definedName name="wwfeb" localSheetId="14">AHaneena!$AG$5</definedName>
    <definedName name="wwfeb" localSheetId="19">AKunnamkudath!$AG$5</definedName>
    <definedName name="wwfeb" localSheetId="7">DMifsud_Ceci!$AG$5</definedName>
    <definedName name="wwfeb" localSheetId="33">ECurmi!$AG$5</definedName>
    <definedName name="wwfeb" localSheetId="15">ELama!$AG$5</definedName>
    <definedName name="wwfeb" localSheetId="5">KMizzi!$AG$5</definedName>
    <definedName name="wwfeb" localSheetId="10">LBonnici!$AG$5</definedName>
    <definedName name="wwfeb" localSheetId="4">LCarini!$AG$5</definedName>
    <definedName name="wwfeb" localSheetId="16">MAcero_Garzon!$AG$5</definedName>
    <definedName name="wwfeb" localSheetId="9">MCamilleri!$AG$5</definedName>
    <definedName name="wwfeb" localSheetId="37">MEllul!$AG$5</definedName>
    <definedName name="wwfeb" localSheetId="22">NScerri_Esposito!$AG$5</definedName>
    <definedName name="wwfeb" localSheetId="24">RAcharya!$AG$5</definedName>
    <definedName name="wwfeb" localSheetId="21">RAttard!$AG$5</definedName>
    <definedName name="wwfeb" localSheetId="6">RCamilleri!$AG$5</definedName>
    <definedName name="wwfeb" localSheetId="3">RGaldes!$AG$5</definedName>
    <definedName name="wwfeb" localSheetId="13">RMallan_Albani!$AG$5</definedName>
    <definedName name="wwfeb" localSheetId="18">RSreejith!$AG$5</definedName>
    <definedName name="wwfeb" localSheetId="59">SPare!$AG$5</definedName>
    <definedName name="wwfeb" localSheetId="35">ZMifsud!$AG$5</definedName>
    <definedName name="wwjan" localSheetId="34">AFalzon!$AG$4</definedName>
    <definedName name="wwjan" localSheetId="14">AHaneena!$AG$4</definedName>
    <definedName name="wwjan" localSheetId="19">AKunnamkudath!$AG$4</definedName>
    <definedName name="wwjan" localSheetId="7">DMifsud_Ceci!$AG$4</definedName>
    <definedName name="wwjan" localSheetId="33">ECurmi!$AG$4</definedName>
    <definedName name="wwjan" localSheetId="15">ELama!$AG$4</definedName>
    <definedName name="wwjan" localSheetId="5">KMizzi!$AG$4</definedName>
    <definedName name="wwjan" localSheetId="10">LBonnici!$AG$4</definedName>
    <definedName name="wwjan" localSheetId="4">LCarini!$AG$4</definedName>
    <definedName name="wwjan" localSheetId="16">MAcero_Garzon!$AG$4</definedName>
    <definedName name="wwjan" localSheetId="9">MCamilleri!$AG$4</definedName>
    <definedName name="wwjan" localSheetId="37">MEllul!$AG$4</definedName>
    <definedName name="wwjan" localSheetId="22">NScerri_Esposito!$AG$4</definedName>
    <definedName name="wwjan" localSheetId="24">RAcharya!$AG$4</definedName>
    <definedName name="wwjan" localSheetId="21">RAttard!$AG$4</definedName>
    <definedName name="wwjan" localSheetId="6">RCamilleri!$AG$4</definedName>
    <definedName name="wwjan" localSheetId="3">RGaldes!$AG$4</definedName>
    <definedName name="wwjan" localSheetId="13">RMallan_Albani!$AG$4</definedName>
    <definedName name="wwjan" localSheetId="18">RSreejith!$AG$4</definedName>
    <definedName name="wwjan" localSheetId="59">SPare!$AG$4</definedName>
    <definedName name="wwjan" localSheetId="35">ZMifsud!$AG$4</definedName>
    <definedName name="wwjul" localSheetId="34">AFalzon!$AG$10</definedName>
    <definedName name="wwjul" localSheetId="14">AHaneena!$AG$10</definedName>
    <definedName name="wwjul" localSheetId="19">AKunnamkudath!$AG$10</definedName>
    <definedName name="wwjul" localSheetId="7">DMifsud_Ceci!$AG$10</definedName>
    <definedName name="wwjul" localSheetId="33">ECurmi!$AG$10</definedName>
    <definedName name="wwjul" localSheetId="15">ELama!$AG$10</definedName>
    <definedName name="wwjul" localSheetId="5">KMizzi!$AG$10</definedName>
    <definedName name="wwjul" localSheetId="10">LBonnici!$AG$10</definedName>
    <definedName name="wwjul" localSheetId="4">LCarini!$AG$10</definedName>
    <definedName name="wwjul" localSheetId="16">MAcero_Garzon!$AG$10</definedName>
    <definedName name="wwjul" localSheetId="9">MCamilleri!$AG$10</definedName>
    <definedName name="wwjul" localSheetId="37">MEllul!$AG$10</definedName>
    <definedName name="wwjul" localSheetId="22">NScerri_Esposito!$AG$10</definedName>
    <definedName name="wwjul" localSheetId="24">RAcharya!$AG$10</definedName>
    <definedName name="wwjul" localSheetId="21">RAttard!$AG$10</definedName>
    <definedName name="wwjul" localSheetId="6">RCamilleri!$AG$10</definedName>
    <definedName name="wwjul" localSheetId="3">RGaldes!$AG$10</definedName>
    <definedName name="wwjul" localSheetId="13">RMallan_Albani!$AG$10</definedName>
    <definedName name="wwjul" localSheetId="18">RSreejith!$AG$10</definedName>
    <definedName name="wwjul" localSheetId="59">SPare!$AG$10</definedName>
    <definedName name="wwjul" localSheetId="35">ZMifsud!$AG$10</definedName>
    <definedName name="wwjun" localSheetId="34">AFalzon!$AG$9</definedName>
    <definedName name="wwjun" localSheetId="14">AHaneena!$AG$9</definedName>
    <definedName name="wwjun" localSheetId="19">AKunnamkudath!$AG$9</definedName>
    <definedName name="wwjun" localSheetId="7">DMifsud_Ceci!$AG$9</definedName>
    <definedName name="wwjun" localSheetId="33">ECurmi!$AG$9</definedName>
    <definedName name="wwjun" localSheetId="15">ELama!$AG$9</definedName>
    <definedName name="wwjun" localSheetId="5">KMizzi!$AG$9</definedName>
    <definedName name="wwjun" localSheetId="10">LBonnici!$AG$9</definedName>
    <definedName name="wwjun" localSheetId="4">LCarini!$AG$9</definedName>
    <definedName name="wwjun" localSheetId="16">MAcero_Garzon!$AG$9</definedName>
    <definedName name="wwjun" localSheetId="9">MCamilleri!$AG$9</definedName>
    <definedName name="wwjun" localSheetId="37">MEllul!$AG$9</definedName>
    <definedName name="wwjun" localSheetId="22">NScerri_Esposito!$AG$9</definedName>
    <definedName name="wwjun" localSheetId="24">RAcharya!$AG$9</definedName>
    <definedName name="wwjun" localSheetId="21">RAttard!$AG$9</definedName>
    <definedName name="wwjun" localSheetId="6">RCamilleri!$AG$9</definedName>
    <definedName name="wwjun" localSheetId="3">RGaldes!$AG$9</definedName>
    <definedName name="wwjun" localSheetId="13">RMallan_Albani!$AG$9</definedName>
    <definedName name="wwjun" localSheetId="18">RSreejith!$AG$9</definedName>
    <definedName name="wwjun" localSheetId="59">SPare!$AG$9</definedName>
    <definedName name="wwjun" localSheetId="35">ZMifsud!$AG$9</definedName>
    <definedName name="wwmar" localSheetId="34">AFalzon!$AG$6</definedName>
    <definedName name="wwmar" localSheetId="14">AHaneena!$AG$6</definedName>
    <definedName name="wwmar" localSheetId="19">AKunnamkudath!$AG$6</definedName>
    <definedName name="wwmar" localSheetId="7">DMifsud_Ceci!$AG$6</definedName>
    <definedName name="wwmar" localSheetId="33">ECurmi!$AG$6</definedName>
    <definedName name="wwmar" localSheetId="15">ELama!$AG$6</definedName>
    <definedName name="wwmar" localSheetId="5">KMizzi!$AG$6</definedName>
    <definedName name="wwmar" localSheetId="10">LBonnici!$AG$6</definedName>
    <definedName name="wwmar" localSheetId="4">LCarini!$AG$6</definedName>
    <definedName name="wwmar" localSheetId="16">MAcero_Garzon!$AG$6</definedName>
    <definedName name="wwmar" localSheetId="9">MCamilleri!$AG$6</definedName>
    <definedName name="wwmar" localSheetId="37">MEllul!$AG$6</definedName>
    <definedName name="wwmar" localSheetId="22">NScerri_Esposito!$AG$6</definedName>
    <definedName name="wwmar" localSheetId="24">RAcharya!$AG$6</definedName>
    <definedName name="wwmar" localSheetId="21">RAttard!$AG$6</definedName>
    <definedName name="wwmar" localSheetId="6">RCamilleri!$AG$6</definedName>
    <definedName name="wwmar" localSheetId="3">RGaldes!$AG$6</definedName>
    <definedName name="wwmar" localSheetId="13">RMallan_Albani!$AG$6</definedName>
    <definedName name="wwmar" localSheetId="18">RSreejith!$AG$6</definedName>
    <definedName name="wwmar" localSheetId="59">SPare!$AG$6</definedName>
    <definedName name="wwmar" localSheetId="35">ZMifsud!$AG$6</definedName>
    <definedName name="wwmay" localSheetId="34">AFalzon!$AG$8</definedName>
    <definedName name="wwmay" localSheetId="14">AHaneena!$AG$8</definedName>
    <definedName name="wwmay" localSheetId="19">AKunnamkudath!$AG$8</definedName>
    <definedName name="wwmay" localSheetId="7">DMifsud_Ceci!$AG$8</definedName>
    <definedName name="wwmay" localSheetId="33">ECurmi!$AG$8</definedName>
    <definedName name="wwmay" localSheetId="15">ELama!$AG$8</definedName>
    <definedName name="wwmay" localSheetId="5">KMizzi!$AG$8</definedName>
    <definedName name="wwmay" localSheetId="10">LBonnici!$AG$8</definedName>
    <definedName name="wwmay" localSheetId="4">LCarini!$AG$8</definedName>
    <definedName name="wwmay" localSheetId="16">MAcero_Garzon!$AG$8</definedName>
    <definedName name="wwmay" localSheetId="9">MCamilleri!$AG$8</definedName>
    <definedName name="wwmay" localSheetId="37">MEllul!$AG$8</definedName>
    <definedName name="wwmay" localSheetId="22">NScerri_Esposito!$AG$8</definedName>
    <definedName name="wwmay" localSheetId="24">RAcharya!$AG$8</definedName>
    <definedName name="wwmay" localSheetId="21">RAttard!$AG$8</definedName>
    <definedName name="wwmay" localSheetId="6">RCamilleri!$AG$8</definedName>
    <definedName name="wwmay" localSheetId="3">RGaldes!$AG$8</definedName>
    <definedName name="wwmay" localSheetId="13">RMallan_Albani!$AG$8</definedName>
    <definedName name="wwmay" localSheetId="18">RSreejith!$AG$8</definedName>
    <definedName name="wwmay" localSheetId="59">SPare!$AG$8</definedName>
    <definedName name="wwmay" localSheetId="35">ZMifsud!$AG$8</definedName>
    <definedName name="wwnov" localSheetId="34">AFalzon!$AG$14</definedName>
    <definedName name="wwnov" localSheetId="14">AHaneena!$AG$14</definedName>
    <definedName name="wwnov" localSheetId="19">AKunnamkudath!$AG$14</definedName>
    <definedName name="wwnov" localSheetId="7">DMifsud_Ceci!$AG$14</definedName>
    <definedName name="wwnov" localSheetId="33">ECurmi!$AG$14</definedName>
    <definedName name="wwnov" localSheetId="15">ELama!$AG$14</definedName>
    <definedName name="wwnov" localSheetId="5">KMizzi!$AG$14</definedName>
    <definedName name="wwnov" localSheetId="10">LBonnici!$AG$14</definedName>
    <definedName name="wwnov" localSheetId="4">LCarini!$AG$14</definedName>
    <definedName name="wwnov" localSheetId="16">MAcero_Garzon!$AG$14</definedName>
    <definedName name="wwnov" localSheetId="9">MCamilleri!$AG$14</definedName>
    <definedName name="wwnov" localSheetId="37">MEllul!$AG$14</definedName>
    <definedName name="wwnov" localSheetId="22">NScerri_Esposito!$AG$14</definedName>
    <definedName name="wwnov" localSheetId="24">RAcharya!$AG$14</definedName>
    <definedName name="wwnov" localSheetId="21">RAttard!$AG$14</definedName>
    <definedName name="wwnov" localSheetId="6">RCamilleri!$AG$14</definedName>
    <definedName name="wwnov" localSheetId="3">RGaldes!$AG$14</definedName>
    <definedName name="wwnov" localSheetId="13">RMallan_Albani!$AG$14</definedName>
    <definedName name="wwnov" localSheetId="18">RSreejith!$AG$14</definedName>
    <definedName name="wwnov" localSheetId="59">SPare!$AG$14</definedName>
    <definedName name="wwnov" localSheetId="35">ZMifsud!$AG$14</definedName>
    <definedName name="wwoct" localSheetId="34">AFalzon!$AG$13</definedName>
    <definedName name="wwoct" localSheetId="14">AHaneena!$AG$13</definedName>
    <definedName name="wwoct" localSheetId="19">AKunnamkudath!$AG$13</definedName>
    <definedName name="wwoct" localSheetId="7">DMifsud_Ceci!$AG$13</definedName>
    <definedName name="wwoct" localSheetId="33">ECurmi!$AG$13</definedName>
    <definedName name="wwoct" localSheetId="15">ELama!$AG$13</definedName>
    <definedName name="wwoct" localSheetId="5">KMizzi!$AG$13</definedName>
    <definedName name="wwoct" localSheetId="10">LBonnici!$AG$13</definedName>
    <definedName name="wwoct" localSheetId="4">LCarini!$AG$13</definedName>
    <definedName name="wwoct" localSheetId="16">MAcero_Garzon!$AG$13</definedName>
    <definedName name="wwoct" localSheetId="9">MCamilleri!$AG$13</definedName>
    <definedName name="wwoct" localSheetId="37">MEllul!$AG$13</definedName>
    <definedName name="wwoct" localSheetId="22">NScerri_Esposito!$AG$13</definedName>
    <definedName name="wwoct" localSheetId="24">RAcharya!$AG$13</definedName>
    <definedName name="wwoct" localSheetId="21">RAttard!$AG$13</definedName>
    <definedName name="wwoct" localSheetId="6">RCamilleri!$AG$13</definedName>
    <definedName name="wwoct" localSheetId="3">RGaldes!$AG$13</definedName>
    <definedName name="wwoct" localSheetId="13">RMallan_Albani!$AG$13</definedName>
    <definedName name="wwoct" localSheetId="18">RSreejith!$AG$13</definedName>
    <definedName name="wwoct" localSheetId="59">SPare!$AG$13</definedName>
    <definedName name="wwoct" localSheetId="35">ZMifsud!$AG$13</definedName>
    <definedName name="wwsep" localSheetId="34">AFalzon!$AG$12</definedName>
    <definedName name="wwsep" localSheetId="14">AHaneena!$AG$12</definedName>
    <definedName name="wwsep" localSheetId="19">AKunnamkudath!$AG$12</definedName>
    <definedName name="wwsep" localSheetId="7">DMifsud_Ceci!$AG$12</definedName>
    <definedName name="wwsep" localSheetId="33">ECurmi!$AG$12</definedName>
    <definedName name="wwsep" localSheetId="15">ELama!$AG$12</definedName>
    <definedName name="wwsep" localSheetId="5">KMizzi!$AG$12</definedName>
    <definedName name="wwsep" localSheetId="10">LBonnici!$AG$12</definedName>
    <definedName name="wwsep" localSheetId="4">LCarini!$AG$12</definedName>
    <definedName name="wwsep" localSheetId="16">MAcero_Garzon!$AG$12</definedName>
    <definedName name="wwsep" localSheetId="9">MCamilleri!$AG$12</definedName>
    <definedName name="wwsep" localSheetId="37">MEllul!$AG$12</definedName>
    <definedName name="wwsep" localSheetId="22">NScerri_Esposito!$AG$12</definedName>
    <definedName name="wwsep" localSheetId="24">RAcharya!$AG$12</definedName>
    <definedName name="wwsep" localSheetId="21">RAttard!$AG$12</definedName>
    <definedName name="wwsep" localSheetId="6">RCamilleri!$AG$12</definedName>
    <definedName name="wwsep" localSheetId="3">RGaldes!$AG$12</definedName>
    <definedName name="wwsep" localSheetId="13">RMallan_Albani!$AG$12</definedName>
    <definedName name="wwsep" localSheetId="18">RSreejith!$AG$12</definedName>
    <definedName name="wwsep" localSheetId="59">SPare!$AG$12</definedName>
    <definedName name="wwsep" localSheetId="35">ZMifsud!$AG$12</definedName>
  </definedNames>
  <calcPr calcId="181029"/>
</workbook>
</file>

<file path=xl/calcChain.xml><?xml version="1.0" encoding="utf-8"?>
<calcChain xmlns="http://schemas.openxmlformats.org/spreadsheetml/2006/main">
  <c r="T138" i="60" l="1"/>
  <c r="T137" i="60"/>
  <c r="O133" i="60"/>
  <c r="P131" i="60"/>
  <c r="T128" i="60"/>
  <c r="T127" i="60"/>
  <c r="O123" i="60"/>
  <c r="P121" i="60"/>
  <c r="T118" i="60"/>
  <c r="T117" i="60"/>
  <c r="O113" i="60"/>
  <c r="P111" i="60"/>
  <c r="T108" i="60"/>
  <c r="T107" i="60"/>
  <c r="O103" i="60"/>
  <c r="P101" i="60"/>
  <c r="T98" i="60"/>
  <c r="T97" i="60"/>
  <c r="O93" i="60"/>
  <c r="P91" i="60"/>
  <c r="T88" i="60"/>
  <c r="P88" i="60"/>
  <c r="T87" i="60"/>
  <c r="O83" i="60"/>
  <c r="P81" i="60"/>
  <c r="T78" i="60"/>
  <c r="T77" i="60"/>
  <c r="O73" i="60"/>
  <c r="G73" i="60"/>
  <c r="P71" i="60"/>
  <c r="T68" i="60"/>
  <c r="T67" i="60"/>
  <c r="O63" i="60"/>
  <c r="P61" i="60"/>
  <c r="T58" i="60"/>
  <c r="T57" i="60"/>
  <c r="O53" i="60"/>
  <c r="P51" i="60"/>
  <c r="T48" i="60"/>
  <c r="T47" i="60"/>
  <c r="O43" i="60"/>
  <c r="H42" i="60"/>
  <c r="P41" i="60"/>
  <c r="I41" i="60"/>
  <c r="H41" i="60"/>
  <c r="G41" i="60"/>
  <c r="F41" i="60"/>
  <c r="E40" i="60"/>
  <c r="E39" i="60"/>
  <c r="T38" i="60"/>
  <c r="E38" i="60"/>
  <c r="T37" i="60"/>
  <c r="E37" i="60"/>
  <c r="O33" i="60"/>
  <c r="T28" i="60"/>
  <c r="T27" i="60"/>
  <c r="O23" i="60"/>
  <c r="AU17" i="60"/>
  <c r="AT17" i="60"/>
  <c r="AZ16" i="60"/>
  <c r="AX16" i="60"/>
  <c r="AP16" i="60"/>
  <c r="O15" i="60"/>
  <c r="O131" i="60" s="1"/>
  <c r="O14" i="60"/>
  <c r="O121" i="60" s="1"/>
  <c r="X123" i="60" s="1"/>
  <c r="O13" i="60"/>
  <c r="O111" i="60" s="1"/>
  <c r="O12" i="60"/>
  <c r="O11" i="60"/>
  <c r="W89" i="60" s="1"/>
  <c r="O91" i="60" s="1"/>
  <c r="O10" i="60"/>
  <c r="W79" i="60" s="1"/>
  <c r="O81" i="60" s="1"/>
  <c r="O9" i="60"/>
  <c r="X73" i="60" s="1"/>
  <c r="O8" i="60"/>
  <c r="O7" i="60"/>
  <c r="X53" i="60" s="1"/>
  <c r="O6" i="60"/>
  <c r="AW5" i="60"/>
  <c r="AW6" i="60" s="1"/>
  <c r="AW7" i="60" s="1"/>
  <c r="AW8" i="60" s="1"/>
  <c r="AW9" i="60" s="1"/>
  <c r="AW10" i="60" s="1"/>
  <c r="AW11" i="60" s="1"/>
  <c r="AW12" i="60" s="1"/>
  <c r="AW13" i="60" s="1"/>
  <c r="AW14" i="60" s="1"/>
  <c r="AW15" i="60" s="1"/>
  <c r="O5" i="60"/>
  <c r="K5" i="60"/>
  <c r="AW4" i="60"/>
  <c r="AV4" i="60"/>
  <c r="AV5" i="60" s="1"/>
  <c r="AV6" i="60" s="1"/>
  <c r="AV7" i="60" s="1"/>
  <c r="AV8" i="60" s="1"/>
  <c r="AV9" i="60" s="1"/>
  <c r="AV10" i="60" s="1"/>
  <c r="AV11" i="60" s="1"/>
  <c r="AV12" i="60" s="1"/>
  <c r="AV13" i="60" s="1"/>
  <c r="AV14" i="60" s="1"/>
  <c r="AV15" i="60" s="1"/>
  <c r="Y4" i="60"/>
  <c r="X4" i="60"/>
  <c r="O4" i="60"/>
  <c r="W19" i="60" s="1"/>
  <c r="O3" i="60"/>
  <c r="AU2" i="60"/>
  <c r="A1" i="60"/>
  <c r="A1" i="22"/>
  <c r="A1" i="5"/>
  <c r="X33" i="60" l="1"/>
  <c r="W29" i="60"/>
  <c r="O31" i="60" s="1"/>
  <c r="W99" i="60"/>
  <c r="O101" i="60" s="1"/>
  <c r="X103" i="60"/>
  <c r="P98" i="60"/>
  <c r="P97" i="60"/>
  <c r="Q92" i="60"/>
  <c r="P107" i="60"/>
  <c r="Q102" i="60"/>
  <c r="P108" i="60"/>
  <c r="W129" i="60"/>
  <c r="X133" i="60"/>
  <c r="W49" i="60"/>
  <c r="O51" i="60" s="1"/>
  <c r="X43" i="60"/>
  <c r="W39" i="60"/>
  <c r="O41" i="60" s="1"/>
  <c r="X113" i="60"/>
  <c r="W109" i="60"/>
  <c r="W69" i="60"/>
  <c r="O71" i="60" s="1"/>
  <c r="X23" i="60"/>
  <c r="O21" i="60"/>
  <c r="X63" i="60"/>
  <c r="W59" i="60"/>
  <c r="O61" i="60" s="1"/>
  <c r="W119" i="60"/>
  <c r="X83" i="60"/>
  <c r="X93" i="60"/>
  <c r="P87" i="60" l="1"/>
  <c r="Q82" i="60"/>
  <c r="P47" i="60"/>
  <c r="Q42" i="60"/>
  <c r="P48" i="60"/>
  <c r="P138" i="60"/>
  <c r="Q132" i="60"/>
  <c r="P137" i="60"/>
  <c r="P68" i="60"/>
  <c r="Q62" i="60"/>
  <c r="P67" i="60"/>
  <c r="P117" i="60"/>
  <c r="Q112" i="60"/>
  <c r="P118" i="60"/>
  <c r="Q72" i="60"/>
  <c r="P78" i="60"/>
  <c r="P77" i="60"/>
  <c r="P58" i="60"/>
  <c r="P57" i="60"/>
  <c r="Q52" i="60"/>
  <c r="W146" i="60"/>
  <c r="X139" i="60"/>
  <c r="X138" i="60"/>
  <c r="Q122" i="60"/>
  <c r="P128" i="60"/>
  <c r="P127" i="60"/>
  <c r="Q32" i="60"/>
  <c r="P27" i="60"/>
  <c r="P38" i="60"/>
  <c r="P37" i="60"/>
  <c r="P28" i="60" l="1"/>
  <c r="Q22" i="60" l="1"/>
  <c r="A2" i="40" l="1"/>
  <c r="T25" i="40" l="1"/>
  <c r="T45" i="40" s="1"/>
  <c r="T65" i="40" s="1"/>
  <c r="T85" i="40" s="1"/>
  <c r="T105" i="40" s="1"/>
  <c r="T125" i="40" s="1"/>
  <c r="S25" i="40"/>
  <c r="S45" i="40" s="1"/>
  <c r="S65" i="40" s="1"/>
  <c r="S85" i="40" s="1"/>
  <c r="S105" i="40" s="1"/>
  <c r="S125" i="40" s="1"/>
  <c r="U5" i="40"/>
  <c r="U6" i="40" s="1"/>
  <c r="V20" i="40"/>
  <c r="U25" i="40"/>
  <c r="U26" i="40" s="1"/>
  <c r="V40" i="40"/>
  <c r="U45" i="40"/>
  <c r="U46" i="40" s="1"/>
  <c r="V60" i="40"/>
  <c r="U65" i="40"/>
  <c r="U66" i="40" s="1"/>
  <c r="V80" i="40"/>
  <c r="U85" i="40"/>
  <c r="U86" i="40" s="1"/>
  <c r="V100" i="40"/>
  <c r="U105" i="40"/>
  <c r="U106" i="40" s="1"/>
  <c r="V120" i="40"/>
  <c r="U125" i="40"/>
  <c r="U126" i="40" s="1"/>
  <c r="V140" i="40"/>
  <c r="S138" i="41"/>
  <c r="R138" i="41"/>
  <c r="Q138" i="41"/>
  <c r="P138" i="41"/>
  <c r="O138" i="41"/>
  <c r="N138" i="41"/>
  <c r="M138" i="41"/>
  <c r="L138" i="41"/>
  <c r="K138" i="41"/>
  <c r="J138" i="41"/>
  <c r="I138" i="41"/>
  <c r="H138" i="41"/>
  <c r="G138" i="41"/>
  <c r="F138" i="41"/>
  <c r="E138" i="41"/>
  <c r="D138" i="41"/>
  <c r="C138" i="41"/>
  <c r="S137" i="41"/>
  <c r="R137" i="41"/>
  <c r="Q137" i="41"/>
  <c r="P137" i="41"/>
  <c r="O137" i="41"/>
  <c r="N137" i="41"/>
  <c r="M137" i="41"/>
  <c r="L137" i="41"/>
  <c r="K137" i="41"/>
  <c r="J137" i="41"/>
  <c r="I137" i="41"/>
  <c r="H137" i="41"/>
  <c r="G137" i="41"/>
  <c r="F137" i="41"/>
  <c r="E137" i="41"/>
  <c r="D137" i="41"/>
  <c r="C137" i="41"/>
  <c r="S136" i="41"/>
  <c r="R136" i="41"/>
  <c r="Q136" i="41"/>
  <c r="P136" i="41"/>
  <c r="O136" i="41"/>
  <c r="N136" i="41"/>
  <c r="M136" i="41"/>
  <c r="L136" i="41"/>
  <c r="K136" i="41"/>
  <c r="J136" i="41"/>
  <c r="I136" i="41"/>
  <c r="H136" i="41"/>
  <c r="G136" i="41"/>
  <c r="F136" i="41"/>
  <c r="E136" i="41"/>
  <c r="D136" i="41"/>
  <c r="C136" i="41"/>
  <c r="S135" i="41"/>
  <c r="R135" i="41"/>
  <c r="Q135" i="41"/>
  <c r="P135" i="41"/>
  <c r="O135" i="41"/>
  <c r="N135" i="41"/>
  <c r="M135" i="41"/>
  <c r="L135" i="41"/>
  <c r="K135" i="41"/>
  <c r="J135" i="41"/>
  <c r="I135" i="41"/>
  <c r="H135" i="41"/>
  <c r="G135" i="41"/>
  <c r="F135" i="41"/>
  <c r="E135" i="41"/>
  <c r="D135" i="41"/>
  <c r="C135" i="41"/>
  <c r="S134" i="41"/>
  <c r="R134" i="41"/>
  <c r="Q134" i="41"/>
  <c r="P134" i="41"/>
  <c r="O134" i="41"/>
  <c r="N134" i="41"/>
  <c r="M134" i="41"/>
  <c r="L134" i="41"/>
  <c r="K134" i="41"/>
  <c r="J134" i="41"/>
  <c r="I134" i="41"/>
  <c r="H134" i="41"/>
  <c r="G134" i="41"/>
  <c r="F134" i="41"/>
  <c r="E134" i="41"/>
  <c r="D134" i="41"/>
  <c r="C134" i="41"/>
  <c r="S133" i="41"/>
  <c r="R133" i="41"/>
  <c r="Q133" i="41"/>
  <c r="P133" i="41"/>
  <c r="O133" i="41"/>
  <c r="N133" i="41"/>
  <c r="M133" i="41"/>
  <c r="L133" i="41"/>
  <c r="K133" i="41"/>
  <c r="J133" i="41"/>
  <c r="I133" i="41"/>
  <c r="H133" i="41"/>
  <c r="G133" i="41"/>
  <c r="F133" i="41"/>
  <c r="E133" i="41"/>
  <c r="D133" i="41"/>
  <c r="C133" i="41"/>
  <c r="S132" i="41"/>
  <c r="R132" i="41"/>
  <c r="Q132" i="41"/>
  <c r="P132" i="41"/>
  <c r="O132" i="41"/>
  <c r="N132" i="41"/>
  <c r="M132" i="41"/>
  <c r="L132" i="41"/>
  <c r="K132" i="41"/>
  <c r="J132" i="41"/>
  <c r="I132" i="41"/>
  <c r="H132" i="41"/>
  <c r="G132" i="41"/>
  <c r="F132" i="41"/>
  <c r="E132" i="41"/>
  <c r="D132" i="41"/>
  <c r="C132" i="41"/>
  <c r="S131" i="41"/>
  <c r="R131" i="41"/>
  <c r="Q131" i="41"/>
  <c r="P131" i="41"/>
  <c r="O131" i="41"/>
  <c r="N131" i="41"/>
  <c r="M131" i="41"/>
  <c r="L131" i="41"/>
  <c r="K131" i="41"/>
  <c r="J131" i="41"/>
  <c r="I131" i="41"/>
  <c r="H131" i="41"/>
  <c r="G131" i="41"/>
  <c r="F131" i="41"/>
  <c r="E131" i="41"/>
  <c r="D131" i="41"/>
  <c r="C131" i="41"/>
  <c r="S130" i="41"/>
  <c r="R130" i="41"/>
  <c r="Q130" i="41"/>
  <c r="P130" i="41"/>
  <c r="O130" i="41"/>
  <c r="N130" i="41"/>
  <c r="M130" i="41"/>
  <c r="L130" i="41"/>
  <c r="K130" i="41"/>
  <c r="J130" i="41"/>
  <c r="I130" i="41"/>
  <c r="H130" i="41"/>
  <c r="G130" i="41"/>
  <c r="F130" i="41"/>
  <c r="E130" i="41"/>
  <c r="D130" i="41"/>
  <c r="C130" i="41"/>
  <c r="S129" i="41"/>
  <c r="R129" i="41"/>
  <c r="Q129" i="41"/>
  <c r="P129" i="41"/>
  <c r="O129" i="41"/>
  <c r="N129" i="41"/>
  <c r="M129" i="41"/>
  <c r="L129" i="41"/>
  <c r="K129" i="41"/>
  <c r="J129" i="41"/>
  <c r="I129" i="41"/>
  <c r="H129" i="41"/>
  <c r="G129" i="41"/>
  <c r="F129" i="41"/>
  <c r="E129" i="41"/>
  <c r="D129" i="41"/>
  <c r="C129" i="41"/>
  <c r="S128" i="41"/>
  <c r="R128" i="41"/>
  <c r="Q128" i="41"/>
  <c r="P128" i="41"/>
  <c r="O128" i="41"/>
  <c r="N128" i="41"/>
  <c r="M128" i="41"/>
  <c r="L128" i="41"/>
  <c r="K128" i="41"/>
  <c r="J128" i="41"/>
  <c r="I128" i="41"/>
  <c r="H128" i="41"/>
  <c r="G128" i="41"/>
  <c r="F128" i="41"/>
  <c r="E128" i="41"/>
  <c r="D128" i="41"/>
  <c r="C128" i="41"/>
  <c r="S127" i="41"/>
  <c r="R127" i="41"/>
  <c r="Q127" i="41"/>
  <c r="P127" i="41"/>
  <c r="O127" i="41"/>
  <c r="N127" i="41"/>
  <c r="M127" i="41"/>
  <c r="L127" i="41"/>
  <c r="K127" i="41"/>
  <c r="J127" i="41"/>
  <c r="I127" i="41"/>
  <c r="H127" i="41"/>
  <c r="G127" i="41"/>
  <c r="F127" i="41"/>
  <c r="E127" i="41"/>
  <c r="D127" i="41"/>
  <c r="C127" i="41"/>
  <c r="S126" i="41"/>
  <c r="R126" i="41"/>
  <c r="Q126" i="41"/>
  <c r="P126" i="41"/>
  <c r="O126" i="41"/>
  <c r="N126" i="41"/>
  <c r="M126" i="41"/>
  <c r="L126" i="41"/>
  <c r="K126" i="41"/>
  <c r="J126" i="41"/>
  <c r="I126" i="41"/>
  <c r="H126" i="41"/>
  <c r="G126" i="41"/>
  <c r="F126" i="41"/>
  <c r="E126" i="41"/>
  <c r="D126" i="41"/>
  <c r="C126" i="41"/>
  <c r="S118" i="41"/>
  <c r="R118" i="41"/>
  <c r="Q118" i="41"/>
  <c r="P118" i="41"/>
  <c r="O118" i="41"/>
  <c r="N118" i="41"/>
  <c r="M118" i="41"/>
  <c r="L118" i="41"/>
  <c r="K118" i="41"/>
  <c r="J118" i="41"/>
  <c r="I118" i="41"/>
  <c r="H118" i="41"/>
  <c r="G118" i="41"/>
  <c r="F118" i="41"/>
  <c r="E118" i="41"/>
  <c r="D118" i="41"/>
  <c r="C118" i="41"/>
  <c r="S117" i="41"/>
  <c r="R117" i="41"/>
  <c r="Q117" i="41"/>
  <c r="P117" i="41"/>
  <c r="O117" i="41"/>
  <c r="N117" i="41"/>
  <c r="M117" i="41"/>
  <c r="L117" i="41"/>
  <c r="K117" i="41"/>
  <c r="J117" i="41"/>
  <c r="I117" i="41"/>
  <c r="H117" i="41"/>
  <c r="G117" i="41"/>
  <c r="F117" i="41"/>
  <c r="E117" i="41"/>
  <c r="D117" i="41"/>
  <c r="C117" i="41"/>
  <c r="S116" i="41"/>
  <c r="R116" i="41"/>
  <c r="Q116" i="41"/>
  <c r="P116" i="41"/>
  <c r="O116" i="41"/>
  <c r="N116" i="41"/>
  <c r="M116" i="41"/>
  <c r="L116" i="41"/>
  <c r="K116" i="41"/>
  <c r="J116" i="41"/>
  <c r="I116" i="41"/>
  <c r="H116" i="41"/>
  <c r="G116" i="41"/>
  <c r="F116" i="41"/>
  <c r="E116" i="41"/>
  <c r="D116" i="41"/>
  <c r="C116" i="41"/>
  <c r="S115" i="41"/>
  <c r="R115" i="41"/>
  <c r="Q115" i="41"/>
  <c r="P115" i="41"/>
  <c r="O115" i="41"/>
  <c r="N115" i="41"/>
  <c r="M115" i="41"/>
  <c r="L115" i="41"/>
  <c r="K115" i="41"/>
  <c r="J115" i="41"/>
  <c r="I115" i="41"/>
  <c r="H115" i="41"/>
  <c r="G115" i="41"/>
  <c r="F115" i="41"/>
  <c r="E115" i="41"/>
  <c r="D115" i="41"/>
  <c r="C115" i="41"/>
  <c r="S114" i="41"/>
  <c r="R114" i="41"/>
  <c r="Q114" i="41"/>
  <c r="P114" i="41"/>
  <c r="O114" i="41"/>
  <c r="N114" i="41"/>
  <c r="M114" i="41"/>
  <c r="L114" i="41"/>
  <c r="K114" i="41"/>
  <c r="J114" i="41"/>
  <c r="I114" i="41"/>
  <c r="H114" i="41"/>
  <c r="G114" i="41"/>
  <c r="F114" i="41"/>
  <c r="E114" i="41"/>
  <c r="D114" i="41"/>
  <c r="C114" i="41"/>
  <c r="S113" i="41"/>
  <c r="R113" i="41"/>
  <c r="Q113" i="41"/>
  <c r="P113" i="41"/>
  <c r="O113" i="41"/>
  <c r="N113" i="41"/>
  <c r="M113" i="41"/>
  <c r="L113" i="41"/>
  <c r="K113" i="41"/>
  <c r="J113" i="41"/>
  <c r="I113" i="41"/>
  <c r="H113" i="41"/>
  <c r="G113" i="41"/>
  <c r="F113" i="41"/>
  <c r="E113" i="41"/>
  <c r="D113" i="41"/>
  <c r="C113" i="41"/>
  <c r="S112" i="41"/>
  <c r="R112" i="41"/>
  <c r="Q112" i="41"/>
  <c r="P112" i="41"/>
  <c r="O112" i="41"/>
  <c r="N112" i="41"/>
  <c r="M112" i="41"/>
  <c r="L112" i="41"/>
  <c r="K112" i="41"/>
  <c r="J112" i="41"/>
  <c r="I112" i="41"/>
  <c r="H112" i="41"/>
  <c r="G112" i="41"/>
  <c r="F112" i="41"/>
  <c r="E112" i="41"/>
  <c r="D112" i="41"/>
  <c r="C112" i="41"/>
  <c r="S111" i="41"/>
  <c r="R111" i="41"/>
  <c r="Q111" i="41"/>
  <c r="P111" i="41"/>
  <c r="O111" i="41"/>
  <c r="N111" i="41"/>
  <c r="M111" i="41"/>
  <c r="L111" i="41"/>
  <c r="K111" i="41"/>
  <c r="J111" i="41"/>
  <c r="I111" i="41"/>
  <c r="H111" i="41"/>
  <c r="G111" i="41"/>
  <c r="F111" i="41"/>
  <c r="E111" i="41"/>
  <c r="D111" i="41"/>
  <c r="C111" i="41"/>
  <c r="S110" i="41"/>
  <c r="R110" i="41"/>
  <c r="Q110" i="41"/>
  <c r="P110" i="41"/>
  <c r="O110" i="41"/>
  <c r="N110" i="41"/>
  <c r="M110" i="41"/>
  <c r="L110" i="41"/>
  <c r="K110" i="41"/>
  <c r="J110" i="41"/>
  <c r="I110" i="41"/>
  <c r="H110" i="41"/>
  <c r="G110" i="41"/>
  <c r="F110" i="41"/>
  <c r="E110" i="41"/>
  <c r="D110" i="41"/>
  <c r="C110" i="41"/>
  <c r="S109" i="41"/>
  <c r="R109" i="41"/>
  <c r="Q109" i="41"/>
  <c r="P109" i="41"/>
  <c r="O109" i="41"/>
  <c r="N109" i="41"/>
  <c r="M109" i="41"/>
  <c r="L109" i="41"/>
  <c r="K109" i="41"/>
  <c r="J109" i="41"/>
  <c r="I109" i="41"/>
  <c r="H109" i="41"/>
  <c r="G109" i="41"/>
  <c r="F109" i="41"/>
  <c r="E109" i="41"/>
  <c r="D109" i="41"/>
  <c r="C109" i="41"/>
  <c r="S108" i="41"/>
  <c r="R108" i="41"/>
  <c r="Q108" i="41"/>
  <c r="P108" i="41"/>
  <c r="O108" i="41"/>
  <c r="N108" i="41"/>
  <c r="M108" i="41"/>
  <c r="L108" i="41"/>
  <c r="K108" i="41"/>
  <c r="J108" i="41"/>
  <c r="I108" i="41"/>
  <c r="H108" i="41"/>
  <c r="G108" i="41"/>
  <c r="F108" i="41"/>
  <c r="E108" i="41"/>
  <c r="D108" i="41"/>
  <c r="C108" i="41"/>
  <c r="S107" i="41"/>
  <c r="R107" i="41"/>
  <c r="Q107" i="41"/>
  <c r="P107" i="41"/>
  <c r="O107" i="41"/>
  <c r="N107" i="41"/>
  <c r="M107" i="41"/>
  <c r="L107" i="41"/>
  <c r="K107" i="41"/>
  <c r="J107" i="41"/>
  <c r="I107" i="41"/>
  <c r="H107" i="41"/>
  <c r="G107" i="41"/>
  <c r="F107" i="41"/>
  <c r="E107" i="41"/>
  <c r="D107" i="41"/>
  <c r="C107" i="41"/>
  <c r="S106" i="41"/>
  <c r="R106" i="41"/>
  <c r="Q106" i="41"/>
  <c r="P106" i="41"/>
  <c r="O106" i="41"/>
  <c r="N106" i="41"/>
  <c r="M106" i="41"/>
  <c r="L106" i="41"/>
  <c r="K106" i="41"/>
  <c r="J106" i="41"/>
  <c r="I106" i="41"/>
  <c r="H106" i="41"/>
  <c r="G106" i="41"/>
  <c r="F106" i="41"/>
  <c r="E106" i="41"/>
  <c r="D106" i="41"/>
  <c r="C106" i="41"/>
  <c r="S98" i="41"/>
  <c r="R98" i="41"/>
  <c r="Q98" i="41"/>
  <c r="P98" i="41"/>
  <c r="O98" i="41"/>
  <c r="N98" i="41"/>
  <c r="M98" i="41"/>
  <c r="L98" i="41"/>
  <c r="K98" i="41"/>
  <c r="J98" i="41"/>
  <c r="I98" i="41"/>
  <c r="H98" i="41"/>
  <c r="G98" i="41"/>
  <c r="F98" i="41"/>
  <c r="E98" i="41"/>
  <c r="D98" i="41"/>
  <c r="C98" i="41"/>
  <c r="S97" i="41"/>
  <c r="R97" i="41"/>
  <c r="Q97" i="41"/>
  <c r="P97" i="41"/>
  <c r="O97" i="41"/>
  <c r="N97" i="41"/>
  <c r="M97" i="41"/>
  <c r="L97" i="41"/>
  <c r="K97" i="41"/>
  <c r="J97" i="41"/>
  <c r="I97" i="41"/>
  <c r="H97" i="41"/>
  <c r="G97" i="41"/>
  <c r="F97" i="41"/>
  <c r="E97" i="41"/>
  <c r="D97" i="41"/>
  <c r="C97" i="41"/>
  <c r="S96" i="41"/>
  <c r="R96" i="41"/>
  <c r="Q96" i="41"/>
  <c r="P96" i="41"/>
  <c r="O96" i="41"/>
  <c r="N96" i="41"/>
  <c r="M96" i="41"/>
  <c r="L96" i="41"/>
  <c r="K96" i="41"/>
  <c r="J96" i="41"/>
  <c r="I96" i="41"/>
  <c r="H96" i="41"/>
  <c r="G96" i="41"/>
  <c r="F96" i="41"/>
  <c r="E96" i="41"/>
  <c r="D96" i="41"/>
  <c r="C96" i="41"/>
  <c r="S95" i="41"/>
  <c r="R95" i="41"/>
  <c r="Q95" i="41"/>
  <c r="P95" i="41"/>
  <c r="O95" i="41"/>
  <c r="N95" i="41"/>
  <c r="M95" i="41"/>
  <c r="L95" i="41"/>
  <c r="K95" i="41"/>
  <c r="J95" i="41"/>
  <c r="I95" i="41"/>
  <c r="H95" i="41"/>
  <c r="G95" i="41"/>
  <c r="F95" i="41"/>
  <c r="E95" i="41"/>
  <c r="D95" i="41"/>
  <c r="C95" i="41"/>
  <c r="S94" i="41"/>
  <c r="R94" i="41"/>
  <c r="Q94" i="41"/>
  <c r="P94" i="41"/>
  <c r="O94" i="41"/>
  <c r="N94" i="41"/>
  <c r="M94" i="41"/>
  <c r="L94" i="41"/>
  <c r="K94" i="41"/>
  <c r="J94" i="41"/>
  <c r="I94" i="41"/>
  <c r="H94" i="41"/>
  <c r="G94" i="41"/>
  <c r="F94" i="41"/>
  <c r="E94" i="41"/>
  <c r="D94" i="41"/>
  <c r="C94" i="41"/>
  <c r="S93" i="41"/>
  <c r="R93" i="41"/>
  <c r="Q93" i="41"/>
  <c r="P93" i="41"/>
  <c r="O93" i="41"/>
  <c r="N93" i="41"/>
  <c r="M93" i="41"/>
  <c r="L93" i="41"/>
  <c r="K93" i="41"/>
  <c r="J93" i="41"/>
  <c r="I93" i="41"/>
  <c r="H93" i="41"/>
  <c r="G93" i="41"/>
  <c r="F93" i="41"/>
  <c r="E93" i="41"/>
  <c r="D93" i="41"/>
  <c r="C93" i="41"/>
  <c r="S92" i="41"/>
  <c r="R92" i="41"/>
  <c r="Q92" i="41"/>
  <c r="P92" i="41"/>
  <c r="O92" i="41"/>
  <c r="N92" i="41"/>
  <c r="M92" i="41"/>
  <c r="L92" i="41"/>
  <c r="K92" i="41"/>
  <c r="J92" i="41"/>
  <c r="I92" i="41"/>
  <c r="H92" i="41"/>
  <c r="G92" i="41"/>
  <c r="F92" i="41"/>
  <c r="E92" i="41"/>
  <c r="D92" i="41"/>
  <c r="C92" i="41"/>
  <c r="S91" i="41"/>
  <c r="R91" i="41"/>
  <c r="Q91" i="41"/>
  <c r="P91" i="41"/>
  <c r="O91" i="41"/>
  <c r="N91" i="41"/>
  <c r="M91" i="41"/>
  <c r="L91" i="41"/>
  <c r="K91" i="41"/>
  <c r="J91" i="41"/>
  <c r="I91" i="41"/>
  <c r="H91" i="41"/>
  <c r="G91" i="41"/>
  <c r="F91" i="41"/>
  <c r="E91" i="41"/>
  <c r="D91" i="41"/>
  <c r="C91" i="41"/>
  <c r="S90" i="41"/>
  <c r="R90" i="41"/>
  <c r="Q90" i="41"/>
  <c r="P90" i="41"/>
  <c r="O90" i="41"/>
  <c r="N90" i="41"/>
  <c r="M90" i="41"/>
  <c r="L90" i="41"/>
  <c r="K90" i="41"/>
  <c r="J90" i="41"/>
  <c r="I90" i="41"/>
  <c r="H90" i="41"/>
  <c r="G90" i="41"/>
  <c r="F90" i="41"/>
  <c r="E90" i="41"/>
  <c r="D90" i="41"/>
  <c r="C90" i="41"/>
  <c r="S89" i="41"/>
  <c r="R89" i="41"/>
  <c r="Q89" i="41"/>
  <c r="P89" i="41"/>
  <c r="O89" i="41"/>
  <c r="N89" i="41"/>
  <c r="M89" i="41"/>
  <c r="L89" i="41"/>
  <c r="K89" i="41"/>
  <c r="J89" i="41"/>
  <c r="I89" i="41"/>
  <c r="H89" i="41"/>
  <c r="G89" i="41"/>
  <c r="F89" i="41"/>
  <c r="E89" i="41"/>
  <c r="D89" i="41"/>
  <c r="C89" i="41"/>
  <c r="S88" i="41"/>
  <c r="R88" i="41"/>
  <c r="Q88" i="41"/>
  <c r="P88" i="41"/>
  <c r="O88" i="41"/>
  <c r="N88" i="41"/>
  <c r="M88" i="41"/>
  <c r="L88" i="41"/>
  <c r="K88" i="41"/>
  <c r="J88" i="41"/>
  <c r="I88" i="41"/>
  <c r="H88" i="41"/>
  <c r="G88" i="41"/>
  <c r="F88" i="41"/>
  <c r="E88" i="41"/>
  <c r="D88" i="41"/>
  <c r="C88" i="41"/>
  <c r="S87" i="41"/>
  <c r="R87" i="41"/>
  <c r="Q87" i="41"/>
  <c r="P87" i="41"/>
  <c r="O87" i="41"/>
  <c r="N87" i="41"/>
  <c r="M87" i="41"/>
  <c r="L87" i="41"/>
  <c r="K87" i="41"/>
  <c r="J87" i="41"/>
  <c r="I87" i="41"/>
  <c r="H87" i="41"/>
  <c r="G87" i="41"/>
  <c r="F87" i="41"/>
  <c r="E87" i="41"/>
  <c r="D87" i="41"/>
  <c r="C87" i="41"/>
  <c r="S86" i="41"/>
  <c r="R86" i="41"/>
  <c r="Q86" i="41"/>
  <c r="P86" i="41"/>
  <c r="O86" i="41"/>
  <c r="N86" i="41"/>
  <c r="M86" i="41"/>
  <c r="L86" i="41"/>
  <c r="K86" i="41"/>
  <c r="J86" i="41"/>
  <c r="I86" i="41"/>
  <c r="H86" i="41"/>
  <c r="G86" i="41"/>
  <c r="F86" i="41"/>
  <c r="E86" i="41"/>
  <c r="D86" i="41"/>
  <c r="C86" i="41"/>
  <c r="S78" i="41"/>
  <c r="R78" i="41"/>
  <c r="Q78" i="41"/>
  <c r="P78" i="41"/>
  <c r="O78" i="41"/>
  <c r="N78" i="41"/>
  <c r="M78" i="41"/>
  <c r="L78" i="41"/>
  <c r="K78" i="41"/>
  <c r="J78" i="41"/>
  <c r="I78" i="41"/>
  <c r="H78" i="41"/>
  <c r="G78" i="41"/>
  <c r="F78" i="41"/>
  <c r="E78" i="41"/>
  <c r="D78" i="41"/>
  <c r="C78" i="41"/>
  <c r="S77" i="41"/>
  <c r="R77" i="41"/>
  <c r="Q77" i="41"/>
  <c r="P77" i="41"/>
  <c r="O77" i="41"/>
  <c r="N77" i="41"/>
  <c r="M77" i="41"/>
  <c r="L77" i="41"/>
  <c r="K77" i="41"/>
  <c r="J77" i="41"/>
  <c r="I77" i="41"/>
  <c r="H77" i="41"/>
  <c r="G77" i="41"/>
  <c r="F77" i="41"/>
  <c r="E77" i="41"/>
  <c r="D77" i="41"/>
  <c r="C77" i="41"/>
  <c r="S76" i="41"/>
  <c r="R76" i="41"/>
  <c r="Q76" i="41"/>
  <c r="P76" i="41"/>
  <c r="O76" i="41"/>
  <c r="N76" i="41"/>
  <c r="M76" i="41"/>
  <c r="L76" i="41"/>
  <c r="K76" i="41"/>
  <c r="J76" i="41"/>
  <c r="I76" i="41"/>
  <c r="H76" i="41"/>
  <c r="G76" i="41"/>
  <c r="F76" i="41"/>
  <c r="E76" i="41"/>
  <c r="D76" i="41"/>
  <c r="C76" i="41"/>
  <c r="S75" i="41"/>
  <c r="R75" i="41"/>
  <c r="Q75" i="41"/>
  <c r="P75" i="41"/>
  <c r="O75" i="41"/>
  <c r="N75" i="41"/>
  <c r="M75" i="41"/>
  <c r="L75" i="41"/>
  <c r="K75" i="41"/>
  <c r="J75" i="41"/>
  <c r="I75" i="41"/>
  <c r="H75" i="41"/>
  <c r="G75" i="41"/>
  <c r="F75" i="41"/>
  <c r="E75" i="41"/>
  <c r="D75" i="41"/>
  <c r="C75" i="41"/>
  <c r="S74" i="41"/>
  <c r="R74" i="41"/>
  <c r="Q74" i="41"/>
  <c r="P74" i="41"/>
  <c r="O74" i="41"/>
  <c r="N74" i="41"/>
  <c r="M74" i="41"/>
  <c r="L74" i="41"/>
  <c r="K74" i="41"/>
  <c r="J74" i="41"/>
  <c r="I74" i="41"/>
  <c r="H74" i="41"/>
  <c r="G74" i="41"/>
  <c r="F74" i="41"/>
  <c r="E74" i="41"/>
  <c r="D74" i="41"/>
  <c r="C74" i="41"/>
  <c r="S73" i="41"/>
  <c r="R73" i="41"/>
  <c r="Q73" i="41"/>
  <c r="P73" i="41"/>
  <c r="O73" i="41"/>
  <c r="N73" i="41"/>
  <c r="M73" i="41"/>
  <c r="L73" i="41"/>
  <c r="K73" i="41"/>
  <c r="J73" i="41"/>
  <c r="I73" i="41"/>
  <c r="H73" i="41"/>
  <c r="G73" i="41"/>
  <c r="F73" i="41"/>
  <c r="E73" i="41"/>
  <c r="D73" i="41"/>
  <c r="C73" i="41"/>
  <c r="S72" i="41"/>
  <c r="R72" i="41"/>
  <c r="Q72" i="41"/>
  <c r="P72" i="41"/>
  <c r="O72" i="41"/>
  <c r="N72" i="41"/>
  <c r="M72" i="41"/>
  <c r="L72" i="41"/>
  <c r="K72" i="41"/>
  <c r="J72" i="41"/>
  <c r="I72" i="41"/>
  <c r="H72" i="41"/>
  <c r="G72" i="41"/>
  <c r="F72" i="41"/>
  <c r="E72" i="41"/>
  <c r="D72" i="41"/>
  <c r="C72" i="41"/>
  <c r="S71" i="41"/>
  <c r="R71" i="41"/>
  <c r="Q71" i="41"/>
  <c r="P71" i="41"/>
  <c r="O71" i="41"/>
  <c r="N71" i="41"/>
  <c r="M71" i="41"/>
  <c r="L71" i="41"/>
  <c r="K71" i="41"/>
  <c r="J71" i="41"/>
  <c r="I71" i="41"/>
  <c r="H71" i="41"/>
  <c r="G71" i="41"/>
  <c r="F71" i="41"/>
  <c r="E71" i="41"/>
  <c r="D71" i="41"/>
  <c r="C71" i="41"/>
  <c r="S70" i="41"/>
  <c r="R70" i="41"/>
  <c r="Q70" i="41"/>
  <c r="P70" i="41"/>
  <c r="O70" i="41"/>
  <c r="N70" i="41"/>
  <c r="M70" i="41"/>
  <c r="L70" i="41"/>
  <c r="K70" i="41"/>
  <c r="J70" i="41"/>
  <c r="I70" i="41"/>
  <c r="H70" i="41"/>
  <c r="G70" i="41"/>
  <c r="F70" i="41"/>
  <c r="E70" i="41"/>
  <c r="D70" i="41"/>
  <c r="C70" i="41"/>
  <c r="S69" i="41"/>
  <c r="R69" i="41"/>
  <c r="Q69" i="41"/>
  <c r="P69" i="41"/>
  <c r="O69" i="41"/>
  <c r="N69" i="41"/>
  <c r="M69" i="41"/>
  <c r="L69" i="41"/>
  <c r="K69" i="41"/>
  <c r="J69" i="41"/>
  <c r="I69" i="41"/>
  <c r="H69" i="41"/>
  <c r="G69" i="41"/>
  <c r="F69" i="41"/>
  <c r="E69" i="41"/>
  <c r="D69" i="41"/>
  <c r="C69" i="41"/>
  <c r="S68" i="41"/>
  <c r="R68" i="41"/>
  <c r="Q68" i="41"/>
  <c r="P68" i="41"/>
  <c r="O68" i="41"/>
  <c r="N68" i="41"/>
  <c r="M68" i="41"/>
  <c r="L68" i="41"/>
  <c r="K68" i="41"/>
  <c r="J68" i="41"/>
  <c r="I68" i="41"/>
  <c r="H68" i="41"/>
  <c r="G68" i="41"/>
  <c r="F68" i="41"/>
  <c r="E68" i="41"/>
  <c r="D68" i="41"/>
  <c r="C68" i="41"/>
  <c r="S67" i="41"/>
  <c r="R67" i="41"/>
  <c r="Q67" i="41"/>
  <c r="P67" i="41"/>
  <c r="O67" i="41"/>
  <c r="N67" i="41"/>
  <c r="M67" i="41"/>
  <c r="L67" i="41"/>
  <c r="K67" i="41"/>
  <c r="J67" i="41"/>
  <c r="I67" i="41"/>
  <c r="H67" i="41"/>
  <c r="G67" i="41"/>
  <c r="F67" i="41"/>
  <c r="E67" i="41"/>
  <c r="D67" i="41"/>
  <c r="C67" i="41"/>
  <c r="S66" i="41"/>
  <c r="R66" i="41"/>
  <c r="Q66" i="41"/>
  <c r="P66" i="41"/>
  <c r="O66" i="41"/>
  <c r="N66" i="41"/>
  <c r="M66" i="41"/>
  <c r="L66" i="41"/>
  <c r="K66" i="41"/>
  <c r="J66" i="41"/>
  <c r="I66" i="41"/>
  <c r="H66" i="41"/>
  <c r="G66" i="41"/>
  <c r="F66" i="41"/>
  <c r="E66" i="41"/>
  <c r="D66" i="41"/>
  <c r="C66" i="41"/>
  <c r="S58" i="41"/>
  <c r="R58" i="41"/>
  <c r="Q58" i="41"/>
  <c r="P58" i="41"/>
  <c r="O58" i="41"/>
  <c r="N58" i="41"/>
  <c r="M58" i="41"/>
  <c r="L58" i="41"/>
  <c r="K58" i="41"/>
  <c r="J58" i="41"/>
  <c r="I58" i="41"/>
  <c r="H58" i="41"/>
  <c r="G58" i="41"/>
  <c r="F58" i="41"/>
  <c r="E58" i="41"/>
  <c r="D58" i="41"/>
  <c r="C58" i="41"/>
  <c r="S57" i="41"/>
  <c r="R57" i="41"/>
  <c r="Q57" i="41"/>
  <c r="P57" i="41"/>
  <c r="O57" i="41"/>
  <c r="N57" i="41"/>
  <c r="M57" i="41"/>
  <c r="L57" i="41"/>
  <c r="K57" i="41"/>
  <c r="J57" i="41"/>
  <c r="I57" i="41"/>
  <c r="H57" i="41"/>
  <c r="G57" i="41"/>
  <c r="F57" i="41"/>
  <c r="E57" i="41"/>
  <c r="D57" i="41"/>
  <c r="C57" i="41"/>
  <c r="S56" i="41"/>
  <c r="R56" i="41"/>
  <c r="Q56" i="41"/>
  <c r="P56" i="41"/>
  <c r="O56" i="41"/>
  <c r="N56" i="41"/>
  <c r="M56" i="41"/>
  <c r="L56" i="41"/>
  <c r="K56" i="41"/>
  <c r="J56" i="41"/>
  <c r="I56" i="41"/>
  <c r="H56" i="41"/>
  <c r="G56" i="41"/>
  <c r="F56" i="41"/>
  <c r="E56" i="41"/>
  <c r="D56" i="41"/>
  <c r="C56" i="41"/>
  <c r="S55" i="41"/>
  <c r="R55" i="41"/>
  <c r="Q55" i="41"/>
  <c r="P55" i="41"/>
  <c r="O55" i="41"/>
  <c r="N55" i="41"/>
  <c r="M55" i="41"/>
  <c r="L55" i="41"/>
  <c r="K55" i="41"/>
  <c r="J55" i="41"/>
  <c r="I55" i="41"/>
  <c r="H55" i="41"/>
  <c r="G55" i="41"/>
  <c r="F55" i="41"/>
  <c r="E55" i="41"/>
  <c r="D55" i="41"/>
  <c r="C55" i="41"/>
  <c r="S54" i="41"/>
  <c r="R54" i="41"/>
  <c r="Q54" i="41"/>
  <c r="P54" i="41"/>
  <c r="O54" i="41"/>
  <c r="N54" i="41"/>
  <c r="M54" i="41"/>
  <c r="L54" i="41"/>
  <c r="K54" i="41"/>
  <c r="J54" i="41"/>
  <c r="I54" i="41"/>
  <c r="H54" i="41"/>
  <c r="G54" i="41"/>
  <c r="F54" i="41"/>
  <c r="E54" i="41"/>
  <c r="D54" i="41"/>
  <c r="C54" i="41"/>
  <c r="S53" i="41"/>
  <c r="R53" i="41"/>
  <c r="Q53" i="41"/>
  <c r="P53" i="41"/>
  <c r="O53" i="41"/>
  <c r="N53" i="41"/>
  <c r="M53" i="41"/>
  <c r="L53" i="41"/>
  <c r="K53" i="41"/>
  <c r="J53" i="41"/>
  <c r="I53" i="41"/>
  <c r="H53" i="41"/>
  <c r="G53" i="41"/>
  <c r="F53" i="41"/>
  <c r="E53" i="41"/>
  <c r="D53" i="41"/>
  <c r="C53" i="41"/>
  <c r="S52" i="41"/>
  <c r="R52" i="41"/>
  <c r="Q52" i="41"/>
  <c r="P52" i="41"/>
  <c r="O52" i="41"/>
  <c r="N52" i="41"/>
  <c r="M52" i="41"/>
  <c r="L52" i="41"/>
  <c r="K52" i="41"/>
  <c r="J52" i="41"/>
  <c r="I52" i="41"/>
  <c r="H52" i="41"/>
  <c r="G52" i="41"/>
  <c r="F52" i="41"/>
  <c r="E52" i="41"/>
  <c r="D52" i="41"/>
  <c r="C52" i="41"/>
  <c r="S51" i="41"/>
  <c r="R51" i="41"/>
  <c r="Q51" i="41"/>
  <c r="P51" i="41"/>
  <c r="O51" i="41"/>
  <c r="N51" i="41"/>
  <c r="M51" i="41"/>
  <c r="L51" i="41"/>
  <c r="K51" i="41"/>
  <c r="J51" i="41"/>
  <c r="I51" i="41"/>
  <c r="H51" i="41"/>
  <c r="G51" i="41"/>
  <c r="F51" i="41"/>
  <c r="E51" i="41"/>
  <c r="D51" i="41"/>
  <c r="C51" i="41"/>
  <c r="S50" i="41"/>
  <c r="R50" i="41"/>
  <c r="Q50" i="41"/>
  <c r="P50" i="41"/>
  <c r="O50" i="41"/>
  <c r="N50" i="41"/>
  <c r="M50" i="41"/>
  <c r="L50" i="41"/>
  <c r="K50" i="41"/>
  <c r="J50" i="41"/>
  <c r="I50" i="41"/>
  <c r="H50" i="41"/>
  <c r="G50" i="41"/>
  <c r="F50" i="41"/>
  <c r="E50" i="41"/>
  <c r="D50" i="41"/>
  <c r="C50" i="41"/>
  <c r="S49" i="41"/>
  <c r="R49" i="41"/>
  <c r="Q49" i="41"/>
  <c r="P49" i="41"/>
  <c r="O49" i="41"/>
  <c r="N49" i="41"/>
  <c r="M49" i="41"/>
  <c r="L49" i="41"/>
  <c r="K49" i="41"/>
  <c r="J49" i="41"/>
  <c r="I49" i="41"/>
  <c r="H49" i="41"/>
  <c r="G49" i="41"/>
  <c r="F49" i="41"/>
  <c r="E49" i="41"/>
  <c r="D49" i="41"/>
  <c r="C49" i="41"/>
  <c r="S48" i="41"/>
  <c r="R48" i="41"/>
  <c r="Q48" i="41"/>
  <c r="P48" i="41"/>
  <c r="O48" i="41"/>
  <c r="N48" i="41"/>
  <c r="M48" i="41"/>
  <c r="L48" i="41"/>
  <c r="K48" i="41"/>
  <c r="J48" i="41"/>
  <c r="I48" i="41"/>
  <c r="H48" i="41"/>
  <c r="G48" i="41"/>
  <c r="F48" i="41"/>
  <c r="E48" i="41"/>
  <c r="D48" i="41"/>
  <c r="C48" i="41"/>
  <c r="S47" i="41"/>
  <c r="R47" i="41"/>
  <c r="Q47" i="41"/>
  <c r="P47" i="41"/>
  <c r="O47" i="41"/>
  <c r="N47" i="41"/>
  <c r="M47" i="41"/>
  <c r="L47" i="41"/>
  <c r="K47" i="41"/>
  <c r="J47" i="41"/>
  <c r="I47" i="41"/>
  <c r="H47" i="41"/>
  <c r="G47" i="41"/>
  <c r="F47" i="41"/>
  <c r="E47" i="41"/>
  <c r="D47" i="41"/>
  <c r="C47" i="41"/>
  <c r="S46" i="41"/>
  <c r="R46" i="41"/>
  <c r="Q46" i="41"/>
  <c r="P46" i="41"/>
  <c r="O46" i="41"/>
  <c r="N46" i="41"/>
  <c r="M46" i="41"/>
  <c r="L46" i="41"/>
  <c r="K46" i="41"/>
  <c r="J46" i="41"/>
  <c r="I46" i="41"/>
  <c r="H46" i="41"/>
  <c r="G46" i="41"/>
  <c r="F46" i="41"/>
  <c r="E46" i="41"/>
  <c r="D46" i="41"/>
  <c r="C46" i="41"/>
  <c r="S38" i="41"/>
  <c r="R38" i="41"/>
  <c r="Q38" i="41"/>
  <c r="P38" i="41"/>
  <c r="O38" i="41"/>
  <c r="N38" i="41"/>
  <c r="M38" i="41"/>
  <c r="L38" i="41"/>
  <c r="K38" i="41"/>
  <c r="J38" i="41"/>
  <c r="I38" i="41"/>
  <c r="H38" i="41"/>
  <c r="G38" i="41"/>
  <c r="F38" i="41"/>
  <c r="E38" i="41"/>
  <c r="D38" i="41"/>
  <c r="C38" i="41"/>
  <c r="S37" i="41"/>
  <c r="R37" i="41"/>
  <c r="Q37" i="41"/>
  <c r="P37" i="41"/>
  <c r="O37" i="41"/>
  <c r="N37" i="41"/>
  <c r="M37" i="41"/>
  <c r="L37" i="41"/>
  <c r="K37" i="41"/>
  <c r="J37" i="41"/>
  <c r="I37" i="41"/>
  <c r="H37" i="41"/>
  <c r="G37" i="41"/>
  <c r="F37" i="41"/>
  <c r="E37" i="41"/>
  <c r="D37" i="41"/>
  <c r="C37" i="41"/>
  <c r="S36" i="41"/>
  <c r="R36" i="41"/>
  <c r="Q36" i="41"/>
  <c r="P36" i="41"/>
  <c r="O36" i="41"/>
  <c r="N36" i="41"/>
  <c r="M36" i="41"/>
  <c r="L36" i="41"/>
  <c r="K36" i="41"/>
  <c r="J36" i="41"/>
  <c r="I36" i="41"/>
  <c r="H36" i="41"/>
  <c r="G36" i="41"/>
  <c r="F36" i="41"/>
  <c r="E36" i="41"/>
  <c r="D36" i="41"/>
  <c r="C36" i="41"/>
  <c r="S35" i="41"/>
  <c r="R35" i="41"/>
  <c r="Q35" i="41"/>
  <c r="P35" i="41"/>
  <c r="O35" i="41"/>
  <c r="N35" i="41"/>
  <c r="M35" i="41"/>
  <c r="L35" i="41"/>
  <c r="K35" i="41"/>
  <c r="J35" i="41"/>
  <c r="I35" i="41"/>
  <c r="H35" i="41"/>
  <c r="G35" i="41"/>
  <c r="F35" i="41"/>
  <c r="E35" i="41"/>
  <c r="D35" i="41"/>
  <c r="C35" i="41"/>
  <c r="S34" i="41"/>
  <c r="R34" i="41"/>
  <c r="Q34" i="41"/>
  <c r="P34" i="41"/>
  <c r="O34" i="41"/>
  <c r="N34" i="41"/>
  <c r="M34" i="41"/>
  <c r="L34" i="41"/>
  <c r="K34" i="41"/>
  <c r="J34" i="41"/>
  <c r="I34" i="41"/>
  <c r="H34" i="41"/>
  <c r="G34" i="41"/>
  <c r="F34" i="41"/>
  <c r="E34" i="41"/>
  <c r="D34" i="41"/>
  <c r="C34" i="41"/>
  <c r="S33" i="41"/>
  <c r="R33" i="41"/>
  <c r="Q33" i="41"/>
  <c r="P33" i="41"/>
  <c r="O33" i="41"/>
  <c r="N33" i="41"/>
  <c r="M33" i="41"/>
  <c r="L33" i="41"/>
  <c r="K33" i="41"/>
  <c r="J33" i="41"/>
  <c r="I33" i="41"/>
  <c r="H33" i="41"/>
  <c r="G33" i="41"/>
  <c r="F33" i="41"/>
  <c r="E33" i="41"/>
  <c r="D33" i="41"/>
  <c r="C33" i="41"/>
  <c r="S32" i="41"/>
  <c r="R32" i="41"/>
  <c r="Q32" i="41"/>
  <c r="P32" i="41"/>
  <c r="O32" i="41"/>
  <c r="N32" i="41"/>
  <c r="M32" i="41"/>
  <c r="L32" i="41"/>
  <c r="K32" i="41"/>
  <c r="J32" i="41"/>
  <c r="I32" i="41"/>
  <c r="H32" i="41"/>
  <c r="G32" i="41"/>
  <c r="F32" i="41"/>
  <c r="E32" i="41"/>
  <c r="D32" i="41"/>
  <c r="C32" i="41"/>
  <c r="S31" i="41"/>
  <c r="R31" i="41"/>
  <c r="Q31" i="41"/>
  <c r="P31" i="41"/>
  <c r="O31" i="41"/>
  <c r="N31" i="41"/>
  <c r="M31" i="41"/>
  <c r="L31" i="41"/>
  <c r="K31" i="41"/>
  <c r="J31" i="41"/>
  <c r="I31" i="41"/>
  <c r="H31" i="41"/>
  <c r="G31" i="41"/>
  <c r="F31" i="41"/>
  <c r="E31" i="41"/>
  <c r="D31" i="41"/>
  <c r="C31" i="41"/>
  <c r="S30" i="41"/>
  <c r="R30" i="41"/>
  <c r="Q30" i="41"/>
  <c r="P30" i="41"/>
  <c r="O30" i="41"/>
  <c r="N30" i="41"/>
  <c r="M30" i="41"/>
  <c r="L30" i="41"/>
  <c r="K30" i="41"/>
  <c r="J30" i="41"/>
  <c r="I30" i="41"/>
  <c r="H30" i="41"/>
  <c r="G30" i="41"/>
  <c r="F30" i="41"/>
  <c r="E30" i="41"/>
  <c r="D30" i="41"/>
  <c r="C30" i="41"/>
  <c r="S29" i="41"/>
  <c r="R29" i="41"/>
  <c r="Q29" i="41"/>
  <c r="P29" i="41"/>
  <c r="O29" i="41"/>
  <c r="N29" i="41"/>
  <c r="M29" i="41"/>
  <c r="L29" i="41"/>
  <c r="K29" i="41"/>
  <c r="J29" i="41"/>
  <c r="I29" i="41"/>
  <c r="H29" i="41"/>
  <c r="G29" i="41"/>
  <c r="F29" i="41"/>
  <c r="E29" i="41"/>
  <c r="D29" i="41"/>
  <c r="C29" i="41"/>
  <c r="S28" i="41"/>
  <c r="R28" i="41"/>
  <c r="Q28" i="41"/>
  <c r="P28" i="41"/>
  <c r="O28" i="41"/>
  <c r="N28" i="41"/>
  <c r="M28" i="41"/>
  <c r="L28" i="41"/>
  <c r="K28" i="41"/>
  <c r="J28" i="41"/>
  <c r="I28" i="41"/>
  <c r="H28" i="41"/>
  <c r="G28" i="41"/>
  <c r="F28" i="41"/>
  <c r="E28" i="41"/>
  <c r="D28" i="41"/>
  <c r="C28" i="41"/>
  <c r="S27" i="41"/>
  <c r="R27" i="41"/>
  <c r="Q27" i="41"/>
  <c r="P27" i="41"/>
  <c r="O27" i="41"/>
  <c r="N27" i="41"/>
  <c r="M27" i="41"/>
  <c r="L27" i="41"/>
  <c r="K27" i="41"/>
  <c r="J27" i="41"/>
  <c r="I27" i="41"/>
  <c r="H27" i="41"/>
  <c r="G27" i="41"/>
  <c r="F27" i="41"/>
  <c r="E27" i="41"/>
  <c r="D27" i="41"/>
  <c r="C27" i="41"/>
  <c r="S26" i="41"/>
  <c r="R26" i="41"/>
  <c r="Q26" i="41"/>
  <c r="P26" i="41"/>
  <c r="O26" i="41"/>
  <c r="N26" i="41"/>
  <c r="M26" i="41"/>
  <c r="L26" i="41"/>
  <c r="K26" i="41"/>
  <c r="J26" i="41"/>
  <c r="I26" i="41"/>
  <c r="H26" i="41"/>
  <c r="G26" i="41"/>
  <c r="F26" i="41"/>
  <c r="E26" i="41"/>
  <c r="D26" i="41"/>
  <c r="C26" i="41"/>
  <c r="S18" i="41"/>
  <c r="R18" i="41"/>
  <c r="Q18" i="41"/>
  <c r="P18" i="41"/>
  <c r="O18" i="41"/>
  <c r="N18" i="41"/>
  <c r="M18" i="41"/>
  <c r="L18" i="41"/>
  <c r="K18" i="41"/>
  <c r="J18" i="41"/>
  <c r="I18" i="41"/>
  <c r="H18" i="41"/>
  <c r="G18" i="41"/>
  <c r="F18" i="41"/>
  <c r="E18" i="41"/>
  <c r="D18" i="41"/>
  <c r="C18" i="41"/>
  <c r="S17" i="41"/>
  <c r="R17" i="41"/>
  <c r="Q17" i="41"/>
  <c r="P17" i="41"/>
  <c r="O17" i="41"/>
  <c r="N17" i="41"/>
  <c r="M17" i="41"/>
  <c r="L17" i="41"/>
  <c r="K17" i="41"/>
  <c r="J17" i="41"/>
  <c r="I17" i="41"/>
  <c r="H17" i="41"/>
  <c r="G17" i="41"/>
  <c r="F17" i="41"/>
  <c r="E17" i="41"/>
  <c r="D17" i="41"/>
  <c r="C17" i="41"/>
  <c r="S16" i="41"/>
  <c r="R16" i="41"/>
  <c r="Q16" i="41"/>
  <c r="P16" i="41"/>
  <c r="O16" i="41"/>
  <c r="N16" i="41"/>
  <c r="M16" i="41"/>
  <c r="L16" i="41"/>
  <c r="K16" i="41"/>
  <c r="J16" i="41"/>
  <c r="I16" i="41"/>
  <c r="H16" i="41"/>
  <c r="G16" i="41"/>
  <c r="F16" i="41"/>
  <c r="E16" i="41"/>
  <c r="D16" i="41"/>
  <c r="C16" i="41"/>
  <c r="S15" i="41"/>
  <c r="R15" i="41"/>
  <c r="Q15" i="41"/>
  <c r="P15" i="41"/>
  <c r="O15" i="41"/>
  <c r="N15" i="41"/>
  <c r="M15" i="41"/>
  <c r="L15" i="41"/>
  <c r="K15" i="41"/>
  <c r="J15" i="41"/>
  <c r="I15" i="41"/>
  <c r="H15" i="41"/>
  <c r="G15" i="41"/>
  <c r="F15" i="41"/>
  <c r="E15" i="41"/>
  <c r="D15" i="41"/>
  <c r="C15" i="41"/>
  <c r="S14" i="41"/>
  <c r="R14" i="41"/>
  <c r="Q14" i="41"/>
  <c r="P14" i="41"/>
  <c r="O14" i="41"/>
  <c r="N14" i="41"/>
  <c r="M14" i="41"/>
  <c r="L14" i="41"/>
  <c r="K14" i="41"/>
  <c r="J14" i="41"/>
  <c r="I14" i="41"/>
  <c r="H14" i="41"/>
  <c r="G14" i="41"/>
  <c r="F14" i="41"/>
  <c r="E14" i="41"/>
  <c r="D14" i="41"/>
  <c r="C14" i="41"/>
  <c r="S13" i="41"/>
  <c r="R13" i="41"/>
  <c r="Q13" i="41"/>
  <c r="P13" i="41"/>
  <c r="O13" i="41"/>
  <c r="N13" i="41"/>
  <c r="M13" i="41"/>
  <c r="L13" i="41"/>
  <c r="K13" i="41"/>
  <c r="J13" i="41"/>
  <c r="I13" i="41"/>
  <c r="H13" i="41"/>
  <c r="G13" i="41"/>
  <c r="F13" i="41"/>
  <c r="E13" i="41"/>
  <c r="D13" i="41"/>
  <c r="C13" i="41"/>
  <c r="S12" i="41"/>
  <c r="R12" i="41"/>
  <c r="Q12" i="41"/>
  <c r="P12" i="41"/>
  <c r="O12" i="41"/>
  <c r="N12" i="41"/>
  <c r="M12" i="41"/>
  <c r="L12" i="41"/>
  <c r="K12" i="41"/>
  <c r="J12" i="41"/>
  <c r="I12" i="41"/>
  <c r="H12" i="41"/>
  <c r="G12" i="41"/>
  <c r="F12" i="41"/>
  <c r="E12" i="41"/>
  <c r="D12" i="41"/>
  <c r="C12" i="41"/>
  <c r="S11" i="41"/>
  <c r="R11" i="41"/>
  <c r="Q11" i="41"/>
  <c r="P11" i="41"/>
  <c r="O11" i="41"/>
  <c r="N11" i="41"/>
  <c r="M11" i="41"/>
  <c r="L11" i="41"/>
  <c r="K11" i="41"/>
  <c r="J11" i="41"/>
  <c r="I11" i="41"/>
  <c r="H11" i="41"/>
  <c r="G11" i="41"/>
  <c r="F11" i="41"/>
  <c r="E11" i="41"/>
  <c r="D11" i="41"/>
  <c r="C11" i="41"/>
  <c r="S10" i="41"/>
  <c r="R10" i="41"/>
  <c r="Q10" i="41"/>
  <c r="P10" i="41"/>
  <c r="O10" i="41"/>
  <c r="N10" i="41"/>
  <c r="M10" i="41"/>
  <c r="L10" i="41"/>
  <c r="K10" i="41"/>
  <c r="J10" i="41"/>
  <c r="I10" i="41"/>
  <c r="H10" i="41"/>
  <c r="G10" i="41"/>
  <c r="F10" i="41"/>
  <c r="E10" i="41"/>
  <c r="D10" i="41"/>
  <c r="C10" i="41"/>
  <c r="S9" i="41"/>
  <c r="R9" i="41"/>
  <c r="Q9" i="41"/>
  <c r="P9" i="41"/>
  <c r="O9" i="41"/>
  <c r="N9" i="41"/>
  <c r="M9" i="41"/>
  <c r="L9" i="41"/>
  <c r="K9" i="41"/>
  <c r="J9" i="41"/>
  <c r="I9" i="41"/>
  <c r="H9" i="41"/>
  <c r="G9" i="41"/>
  <c r="F9" i="41"/>
  <c r="E9" i="41"/>
  <c r="D9" i="41"/>
  <c r="C9" i="41"/>
  <c r="S8" i="41"/>
  <c r="R8" i="41"/>
  <c r="Q8" i="41"/>
  <c r="P8" i="41"/>
  <c r="O8" i="41"/>
  <c r="N8" i="41"/>
  <c r="M8" i="41"/>
  <c r="L8" i="41"/>
  <c r="K8" i="41"/>
  <c r="J8" i="41"/>
  <c r="I8" i="41"/>
  <c r="H8" i="41"/>
  <c r="G8" i="41"/>
  <c r="F8" i="41"/>
  <c r="E8" i="41"/>
  <c r="D8" i="41"/>
  <c r="C8" i="41"/>
  <c r="S7" i="41"/>
  <c r="R7" i="41"/>
  <c r="Q7" i="41"/>
  <c r="P7" i="41"/>
  <c r="O7" i="41"/>
  <c r="N7" i="41"/>
  <c r="M7" i="41"/>
  <c r="L7" i="41"/>
  <c r="K7" i="41"/>
  <c r="J7" i="41"/>
  <c r="I7" i="41"/>
  <c r="H7" i="41"/>
  <c r="G7" i="41"/>
  <c r="F7" i="41"/>
  <c r="E7" i="41"/>
  <c r="D7" i="41"/>
  <c r="C7" i="41"/>
  <c r="S6" i="41"/>
  <c r="R6" i="41"/>
  <c r="Q6" i="41"/>
  <c r="P6" i="41"/>
  <c r="O6" i="41"/>
  <c r="N6" i="41"/>
  <c r="M6" i="41"/>
  <c r="L6" i="41"/>
  <c r="K6" i="41"/>
  <c r="J6" i="41"/>
  <c r="I6" i="41"/>
  <c r="H6" i="41"/>
  <c r="G6" i="41"/>
  <c r="F6" i="41"/>
  <c r="E6" i="41"/>
  <c r="D6" i="41"/>
  <c r="C6" i="41"/>
  <c r="R25" i="40"/>
  <c r="R45" i="40" s="1"/>
  <c r="R65" i="40" s="1"/>
  <c r="R85" i="40" s="1"/>
  <c r="R105" i="40" s="1"/>
  <c r="R125" i="40" s="1"/>
  <c r="Q25" i="40"/>
  <c r="Q45" i="40" s="1"/>
  <c r="Q65" i="40" s="1"/>
  <c r="Q85" i="40" s="1"/>
  <c r="Q105" i="40" s="1"/>
  <c r="Q125" i="40" s="1"/>
  <c r="P25" i="40"/>
  <c r="P45" i="40" s="1"/>
  <c r="P65" i="40" s="1"/>
  <c r="P85" i="40" s="1"/>
  <c r="P105" i="40" s="1"/>
  <c r="P125" i="40" s="1"/>
  <c r="O25" i="40"/>
  <c r="O45" i="40" s="1"/>
  <c r="O65" i="40" s="1"/>
  <c r="O85" i="40" s="1"/>
  <c r="O105" i="40" s="1"/>
  <c r="O125" i="40" s="1"/>
  <c r="N25" i="40"/>
  <c r="N45" i="40" s="1"/>
  <c r="N65" i="40" s="1"/>
  <c r="N85" i="40" s="1"/>
  <c r="N105" i="40" s="1"/>
  <c r="N125" i="40" s="1"/>
  <c r="M25" i="40"/>
  <c r="M45" i="40" s="1"/>
  <c r="M65" i="40" s="1"/>
  <c r="M85" i="40" s="1"/>
  <c r="M105" i="40" s="1"/>
  <c r="M125" i="40" s="1"/>
  <c r="L25" i="40"/>
  <c r="L45" i="40" s="1"/>
  <c r="L65" i="40" s="1"/>
  <c r="L85" i="40" s="1"/>
  <c r="L105" i="40" s="1"/>
  <c r="L125" i="40" s="1"/>
  <c r="K25" i="40"/>
  <c r="K45" i="40" s="1"/>
  <c r="K65" i="40" s="1"/>
  <c r="K85" i="40" s="1"/>
  <c r="K105" i="40" s="1"/>
  <c r="K125" i="40" s="1"/>
  <c r="J25" i="40"/>
  <c r="J45" i="40" s="1"/>
  <c r="J65" i="40" s="1"/>
  <c r="J85" i="40" s="1"/>
  <c r="J105" i="40" s="1"/>
  <c r="J125" i="40" s="1"/>
  <c r="I25" i="40"/>
  <c r="I45" i="40" s="1"/>
  <c r="I65" i="40" s="1"/>
  <c r="I85" i="40" s="1"/>
  <c r="I105" i="40" s="1"/>
  <c r="I125" i="40" s="1"/>
  <c r="H25" i="40"/>
  <c r="H45" i="40" s="1"/>
  <c r="H65" i="40" s="1"/>
  <c r="H85" i="40" s="1"/>
  <c r="H105" i="40" s="1"/>
  <c r="H125" i="40" s="1"/>
  <c r="G25" i="40"/>
  <c r="G45" i="40" s="1"/>
  <c r="G65" i="40" s="1"/>
  <c r="G85" i="40" s="1"/>
  <c r="G105" i="40" s="1"/>
  <c r="G125" i="40" s="1"/>
  <c r="F25" i="40"/>
  <c r="F45" i="40" s="1"/>
  <c r="F65" i="40" s="1"/>
  <c r="F85" i="40" s="1"/>
  <c r="F105" i="40" s="1"/>
  <c r="F125" i="40" s="1"/>
  <c r="E25" i="40"/>
  <c r="E45" i="40" s="1"/>
  <c r="E65" i="40" s="1"/>
  <c r="E85" i="40" s="1"/>
  <c r="E105" i="40" s="1"/>
  <c r="E125" i="40" s="1"/>
  <c r="D25" i="40"/>
  <c r="D45" i="40" s="1"/>
  <c r="D65" i="40" s="1"/>
  <c r="D85" i="40" s="1"/>
  <c r="D105" i="40" s="1"/>
  <c r="D125" i="40" s="1"/>
  <c r="C25" i="40"/>
  <c r="C45" i="40" s="1"/>
  <c r="C65" i="40" s="1"/>
  <c r="C85" i="40" s="1"/>
  <c r="C105" i="40" s="1"/>
  <c r="C125" i="40" s="1"/>
  <c r="J20" i="41" l="1"/>
  <c r="E39" i="41"/>
  <c r="E40" i="41" s="1"/>
  <c r="Q39" i="41"/>
  <c r="Q40" i="41" s="1"/>
  <c r="L59" i="41"/>
  <c r="L60" i="41" s="1"/>
  <c r="G79" i="41"/>
  <c r="G80" i="41" s="1"/>
  <c r="S79" i="41"/>
  <c r="S80" i="41" s="1"/>
  <c r="N99" i="41"/>
  <c r="N100" i="41" s="1"/>
  <c r="I119" i="41"/>
  <c r="I120" i="41" s="1"/>
  <c r="D139" i="41"/>
  <c r="D140" i="41" s="1"/>
  <c r="S39" i="41"/>
  <c r="S40" i="41" s="1"/>
  <c r="I20" i="41"/>
  <c r="D39" i="41"/>
  <c r="D40" i="41" s="1"/>
  <c r="P39" i="41"/>
  <c r="P40" i="41" s="1"/>
  <c r="K59" i="41"/>
  <c r="K60" i="41" s="1"/>
  <c r="F79" i="41"/>
  <c r="F80" i="41" s="1"/>
  <c r="R79" i="41"/>
  <c r="R80" i="41" s="1"/>
  <c r="M99" i="41"/>
  <c r="M100" i="41" s="1"/>
  <c r="H119" i="41"/>
  <c r="H120" i="41" s="1"/>
  <c r="C139" i="41"/>
  <c r="C140" i="41" s="1"/>
  <c r="O139" i="41"/>
  <c r="O140" i="41" s="1"/>
  <c r="P139" i="41"/>
  <c r="P140" i="41" s="1"/>
  <c r="K20" i="41"/>
  <c r="F39" i="41"/>
  <c r="F40" i="41" s="1"/>
  <c r="R39" i="41"/>
  <c r="R40" i="41" s="1"/>
  <c r="M59" i="41"/>
  <c r="M60" i="41" s="1"/>
  <c r="G39" i="41"/>
  <c r="G40" i="41" s="1"/>
  <c r="I79" i="41"/>
  <c r="I80" i="41" s="1"/>
  <c r="P99" i="41"/>
  <c r="P100" i="41" s="1"/>
  <c r="F139" i="41"/>
  <c r="F140" i="41" s="1"/>
  <c r="R139" i="41"/>
  <c r="R140" i="41" s="1"/>
  <c r="D99" i="41"/>
  <c r="D100" i="41" s="1"/>
  <c r="K119" i="41"/>
  <c r="K120" i="41" s="1"/>
  <c r="M20" i="41"/>
  <c r="H39" i="41"/>
  <c r="H40" i="41" s="1"/>
  <c r="C59" i="41"/>
  <c r="C60" i="41" s="1"/>
  <c r="O59" i="41"/>
  <c r="O60" i="41" s="1"/>
  <c r="N20" i="41"/>
  <c r="I39" i="41"/>
  <c r="I40" i="41" s="1"/>
  <c r="D59" i="41"/>
  <c r="D60" i="41" s="1"/>
  <c r="P59" i="41"/>
  <c r="P60" i="41" s="1"/>
  <c r="C20" i="41"/>
  <c r="O20" i="41"/>
  <c r="J39" i="41"/>
  <c r="J40" i="41" s="1"/>
  <c r="E59" i="41"/>
  <c r="E60" i="41" s="1"/>
  <c r="Q59" i="41"/>
  <c r="Q60" i="41" s="1"/>
  <c r="D20" i="41"/>
  <c r="P20" i="41"/>
  <c r="K39" i="41"/>
  <c r="K40" i="41" s="1"/>
  <c r="F59" i="41"/>
  <c r="F60" i="41" s="1"/>
  <c r="R59" i="41"/>
  <c r="R60" i="41" s="1"/>
  <c r="E20" i="41"/>
  <c r="Q20" i="41"/>
  <c r="L39" i="41"/>
  <c r="L40" i="41" s="1"/>
  <c r="G59" i="41"/>
  <c r="G60" i="41" s="1"/>
  <c r="S59" i="41"/>
  <c r="S60" i="41" s="1"/>
  <c r="L20" i="41"/>
  <c r="F20" i="41"/>
  <c r="R20" i="41"/>
  <c r="M39" i="41"/>
  <c r="M40" i="41" s="1"/>
  <c r="H59" i="41"/>
  <c r="H60" i="41" s="1"/>
  <c r="G20" i="41"/>
  <c r="S20" i="41"/>
  <c r="N39" i="41"/>
  <c r="N40" i="41" s="1"/>
  <c r="I59" i="41"/>
  <c r="I60" i="41" s="1"/>
  <c r="N59" i="41"/>
  <c r="N60" i="41" s="1"/>
  <c r="H20" i="41"/>
  <c r="C39" i="41"/>
  <c r="C40" i="41" s="1"/>
  <c r="O39" i="41"/>
  <c r="O40" i="41" s="1"/>
  <c r="J59" i="41"/>
  <c r="J60" i="41" s="1"/>
  <c r="H79" i="41"/>
  <c r="H80" i="41" s="1"/>
  <c r="C99" i="41"/>
  <c r="C100" i="41" s="1"/>
  <c r="O99" i="41"/>
  <c r="O100" i="41" s="1"/>
  <c r="J119" i="41"/>
  <c r="J120" i="41" s="1"/>
  <c r="E139" i="41"/>
  <c r="E140" i="41" s="1"/>
  <c r="Q139" i="41"/>
  <c r="Q140" i="41" s="1"/>
  <c r="J79" i="41"/>
  <c r="J80" i="41" s="1"/>
  <c r="E99" i="41"/>
  <c r="E100" i="41" s="1"/>
  <c r="Q99" i="41"/>
  <c r="Q100" i="41" s="1"/>
  <c r="L119" i="41"/>
  <c r="L120" i="41" s="1"/>
  <c r="G139" i="41"/>
  <c r="G140" i="41" s="1"/>
  <c r="S139" i="41"/>
  <c r="S140" i="41" s="1"/>
  <c r="K79" i="41"/>
  <c r="K80" i="41" s="1"/>
  <c r="F99" i="41"/>
  <c r="F100" i="41" s="1"/>
  <c r="R99" i="41"/>
  <c r="R100" i="41" s="1"/>
  <c r="M119" i="41"/>
  <c r="M120" i="41" s="1"/>
  <c r="H139" i="41"/>
  <c r="H140" i="41" s="1"/>
  <c r="L79" i="41"/>
  <c r="L80" i="41" s="1"/>
  <c r="G99" i="41"/>
  <c r="G100" i="41" s="1"/>
  <c r="S99" i="41"/>
  <c r="S100" i="41" s="1"/>
  <c r="N119" i="41"/>
  <c r="N120" i="41" s="1"/>
  <c r="I139" i="41"/>
  <c r="I140" i="41" s="1"/>
  <c r="M79" i="41"/>
  <c r="M80" i="41" s="1"/>
  <c r="H99" i="41"/>
  <c r="H100" i="41" s="1"/>
  <c r="C119" i="41"/>
  <c r="C120" i="41" s="1"/>
  <c r="O119" i="41"/>
  <c r="O120" i="41" s="1"/>
  <c r="J139" i="41"/>
  <c r="J140" i="41" s="1"/>
  <c r="N79" i="41"/>
  <c r="N80" i="41" s="1"/>
  <c r="I99" i="41"/>
  <c r="I100" i="41" s="1"/>
  <c r="D119" i="41"/>
  <c r="D120" i="41" s="1"/>
  <c r="P119" i="41"/>
  <c r="P120" i="41" s="1"/>
  <c r="K139" i="41"/>
  <c r="K140" i="41" s="1"/>
  <c r="C79" i="41"/>
  <c r="C80" i="41" s="1"/>
  <c r="O79" i="41"/>
  <c r="O80" i="41" s="1"/>
  <c r="J99" i="41"/>
  <c r="J100" i="41" s="1"/>
  <c r="E119" i="41"/>
  <c r="E120" i="41" s="1"/>
  <c r="Q119" i="41"/>
  <c r="Q120" i="41" s="1"/>
  <c r="L139" i="41"/>
  <c r="L140" i="41" s="1"/>
  <c r="D79" i="41"/>
  <c r="D80" i="41" s="1"/>
  <c r="P79" i="41"/>
  <c r="P80" i="41" s="1"/>
  <c r="K99" i="41"/>
  <c r="K100" i="41" s="1"/>
  <c r="F119" i="41"/>
  <c r="F120" i="41" s="1"/>
  <c r="R119" i="41"/>
  <c r="R120" i="41" s="1"/>
  <c r="M139" i="41"/>
  <c r="M140" i="41" s="1"/>
  <c r="E79" i="41"/>
  <c r="E80" i="41" s="1"/>
  <c r="Q79" i="41"/>
  <c r="Q80" i="41" s="1"/>
  <c r="L99" i="41"/>
  <c r="L100" i="41" s="1"/>
  <c r="G119" i="41"/>
  <c r="G120" i="41" s="1"/>
  <c r="S119" i="41"/>
  <c r="S120" i="41" s="1"/>
  <c r="N139" i="41"/>
  <c r="N140" i="41" s="1"/>
  <c r="B126" i="41" l="1"/>
  <c r="B106" i="41"/>
  <c r="B86" i="41"/>
  <c r="B66" i="41"/>
  <c r="B46" i="41"/>
  <c r="B26" i="41"/>
  <c r="B6" i="41"/>
  <c r="AU17" i="59"/>
  <c r="AT17" i="59"/>
  <c r="AZ16" i="59"/>
  <c r="AX16" i="59"/>
  <c r="AP16" i="59"/>
  <c r="AU2" i="59"/>
  <c r="AU17" i="37"/>
  <c r="AT17" i="37"/>
  <c r="AZ16" i="37"/>
  <c r="AX16" i="37"/>
  <c r="AP16" i="37"/>
  <c r="AU2" i="37"/>
  <c r="AU17" i="35"/>
  <c r="AT17" i="35"/>
  <c r="AZ16" i="35"/>
  <c r="AX16" i="35"/>
  <c r="AP16" i="35"/>
  <c r="AU2" i="35"/>
  <c r="AU17" i="34"/>
  <c r="AT17" i="34"/>
  <c r="AZ16" i="34"/>
  <c r="AX16" i="34"/>
  <c r="AP16" i="34"/>
  <c r="AU2" i="34"/>
  <c r="AU17" i="33"/>
  <c r="AT17" i="33"/>
  <c r="AZ16" i="33"/>
  <c r="AX16" i="33"/>
  <c r="AP16" i="33"/>
  <c r="AU2" i="33"/>
  <c r="AU17" i="24"/>
  <c r="AT17" i="24"/>
  <c r="AZ16" i="24"/>
  <c r="AX16" i="24"/>
  <c r="AP16" i="24"/>
  <c r="AU2" i="24"/>
  <c r="AU17" i="22"/>
  <c r="AT17" i="22"/>
  <c r="AZ16" i="22"/>
  <c r="AX16" i="22"/>
  <c r="AP16" i="22"/>
  <c r="AU2" i="22"/>
  <c r="AU17" i="20"/>
  <c r="AT17" i="20"/>
  <c r="AZ16" i="20"/>
  <c r="AX16" i="20"/>
  <c r="AP16" i="20"/>
  <c r="AU2" i="20"/>
  <c r="AU17" i="19"/>
  <c r="AT17" i="19"/>
  <c r="AZ16" i="19"/>
  <c r="AX16" i="19"/>
  <c r="AP16" i="19"/>
  <c r="AU2" i="19"/>
  <c r="AU17" i="17"/>
  <c r="AT17" i="17"/>
  <c r="AZ16" i="17"/>
  <c r="AX16" i="17"/>
  <c r="AP16" i="17"/>
  <c r="AU2" i="17"/>
  <c r="AU17" i="16"/>
  <c r="AT17" i="16"/>
  <c r="AZ16" i="16"/>
  <c r="AX16" i="16"/>
  <c r="AP16" i="16"/>
  <c r="AU2" i="16"/>
  <c r="AU17" i="15"/>
  <c r="AT17" i="15"/>
  <c r="AZ16" i="15"/>
  <c r="AX16" i="15"/>
  <c r="AP16" i="15"/>
  <c r="AU2" i="15"/>
  <c r="AU17" i="14"/>
  <c r="AT17" i="14"/>
  <c r="AZ16" i="14"/>
  <c r="AX16" i="14"/>
  <c r="AP16" i="14"/>
  <c r="AU2" i="14"/>
  <c r="AU17" i="11"/>
  <c r="AT17" i="11"/>
  <c r="AZ16" i="11"/>
  <c r="AX16" i="11"/>
  <c r="AP16" i="11"/>
  <c r="AU2" i="11"/>
  <c r="AU17" i="10"/>
  <c r="AT17" i="10"/>
  <c r="AZ16" i="10"/>
  <c r="AX16" i="10"/>
  <c r="AP16" i="10"/>
  <c r="AU2" i="10"/>
  <c r="AU17" i="8"/>
  <c r="AT17" i="8"/>
  <c r="AZ16" i="8"/>
  <c r="AX16" i="8"/>
  <c r="AP16" i="8"/>
  <c r="AU2" i="8"/>
  <c r="AU17" i="7"/>
  <c r="AT17" i="7"/>
  <c r="AZ16" i="7"/>
  <c r="AX16" i="7"/>
  <c r="AP16" i="7"/>
  <c r="AU2" i="7"/>
  <c r="AU17" i="6"/>
  <c r="AT17" i="6"/>
  <c r="AZ16" i="6"/>
  <c r="AX16" i="6"/>
  <c r="AP16" i="6"/>
  <c r="AU2" i="6"/>
  <c r="AU17" i="5"/>
  <c r="AT17" i="5"/>
  <c r="AZ16" i="5"/>
  <c r="AX16" i="5"/>
  <c r="AP16" i="5"/>
  <c r="AU2" i="5"/>
  <c r="AU17" i="4"/>
  <c r="AT17" i="4"/>
  <c r="AZ16" i="4"/>
  <c r="AX16" i="4"/>
  <c r="AP16" i="4"/>
  <c r="AU2" i="4"/>
  <c r="T138" i="59" l="1"/>
  <c r="T137" i="59"/>
  <c r="O133" i="59"/>
  <c r="P131" i="59"/>
  <c r="T128" i="59"/>
  <c r="T127" i="59"/>
  <c r="O123" i="59"/>
  <c r="P121" i="59"/>
  <c r="T118" i="59"/>
  <c r="T117" i="59"/>
  <c r="O113" i="59"/>
  <c r="P111" i="59"/>
  <c r="T108" i="59"/>
  <c r="T107" i="59"/>
  <c r="O103" i="59"/>
  <c r="P101" i="59"/>
  <c r="T98" i="59"/>
  <c r="T97" i="59"/>
  <c r="O93" i="59"/>
  <c r="P91" i="59"/>
  <c r="T88" i="59"/>
  <c r="P88" i="59"/>
  <c r="T87" i="59"/>
  <c r="O83" i="59"/>
  <c r="P81" i="59"/>
  <c r="T78" i="59"/>
  <c r="T77" i="59"/>
  <c r="O73" i="59"/>
  <c r="G73" i="59"/>
  <c r="P71" i="59"/>
  <c r="T68" i="59"/>
  <c r="T67" i="59"/>
  <c r="O63" i="59"/>
  <c r="P61" i="59"/>
  <c r="T58" i="59"/>
  <c r="T57" i="59"/>
  <c r="O53" i="59"/>
  <c r="P51" i="59"/>
  <c r="T48" i="59"/>
  <c r="T47" i="59"/>
  <c r="O43" i="59"/>
  <c r="H42" i="59"/>
  <c r="P41" i="59"/>
  <c r="I41" i="59"/>
  <c r="H41" i="59"/>
  <c r="G41" i="59"/>
  <c r="F41" i="59"/>
  <c r="E40" i="59"/>
  <c r="E39" i="59"/>
  <c r="T38" i="59"/>
  <c r="E38" i="59"/>
  <c r="T37" i="59"/>
  <c r="E37" i="59"/>
  <c r="O33" i="59"/>
  <c r="T28" i="59"/>
  <c r="T27" i="59"/>
  <c r="O23" i="59"/>
  <c r="AV10" i="59"/>
  <c r="AV11" i="59" s="1"/>
  <c r="AV12" i="59" s="1"/>
  <c r="AV13" i="59" s="1"/>
  <c r="AV14" i="59" s="1"/>
  <c r="AV15" i="59" s="1"/>
  <c r="AV8" i="59"/>
  <c r="AV9" i="59" s="1"/>
  <c r="AW6" i="59"/>
  <c r="AW7" i="59" s="1"/>
  <c r="AW8" i="59" s="1"/>
  <c r="AW9" i="59" s="1"/>
  <c r="AW10" i="59" s="1"/>
  <c r="AW11" i="59" s="1"/>
  <c r="AW12" i="59" s="1"/>
  <c r="AW13" i="59" s="1"/>
  <c r="AW14" i="59" s="1"/>
  <c r="AW15" i="59" s="1"/>
  <c r="AW4" i="59"/>
  <c r="AW5" i="59" s="1"/>
  <c r="AV4" i="59"/>
  <c r="AV5" i="59" s="1"/>
  <c r="AV6" i="59" s="1"/>
  <c r="AV7" i="59" s="1"/>
  <c r="Y4" i="59"/>
  <c r="X4" i="59"/>
  <c r="A1" i="59"/>
  <c r="B37" i="56"/>
  <c r="AB11" i="56"/>
  <c r="AB12" i="56" s="1"/>
  <c r="AB13" i="56" s="1"/>
  <c r="A5" i="56"/>
  <c r="A4" i="56"/>
  <c r="O5" i="59" s="1"/>
  <c r="Z3" i="56"/>
  <c r="AA3" i="56" s="1"/>
  <c r="X3" i="56"/>
  <c r="Y3" i="56" s="1"/>
  <c r="A3" i="56"/>
  <c r="O4" i="59" s="1"/>
  <c r="AB2" i="56"/>
  <c r="AB3" i="56" s="1"/>
  <c r="AB4" i="56" s="1"/>
  <c r="AB5" i="56" s="1"/>
  <c r="AB6" i="56" s="1"/>
  <c r="AB7" i="56" s="1"/>
  <c r="AB8" i="56" s="1"/>
  <c r="AB9" i="56" s="1"/>
  <c r="AB10" i="56" s="1"/>
  <c r="AB1" i="56"/>
  <c r="I16" i="55"/>
  <c r="H37" i="49"/>
  <c r="S71" i="48"/>
  <c r="H37" i="48"/>
  <c r="H7" i="44"/>
  <c r="A1" i="44"/>
  <c r="C139" i="42"/>
  <c r="B139" i="42"/>
  <c r="C140" i="42" s="1"/>
  <c r="A127" i="42"/>
  <c r="A126" i="42"/>
  <c r="A123" i="42"/>
  <c r="C120" i="42"/>
  <c r="C119" i="42"/>
  <c r="B119" i="42"/>
  <c r="A107" i="42"/>
  <c r="A106" i="42"/>
  <c r="A103" i="42"/>
  <c r="C99" i="42"/>
  <c r="B99" i="42"/>
  <c r="C100" i="42" s="1"/>
  <c r="A87" i="42"/>
  <c r="A86" i="42"/>
  <c r="A83" i="42"/>
  <c r="C79" i="42"/>
  <c r="B79" i="42"/>
  <c r="A67" i="42"/>
  <c r="A66" i="42"/>
  <c r="A63" i="42"/>
  <c r="C60" i="42"/>
  <c r="C59" i="42"/>
  <c r="B59" i="42"/>
  <c r="A47" i="42"/>
  <c r="A46" i="42"/>
  <c r="A43" i="42"/>
  <c r="C39" i="42"/>
  <c r="B39" i="42"/>
  <c r="C40" i="42" s="1"/>
  <c r="A27" i="42"/>
  <c r="A26" i="42"/>
  <c r="A23" i="42"/>
  <c r="C19" i="42"/>
  <c r="B19" i="42"/>
  <c r="C20" i="42" s="1"/>
  <c r="A7" i="42"/>
  <c r="A6" i="42"/>
  <c r="A3" i="42"/>
  <c r="U140" i="41"/>
  <c r="B138" i="41"/>
  <c r="B137" i="41"/>
  <c r="B136" i="41"/>
  <c r="B135" i="41"/>
  <c r="B134" i="41"/>
  <c r="B133" i="41"/>
  <c r="B132" i="41"/>
  <c r="B131" i="41"/>
  <c r="B130" i="41"/>
  <c r="B129" i="41"/>
  <c r="B128" i="41"/>
  <c r="A128" i="41"/>
  <c r="T128" i="41" s="1"/>
  <c r="T127" i="41"/>
  <c r="B127" i="41"/>
  <c r="A127" i="41"/>
  <c r="T125" i="41"/>
  <c r="T126" i="41" s="1"/>
  <c r="A124" i="41"/>
  <c r="U120" i="41"/>
  <c r="B118" i="41"/>
  <c r="B117" i="41"/>
  <c r="B116" i="41"/>
  <c r="B115" i="41"/>
  <c r="B114" i="41"/>
  <c r="B113" i="41"/>
  <c r="B112" i="41"/>
  <c r="B111" i="41"/>
  <c r="B110" i="41"/>
  <c r="B109" i="41"/>
  <c r="B108" i="41"/>
  <c r="A108" i="41"/>
  <c r="T108" i="41" s="1"/>
  <c r="B107" i="41"/>
  <c r="A107" i="41"/>
  <c r="T107" i="41" s="1"/>
  <c r="T105" i="41"/>
  <c r="T106" i="41" s="1"/>
  <c r="A104" i="41"/>
  <c r="U100" i="41"/>
  <c r="B98" i="41"/>
  <c r="B97" i="41"/>
  <c r="B96" i="41"/>
  <c r="B95" i="41"/>
  <c r="B94" i="41"/>
  <c r="B93" i="41"/>
  <c r="B92" i="41"/>
  <c r="B91" i="41"/>
  <c r="B90" i="41"/>
  <c r="B89" i="41"/>
  <c r="A89" i="41"/>
  <c r="T89" i="41" s="1"/>
  <c r="T88" i="41"/>
  <c r="B88" i="41"/>
  <c r="A88" i="41"/>
  <c r="T87" i="41"/>
  <c r="B87" i="41"/>
  <c r="A87" i="41"/>
  <c r="T85" i="41"/>
  <c r="T86" i="41" s="1"/>
  <c r="A84" i="41"/>
  <c r="U80" i="41"/>
  <c r="B78" i="41"/>
  <c r="B77" i="41"/>
  <c r="B76" i="41"/>
  <c r="B75" i="41"/>
  <c r="B74" i="41"/>
  <c r="B73" i="41"/>
  <c r="B72" i="41"/>
  <c r="B71" i="41"/>
  <c r="B70" i="41"/>
  <c r="B69" i="41"/>
  <c r="T68" i="41"/>
  <c r="B68" i="41"/>
  <c r="A68" i="41"/>
  <c r="B67" i="41"/>
  <c r="A67" i="41"/>
  <c r="T67" i="41" s="1"/>
  <c r="T65" i="41"/>
  <c r="T66" i="41" s="1"/>
  <c r="A64" i="41"/>
  <c r="U60" i="41"/>
  <c r="B58" i="41"/>
  <c r="B57" i="41"/>
  <c r="B56" i="41"/>
  <c r="B55" i="41"/>
  <c r="B54" i="41"/>
  <c r="B53" i="41"/>
  <c r="B52" i="41"/>
  <c r="B51" i="41"/>
  <c r="B50" i="41"/>
  <c r="B49" i="41"/>
  <c r="A49" i="41"/>
  <c r="T49" i="41" s="1"/>
  <c r="B48" i="41"/>
  <c r="A48" i="41"/>
  <c r="T48" i="41" s="1"/>
  <c r="B47" i="41"/>
  <c r="A47" i="41"/>
  <c r="T47" i="41" s="1"/>
  <c r="T45" i="41"/>
  <c r="T46" i="41" s="1"/>
  <c r="A44" i="41"/>
  <c r="U40" i="41"/>
  <c r="B38" i="41"/>
  <c r="B37" i="41"/>
  <c r="B36" i="41"/>
  <c r="B35" i="41"/>
  <c r="B34" i="41"/>
  <c r="B33" i="41"/>
  <c r="B32" i="41"/>
  <c r="B31" i="41"/>
  <c r="B30" i="41"/>
  <c r="B29" i="41"/>
  <c r="A29" i="41"/>
  <c r="T29" i="41" s="1"/>
  <c r="B28" i="41"/>
  <c r="A28" i="41"/>
  <c r="T28" i="41" s="1"/>
  <c r="T27" i="41"/>
  <c r="B27" i="41"/>
  <c r="A27" i="41"/>
  <c r="T25" i="41"/>
  <c r="T26" i="41" s="1"/>
  <c r="A24" i="41"/>
  <c r="U20" i="41"/>
  <c r="B18" i="41"/>
  <c r="B17" i="41"/>
  <c r="B16" i="41"/>
  <c r="B15" i="41"/>
  <c r="B14" i="41"/>
  <c r="B13" i="41"/>
  <c r="B12" i="41"/>
  <c r="B11" i="41"/>
  <c r="B10" i="41"/>
  <c r="B9" i="41"/>
  <c r="B8" i="41"/>
  <c r="A8" i="41"/>
  <c r="T8" i="41" s="1"/>
  <c r="T7" i="41"/>
  <c r="B7" i="41"/>
  <c r="A7" i="41"/>
  <c r="T5" i="41"/>
  <c r="T6" i="41" s="1"/>
  <c r="A4" i="41"/>
  <c r="A128" i="40"/>
  <c r="A127" i="40"/>
  <c r="A124" i="40"/>
  <c r="A109" i="40"/>
  <c r="A108" i="40"/>
  <c r="A107" i="40"/>
  <c r="A104" i="40"/>
  <c r="A89" i="40"/>
  <c r="A88" i="40"/>
  <c r="A87" i="40"/>
  <c r="A84" i="40"/>
  <c r="A69" i="40"/>
  <c r="A68" i="40"/>
  <c r="A67" i="40"/>
  <c r="A64" i="40"/>
  <c r="A49" i="40"/>
  <c r="A48" i="40"/>
  <c r="A47" i="40"/>
  <c r="A44" i="40"/>
  <c r="A29" i="40"/>
  <c r="A28" i="40"/>
  <c r="A27" i="40"/>
  <c r="B25" i="40"/>
  <c r="B45" i="40" s="1"/>
  <c r="B65" i="40" s="1"/>
  <c r="B85" i="40" s="1"/>
  <c r="B105" i="40" s="1"/>
  <c r="B125" i="40" s="1"/>
  <c r="A24" i="40"/>
  <c r="A9" i="40"/>
  <c r="A8" i="40"/>
  <c r="A7" i="40"/>
  <c r="S132" i="39"/>
  <c r="S122" i="39"/>
  <c r="S112" i="39"/>
  <c r="S102" i="39"/>
  <c r="S92" i="39"/>
  <c r="S82" i="39"/>
  <c r="S72" i="39"/>
  <c r="S62" i="39"/>
  <c r="S52" i="39"/>
  <c r="S42" i="39"/>
  <c r="S32" i="39"/>
  <c r="S22" i="39"/>
  <c r="AI15" i="39"/>
  <c r="AH15" i="39"/>
  <c r="AI14" i="39"/>
  <c r="AH14" i="39"/>
  <c r="AI13" i="39"/>
  <c r="AH13" i="39"/>
  <c r="AI12" i="39"/>
  <c r="AH12" i="39"/>
  <c r="AI11" i="39"/>
  <c r="AH11" i="39"/>
  <c r="AI10" i="39"/>
  <c r="AH10" i="39"/>
  <c r="AI9" i="39"/>
  <c r="AH9" i="39"/>
  <c r="AI8" i="39"/>
  <c r="AH8" i="39"/>
  <c r="AI7" i="39"/>
  <c r="AH7" i="39"/>
  <c r="AI6" i="39"/>
  <c r="AH6" i="39"/>
  <c r="AI5" i="39"/>
  <c r="AH5" i="39"/>
  <c r="AI4" i="39"/>
  <c r="AH4" i="39"/>
  <c r="T138" i="37"/>
  <c r="T137" i="37"/>
  <c r="O133" i="37"/>
  <c r="P131" i="37"/>
  <c r="T128" i="37"/>
  <c r="T127" i="37"/>
  <c r="O123" i="37"/>
  <c r="P121" i="37"/>
  <c r="T118" i="37"/>
  <c r="T117" i="37"/>
  <c r="O113" i="37"/>
  <c r="P111" i="37"/>
  <c r="T108" i="37"/>
  <c r="T107" i="37"/>
  <c r="O103" i="37"/>
  <c r="P101" i="37"/>
  <c r="T98" i="37"/>
  <c r="T97" i="37"/>
  <c r="O93" i="37"/>
  <c r="P91" i="37"/>
  <c r="T88" i="37"/>
  <c r="P88" i="37"/>
  <c r="T87" i="37"/>
  <c r="O83" i="37"/>
  <c r="P81" i="37"/>
  <c r="T78" i="37"/>
  <c r="T77" i="37"/>
  <c r="O73" i="37"/>
  <c r="G73" i="37"/>
  <c r="P71" i="37"/>
  <c r="T68" i="37"/>
  <c r="T67" i="37"/>
  <c r="O63" i="37"/>
  <c r="P61" i="37"/>
  <c r="T58" i="37"/>
  <c r="T57" i="37"/>
  <c r="O53" i="37"/>
  <c r="P51" i="37"/>
  <c r="T48" i="37"/>
  <c r="T47" i="37"/>
  <c r="O43" i="37"/>
  <c r="P41" i="37"/>
  <c r="I41" i="37"/>
  <c r="H41" i="37"/>
  <c r="G41" i="37"/>
  <c r="F41" i="37"/>
  <c r="E40" i="37"/>
  <c r="E39" i="37"/>
  <c r="T38" i="37"/>
  <c r="E38" i="37"/>
  <c r="T37" i="37"/>
  <c r="E37" i="37"/>
  <c r="O33" i="37"/>
  <c r="O31" i="37"/>
  <c r="W29" i="37"/>
  <c r="T28" i="37"/>
  <c r="T27" i="37"/>
  <c r="O23" i="37"/>
  <c r="O6" i="37"/>
  <c r="X43" i="37" s="1"/>
  <c r="AV5" i="37"/>
  <c r="AV6" i="37" s="1"/>
  <c r="AV7" i="37" s="1"/>
  <c r="AV8" i="37" s="1"/>
  <c r="AV9" i="37" s="1"/>
  <c r="AV10" i="37" s="1"/>
  <c r="AV11" i="37" s="1"/>
  <c r="AV12" i="37" s="1"/>
  <c r="AV13" i="37" s="1"/>
  <c r="AV14" i="37" s="1"/>
  <c r="AV15" i="37" s="1"/>
  <c r="O5" i="37"/>
  <c r="X33" i="37" s="1"/>
  <c r="AW4" i="37"/>
  <c r="AW5" i="37" s="1"/>
  <c r="AW6" i="37" s="1"/>
  <c r="AW7" i="37" s="1"/>
  <c r="AW8" i="37" s="1"/>
  <c r="AW9" i="37" s="1"/>
  <c r="AW10" i="37" s="1"/>
  <c r="AW11" i="37" s="1"/>
  <c r="AW12" i="37" s="1"/>
  <c r="AW13" i="37" s="1"/>
  <c r="AW14" i="37" s="1"/>
  <c r="AW15" i="37" s="1"/>
  <c r="AV4" i="37"/>
  <c r="Y4" i="37"/>
  <c r="X4" i="37"/>
  <c r="O4" i="37"/>
  <c r="A1" i="37"/>
  <c r="T138" i="35"/>
  <c r="T137" i="35"/>
  <c r="O133" i="35"/>
  <c r="P131" i="35"/>
  <c r="T128" i="35"/>
  <c r="T127" i="35"/>
  <c r="O123" i="35"/>
  <c r="P121" i="35"/>
  <c r="T118" i="35"/>
  <c r="T117" i="35"/>
  <c r="O113" i="35"/>
  <c r="P111" i="35"/>
  <c r="T108" i="35"/>
  <c r="T107" i="35"/>
  <c r="O103" i="35"/>
  <c r="P101" i="35"/>
  <c r="T98" i="35"/>
  <c r="T97" i="35"/>
  <c r="O93" i="35"/>
  <c r="P91" i="35"/>
  <c r="T88" i="35"/>
  <c r="P88" i="35"/>
  <c r="T87" i="35"/>
  <c r="O83" i="35"/>
  <c r="P81" i="35"/>
  <c r="T78" i="35"/>
  <c r="T77" i="35"/>
  <c r="O73" i="35"/>
  <c r="G73" i="35"/>
  <c r="P71" i="35"/>
  <c r="T68" i="35"/>
  <c r="T67" i="35"/>
  <c r="O63" i="35"/>
  <c r="P61" i="35"/>
  <c r="T58" i="35"/>
  <c r="T57" i="35"/>
  <c r="O53" i="35"/>
  <c r="P51" i="35"/>
  <c r="T48" i="35"/>
  <c r="T47" i="35"/>
  <c r="O43" i="35"/>
  <c r="P41" i="35"/>
  <c r="I41" i="35"/>
  <c r="H41" i="35"/>
  <c r="H42" i="35" s="1"/>
  <c r="G41" i="35"/>
  <c r="F41" i="35"/>
  <c r="E40" i="35"/>
  <c r="E39" i="35"/>
  <c r="T38" i="35"/>
  <c r="E38" i="35"/>
  <c r="T37" i="35"/>
  <c r="E37" i="35"/>
  <c r="O33" i="35"/>
  <c r="O31" i="35"/>
  <c r="T28" i="35"/>
  <c r="T27" i="35"/>
  <c r="O23" i="35"/>
  <c r="AV6" i="35"/>
  <c r="AV7" i="35" s="1"/>
  <c r="AV8" i="35" s="1"/>
  <c r="AV9" i="35" s="1"/>
  <c r="AV10" i="35" s="1"/>
  <c r="AV11" i="35" s="1"/>
  <c r="AV12" i="35" s="1"/>
  <c r="AV13" i="35" s="1"/>
  <c r="AV14" i="35" s="1"/>
  <c r="AV15" i="35" s="1"/>
  <c r="O6" i="35"/>
  <c r="W39" i="35" s="1"/>
  <c r="O41" i="35" s="1"/>
  <c r="Q52" i="35" s="1"/>
  <c r="O5" i="35"/>
  <c r="W29" i="35" s="1"/>
  <c r="K5" i="35"/>
  <c r="AW4" i="35"/>
  <c r="AW5" i="35" s="1"/>
  <c r="AW6" i="35" s="1"/>
  <c r="AW7" i="35" s="1"/>
  <c r="AW8" i="35" s="1"/>
  <c r="AW9" i="35" s="1"/>
  <c r="AW10" i="35" s="1"/>
  <c r="AW11" i="35" s="1"/>
  <c r="AW12" i="35" s="1"/>
  <c r="AW13" i="35" s="1"/>
  <c r="AW14" i="35" s="1"/>
  <c r="AW15" i="35" s="1"/>
  <c r="AV4" i="35"/>
  <c r="AV5" i="35" s="1"/>
  <c r="Y4" i="35"/>
  <c r="X4" i="35"/>
  <c r="O4" i="35"/>
  <c r="W19" i="35" s="1"/>
  <c r="O3" i="35"/>
  <c r="A1" i="35"/>
  <c r="T138" i="34"/>
  <c r="T137" i="34"/>
  <c r="O133" i="34"/>
  <c r="P131" i="34"/>
  <c r="T128" i="34"/>
  <c r="T127" i="34"/>
  <c r="O123" i="34"/>
  <c r="P121" i="34"/>
  <c r="T118" i="34"/>
  <c r="T117" i="34"/>
  <c r="O113" i="34"/>
  <c r="P111" i="34"/>
  <c r="T108" i="34"/>
  <c r="T107" i="34"/>
  <c r="O103" i="34"/>
  <c r="P101" i="34"/>
  <c r="T98" i="34"/>
  <c r="T97" i="34"/>
  <c r="O93" i="34"/>
  <c r="P91" i="34"/>
  <c r="T88" i="34"/>
  <c r="P88" i="34"/>
  <c r="T87" i="34"/>
  <c r="O83" i="34"/>
  <c r="P81" i="34"/>
  <c r="T78" i="34"/>
  <c r="T77" i="34"/>
  <c r="O73" i="34"/>
  <c r="G73" i="34"/>
  <c r="P71" i="34"/>
  <c r="T68" i="34"/>
  <c r="T67" i="34"/>
  <c r="O63" i="34"/>
  <c r="P61" i="34"/>
  <c r="T58" i="34"/>
  <c r="T57" i="34"/>
  <c r="O53" i="34"/>
  <c r="P51" i="34"/>
  <c r="T48" i="34"/>
  <c r="T47" i="34"/>
  <c r="X43" i="34"/>
  <c r="O43" i="34"/>
  <c r="H42" i="34"/>
  <c r="P41" i="34"/>
  <c r="I41" i="34"/>
  <c r="H41" i="34"/>
  <c r="G41" i="34"/>
  <c r="F41" i="34"/>
  <c r="E40" i="34"/>
  <c r="E39" i="34"/>
  <c r="T38" i="34"/>
  <c r="E38" i="34"/>
  <c r="T37" i="34"/>
  <c r="E37" i="34"/>
  <c r="O33" i="34"/>
  <c r="T28" i="34"/>
  <c r="T27" i="34"/>
  <c r="O23" i="34"/>
  <c r="AV6" i="34"/>
  <c r="AV7" i="34" s="1"/>
  <c r="AV8" i="34" s="1"/>
  <c r="AV9" i="34" s="1"/>
  <c r="AV10" i="34" s="1"/>
  <c r="AV11" i="34" s="1"/>
  <c r="AV12" i="34" s="1"/>
  <c r="AV13" i="34" s="1"/>
  <c r="AV14" i="34" s="1"/>
  <c r="AV15" i="34" s="1"/>
  <c r="O6" i="34"/>
  <c r="W39" i="34" s="1"/>
  <c r="O41" i="34" s="1"/>
  <c r="O5" i="34"/>
  <c r="K5" i="34"/>
  <c r="AW4" i="34"/>
  <c r="AW5" i="34" s="1"/>
  <c r="AW6" i="34" s="1"/>
  <c r="AW7" i="34" s="1"/>
  <c r="AW8" i="34" s="1"/>
  <c r="AW9" i="34" s="1"/>
  <c r="AW10" i="34" s="1"/>
  <c r="AW11" i="34" s="1"/>
  <c r="AW12" i="34" s="1"/>
  <c r="AW13" i="34" s="1"/>
  <c r="AW14" i="34" s="1"/>
  <c r="AW15" i="34" s="1"/>
  <c r="AV4" i="34"/>
  <c r="AV5" i="34" s="1"/>
  <c r="Y4" i="34"/>
  <c r="X4" i="34"/>
  <c r="O4" i="34"/>
  <c r="W19" i="34" s="1"/>
  <c r="O3" i="34"/>
  <c r="A1" i="34"/>
  <c r="T138" i="33"/>
  <c r="T137" i="33"/>
  <c r="O133" i="33"/>
  <c r="P131" i="33"/>
  <c r="T128" i="33"/>
  <c r="T127" i="33"/>
  <c r="O123" i="33"/>
  <c r="P121" i="33"/>
  <c r="T118" i="33"/>
  <c r="T117" i="33"/>
  <c r="O113" i="33"/>
  <c r="P111" i="33"/>
  <c r="T108" i="33"/>
  <c r="T107" i="33"/>
  <c r="O103" i="33"/>
  <c r="P101" i="33"/>
  <c r="T98" i="33"/>
  <c r="T97" i="33"/>
  <c r="O93" i="33"/>
  <c r="P91" i="33"/>
  <c r="T88" i="33"/>
  <c r="P88" i="33"/>
  <c r="T87" i="33"/>
  <c r="O83" i="33"/>
  <c r="P81" i="33"/>
  <c r="T78" i="33"/>
  <c r="T77" i="33"/>
  <c r="O73" i="33"/>
  <c r="G73" i="33"/>
  <c r="P71" i="33"/>
  <c r="T68" i="33"/>
  <c r="T67" i="33"/>
  <c r="O63" i="33"/>
  <c r="P61" i="33"/>
  <c r="T58" i="33"/>
  <c r="T57" i="33"/>
  <c r="O53" i="33"/>
  <c r="P51" i="33"/>
  <c r="T48" i="33"/>
  <c r="T47" i="33"/>
  <c r="O43" i="33"/>
  <c r="P41" i="33"/>
  <c r="I41" i="33"/>
  <c r="H41" i="33"/>
  <c r="H42" i="33" s="1"/>
  <c r="G41" i="33"/>
  <c r="F41" i="33"/>
  <c r="E40" i="33"/>
  <c r="W39" i="33"/>
  <c r="O41" i="33" s="1"/>
  <c r="E39" i="33"/>
  <c r="T38" i="33"/>
  <c r="E38" i="33"/>
  <c r="T37" i="33"/>
  <c r="E37" i="33"/>
  <c r="X33" i="33"/>
  <c r="O33" i="33"/>
  <c r="T28" i="33"/>
  <c r="T27" i="33"/>
  <c r="O23" i="33"/>
  <c r="AW11" i="33"/>
  <c r="AW12" i="33" s="1"/>
  <c r="AW13" i="33" s="1"/>
  <c r="AW14" i="33" s="1"/>
  <c r="AW15" i="33" s="1"/>
  <c r="AV7" i="33"/>
  <c r="AV8" i="33" s="1"/>
  <c r="AV9" i="33" s="1"/>
  <c r="AV10" i="33" s="1"/>
  <c r="AV11" i="33" s="1"/>
  <c r="AV12" i="33" s="1"/>
  <c r="AV13" i="33" s="1"/>
  <c r="AV14" i="33" s="1"/>
  <c r="AV15" i="33" s="1"/>
  <c r="O6" i="33"/>
  <c r="X43" i="33" s="1"/>
  <c r="AW5" i="33"/>
  <c r="AW6" i="33" s="1"/>
  <c r="AW7" i="33" s="1"/>
  <c r="AW8" i="33" s="1"/>
  <c r="AW9" i="33" s="1"/>
  <c r="AW10" i="33" s="1"/>
  <c r="AV5" i="33"/>
  <c r="AV6" i="33" s="1"/>
  <c r="O5" i="33"/>
  <c r="W29" i="33" s="1"/>
  <c r="O31" i="33" s="1"/>
  <c r="AW4" i="33"/>
  <c r="AV4" i="33"/>
  <c r="Y4" i="33"/>
  <c r="X4" i="33"/>
  <c r="O4" i="33"/>
  <c r="A1" i="33"/>
  <c r="AI15" i="27"/>
  <c r="AH15" i="27"/>
  <c r="AI14" i="27"/>
  <c r="AH14" i="27"/>
  <c r="AI13" i="27"/>
  <c r="AH13" i="27"/>
  <c r="AI12" i="27"/>
  <c r="AH12" i="27"/>
  <c r="AI11" i="27"/>
  <c r="AH11" i="27"/>
  <c r="AI10" i="27"/>
  <c r="AH10" i="27"/>
  <c r="AI9" i="27"/>
  <c r="AH9" i="27"/>
  <c r="AI8" i="27"/>
  <c r="AH8" i="27"/>
  <c r="AI7" i="27"/>
  <c r="AH7" i="27"/>
  <c r="AI6" i="27"/>
  <c r="AH6" i="27"/>
  <c r="AI5" i="27"/>
  <c r="AH5" i="27"/>
  <c r="AI4" i="27"/>
  <c r="AH4" i="27"/>
  <c r="AI15" i="26"/>
  <c r="AH15" i="26"/>
  <c r="AI14" i="26"/>
  <c r="AH14" i="26"/>
  <c r="AI13" i="26"/>
  <c r="AH13" i="26"/>
  <c r="AI12" i="26"/>
  <c r="AH12" i="26"/>
  <c r="AI11" i="26"/>
  <c r="AH11" i="26"/>
  <c r="AI10" i="26"/>
  <c r="AH10" i="26"/>
  <c r="AI9" i="26"/>
  <c r="AH9" i="26"/>
  <c r="AI8" i="26"/>
  <c r="AH8" i="26"/>
  <c r="AI7" i="26"/>
  <c r="AH7" i="26"/>
  <c r="AI6" i="26"/>
  <c r="AH6" i="26"/>
  <c r="AI5" i="26"/>
  <c r="AH5" i="26"/>
  <c r="AI4" i="26"/>
  <c r="AH4" i="26"/>
  <c r="T138" i="24"/>
  <c r="T137" i="24"/>
  <c r="O133" i="24"/>
  <c r="P131" i="24"/>
  <c r="T128" i="24"/>
  <c r="T127" i="24"/>
  <c r="O123" i="24"/>
  <c r="P121" i="24"/>
  <c r="T118" i="24"/>
  <c r="T117" i="24"/>
  <c r="O113" i="24"/>
  <c r="P111" i="24"/>
  <c r="T108" i="24"/>
  <c r="T107" i="24"/>
  <c r="O103" i="24"/>
  <c r="P101" i="24"/>
  <c r="T98" i="24"/>
  <c r="T97" i="24"/>
  <c r="O93" i="24"/>
  <c r="P91" i="24"/>
  <c r="T88" i="24"/>
  <c r="P88" i="24"/>
  <c r="T87" i="24"/>
  <c r="O83" i="24"/>
  <c r="P81" i="24"/>
  <c r="T78" i="24"/>
  <c r="T77" i="24"/>
  <c r="O73" i="24"/>
  <c r="G73" i="24"/>
  <c r="P71" i="24"/>
  <c r="T68" i="24"/>
  <c r="T67" i="24"/>
  <c r="O63" i="24"/>
  <c r="P61" i="24"/>
  <c r="T58" i="24"/>
  <c r="T57" i="24"/>
  <c r="O53" i="24"/>
  <c r="P51" i="24"/>
  <c r="T48" i="24"/>
  <c r="T47" i="24"/>
  <c r="O43" i="24"/>
  <c r="P41" i="24"/>
  <c r="I41" i="24"/>
  <c r="H41" i="24"/>
  <c r="H42" i="24" s="1"/>
  <c r="G41" i="24"/>
  <c r="F41" i="24"/>
  <c r="E40" i="24"/>
  <c r="W39" i="24"/>
  <c r="O41" i="24" s="1"/>
  <c r="E39" i="24"/>
  <c r="T38" i="24"/>
  <c r="E38" i="24"/>
  <c r="T37" i="24"/>
  <c r="E37" i="24"/>
  <c r="O33" i="24"/>
  <c r="T28" i="24"/>
  <c r="T27" i="24"/>
  <c r="O23" i="24"/>
  <c r="AV6" i="24"/>
  <c r="AV7" i="24" s="1"/>
  <c r="AV8" i="24" s="1"/>
  <c r="AV9" i="24" s="1"/>
  <c r="AV10" i="24" s="1"/>
  <c r="AV11" i="24" s="1"/>
  <c r="AV12" i="24" s="1"/>
  <c r="AV13" i="24" s="1"/>
  <c r="AV14" i="24" s="1"/>
  <c r="AV15" i="24" s="1"/>
  <c r="O6" i="24"/>
  <c r="X43" i="24" s="1"/>
  <c r="AW5" i="24"/>
  <c r="AW6" i="24" s="1"/>
  <c r="AW7" i="24" s="1"/>
  <c r="AW8" i="24" s="1"/>
  <c r="AW9" i="24" s="1"/>
  <c r="AW10" i="24" s="1"/>
  <c r="AW11" i="24" s="1"/>
  <c r="AW12" i="24" s="1"/>
  <c r="AW13" i="24" s="1"/>
  <c r="AW14" i="24" s="1"/>
  <c r="AW15" i="24" s="1"/>
  <c r="AV5" i="24"/>
  <c r="O5" i="24"/>
  <c r="K5" i="24"/>
  <c r="AW4" i="24"/>
  <c r="AV4" i="24"/>
  <c r="Y4" i="24"/>
  <c r="X4" i="24"/>
  <c r="O4" i="24"/>
  <c r="O3" i="24"/>
  <c r="A1" i="24"/>
  <c r="T138" i="22"/>
  <c r="T137" i="22"/>
  <c r="O133" i="22"/>
  <c r="P131" i="22"/>
  <c r="T128" i="22"/>
  <c r="T127" i="22"/>
  <c r="O123" i="22"/>
  <c r="P121" i="22"/>
  <c r="T118" i="22"/>
  <c r="T117" i="22"/>
  <c r="O113" i="22"/>
  <c r="P111" i="22"/>
  <c r="T108" i="22"/>
  <c r="T107" i="22"/>
  <c r="O103" i="22"/>
  <c r="P101" i="22"/>
  <c r="T98" i="22"/>
  <c r="T97" i="22"/>
  <c r="O93" i="22"/>
  <c r="P91" i="22"/>
  <c r="T88" i="22"/>
  <c r="P88" i="22"/>
  <c r="T87" i="22"/>
  <c r="O83" i="22"/>
  <c r="P81" i="22"/>
  <c r="T78" i="22"/>
  <c r="T77" i="22"/>
  <c r="O73" i="22"/>
  <c r="G73" i="22"/>
  <c r="P71" i="22"/>
  <c r="T68" i="22"/>
  <c r="T67" i="22"/>
  <c r="O63" i="22"/>
  <c r="P61" i="22"/>
  <c r="T58" i="22"/>
  <c r="T57" i="22"/>
  <c r="O53" i="22"/>
  <c r="P51" i="22"/>
  <c r="T48" i="22"/>
  <c r="T47" i="22"/>
  <c r="O43" i="22"/>
  <c r="H42" i="22"/>
  <c r="P41" i="22"/>
  <c r="I41" i="22"/>
  <c r="H41" i="22"/>
  <c r="G41" i="22"/>
  <c r="F41" i="22"/>
  <c r="E40" i="22"/>
  <c r="E39" i="22"/>
  <c r="T38" i="22"/>
  <c r="E38" i="22"/>
  <c r="T37" i="22"/>
  <c r="E37" i="22"/>
  <c r="X33" i="22"/>
  <c r="O33" i="22"/>
  <c r="T28" i="22"/>
  <c r="T27" i="22"/>
  <c r="O23" i="22"/>
  <c r="O6" i="22"/>
  <c r="X43" i="22" s="1"/>
  <c r="O5" i="22"/>
  <c r="W29" i="22" s="1"/>
  <c r="O31" i="22" s="1"/>
  <c r="P47" i="22" s="1"/>
  <c r="AW4" i="22"/>
  <c r="AW5" i="22" s="1"/>
  <c r="AW6" i="22" s="1"/>
  <c r="AW7" i="22" s="1"/>
  <c r="AW8" i="22" s="1"/>
  <c r="AW9" i="22" s="1"/>
  <c r="AW10" i="22" s="1"/>
  <c r="AW11" i="22" s="1"/>
  <c r="AW12" i="22" s="1"/>
  <c r="AW13" i="22" s="1"/>
  <c r="AW14" i="22" s="1"/>
  <c r="AW15" i="22" s="1"/>
  <c r="AV4" i="22"/>
  <c r="AV5" i="22" s="1"/>
  <c r="AV6" i="22" s="1"/>
  <c r="AV7" i="22" s="1"/>
  <c r="AV8" i="22" s="1"/>
  <c r="AV9" i="22" s="1"/>
  <c r="AV10" i="22" s="1"/>
  <c r="AV11" i="22" s="1"/>
  <c r="AV12" i="22" s="1"/>
  <c r="AV13" i="22" s="1"/>
  <c r="AV14" i="22" s="1"/>
  <c r="AV15" i="22" s="1"/>
  <c r="Y4" i="22"/>
  <c r="X4" i="22"/>
  <c r="O4" i="22"/>
  <c r="T138" i="20"/>
  <c r="T137" i="20"/>
  <c r="O133" i="20"/>
  <c r="P131" i="20"/>
  <c r="T128" i="20"/>
  <c r="T127" i="20"/>
  <c r="O123" i="20"/>
  <c r="P121" i="20"/>
  <c r="T118" i="20"/>
  <c r="T117" i="20"/>
  <c r="O113" i="20"/>
  <c r="P111" i="20"/>
  <c r="T108" i="20"/>
  <c r="T107" i="20"/>
  <c r="O103" i="20"/>
  <c r="P101" i="20"/>
  <c r="T98" i="20"/>
  <c r="T97" i="20"/>
  <c r="O93" i="20"/>
  <c r="P91" i="20"/>
  <c r="T88" i="20"/>
  <c r="P88" i="20"/>
  <c r="T87" i="20"/>
  <c r="O83" i="20"/>
  <c r="P81" i="20"/>
  <c r="T78" i="20"/>
  <c r="T77" i="20"/>
  <c r="O73" i="20"/>
  <c r="G73" i="20"/>
  <c r="P71" i="20"/>
  <c r="T68" i="20"/>
  <c r="T67" i="20"/>
  <c r="O63" i="20"/>
  <c r="P61" i="20"/>
  <c r="T58" i="20"/>
  <c r="T57" i="20"/>
  <c r="O53" i="20"/>
  <c r="P51" i="20"/>
  <c r="T48" i="20"/>
  <c r="T47" i="20"/>
  <c r="O43" i="20"/>
  <c r="P41" i="20"/>
  <c r="I41" i="20"/>
  <c r="H41" i="20"/>
  <c r="H42" i="20" s="1"/>
  <c r="G41" i="20"/>
  <c r="F41" i="20"/>
  <c r="E40" i="20"/>
  <c r="E39" i="20"/>
  <c r="T38" i="20"/>
  <c r="E38" i="20"/>
  <c r="T37" i="20"/>
  <c r="E37" i="20"/>
  <c r="O33" i="20"/>
  <c r="W29" i="20"/>
  <c r="O31" i="20" s="1"/>
  <c r="T28" i="20"/>
  <c r="T27" i="20"/>
  <c r="O23" i="20"/>
  <c r="W19" i="20"/>
  <c r="AW6" i="20"/>
  <c r="AW7" i="20" s="1"/>
  <c r="AW8" i="20" s="1"/>
  <c r="AW9" i="20" s="1"/>
  <c r="AW10" i="20" s="1"/>
  <c r="AW11" i="20" s="1"/>
  <c r="AW12" i="20" s="1"/>
  <c r="AW13" i="20" s="1"/>
  <c r="AW14" i="20" s="1"/>
  <c r="AW15" i="20" s="1"/>
  <c r="O6" i="20"/>
  <c r="X43" i="20" s="1"/>
  <c r="O5" i="20"/>
  <c r="X33" i="20" s="1"/>
  <c r="AW4" i="20"/>
  <c r="AW5" i="20" s="1"/>
  <c r="AV4" i="20"/>
  <c r="AV5" i="20" s="1"/>
  <c r="AV6" i="20" s="1"/>
  <c r="AV7" i="20" s="1"/>
  <c r="AV8" i="20" s="1"/>
  <c r="AV9" i="20" s="1"/>
  <c r="AV10" i="20" s="1"/>
  <c r="AV11" i="20" s="1"/>
  <c r="AV12" i="20" s="1"/>
  <c r="AV13" i="20" s="1"/>
  <c r="AV14" i="20" s="1"/>
  <c r="AV15" i="20" s="1"/>
  <c r="Y4" i="20"/>
  <c r="X4" i="20"/>
  <c r="O4" i="20"/>
  <c r="K5" i="20" s="1"/>
  <c r="O3" i="20"/>
  <c r="A1" i="20"/>
  <c r="T138" i="19"/>
  <c r="T137" i="19"/>
  <c r="O133" i="19"/>
  <c r="P131" i="19"/>
  <c r="T128" i="19"/>
  <c r="T127" i="19"/>
  <c r="O123" i="19"/>
  <c r="P121" i="19"/>
  <c r="T118" i="19"/>
  <c r="T117" i="19"/>
  <c r="O113" i="19"/>
  <c r="P111" i="19"/>
  <c r="T108" i="19"/>
  <c r="T107" i="19"/>
  <c r="O103" i="19"/>
  <c r="P101" i="19"/>
  <c r="T98" i="19"/>
  <c r="T97" i="19"/>
  <c r="O93" i="19"/>
  <c r="P91" i="19"/>
  <c r="T88" i="19"/>
  <c r="P88" i="19"/>
  <c r="T87" i="19"/>
  <c r="O83" i="19"/>
  <c r="P81" i="19"/>
  <c r="T78" i="19"/>
  <c r="T77" i="19"/>
  <c r="O73" i="19"/>
  <c r="G73" i="19"/>
  <c r="P71" i="19"/>
  <c r="T68" i="19"/>
  <c r="T67" i="19"/>
  <c r="O63" i="19"/>
  <c r="P61" i="19"/>
  <c r="T58" i="19"/>
  <c r="T57" i="19"/>
  <c r="O53" i="19"/>
  <c r="P51" i="19"/>
  <c r="T48" i="19"/>
  <c r="T47" i="19"/>
  <c r="O43" i="19"/>
  <c r="P41" i="19"/>
  <c r="I41" i="19"/>
  <c r="H42" i="19" s="1"/>
  <c r="H41" i="19"/>
  <c r="G41" i="19"/>
  <c r="F41" i="19"/>
  <c r="E40" i="19"/>
  <c r="E39" i="19"/>
  <c r="T38" i="19"/>
  <c r="E38" i="19"/>
  <c r="T37" i="19"/>
  <c r="E37" i="19"/>
  <c r="O33" i="19"/>
  <c r="T28" i="19"/>
  <c r="T27" i="19"/>
  <c r="O23" i="19"/>
  <c r="AW15" i="19"/>
  <c r="O6" i="19"/>
  <c r="X43" i="19" s="1"/>
  <c r="AW5" i="19"/>
  <c r="AW6" i="19" s="1"/>
  <c r="AW7" i="19" s="1"/>
  <c r="AW8" i="19" s="1"/>
  <c r="AW9" i="19" s="1"/>
  <c r="AW10" i="19" s="1"/>
  <c r="AW11" i="19" s="1"/>
  <c r="AW12" i="19" s="1"/>
  <c r="AW13" i="19" s="1"/>
  <c r="AW14" i="19" s="1"/>
  <c r="AV5" i="19"/>
  <c r="AV6" i="19" s="1"/>
  <c r="AV7" i="19" s="1"/>
  <c r="AV8" i="19" s="1"/>
  <c r="AV9" i="19" s="1"/>
  <c r="AV10" i="19" s="1"/>
  <c r="AV11" i="19" s="1"/>
  <c r="AV12" i="19" s="1"/>
  <c r="AV13" i="19" s="1"/>
  <c r="AV14" i="19" s="1"/>
  <c r="AV15" i="19" s="1"/>
  <c r="O5" i="19"/>
  <c r="W29" i="19" s="1"/>
  <c r="O31" i="19" s="1"/>
  <c r="AW4" i="19"/>
  <c r="AV4" i="19"/>
  <c r="Y4" i="19"/>
  <c r="X4" i="19"/>
  <c r="O4" i="19"/>
  <c r="O3" i="19" s="1"/>
  <c r="A1" i="19"/>
  <c r="T138" i="17"/>
  <c r="T137" i="17"/>
  <c r="O133" i="17"/>
  <c r="P131" i="17"/>
  <c r="T128" i="17"/>
  <c r="T127" i="17"/>
  <c r="O123" i="17"/>
  <c r="P121" i="17"/>
  <c r="T118" i="17"/>
  <c r="T117" i="17"/>
  <c r="O113" i="17"/>
  <c r="P111" i="17"/>
  <c r="T108" i="17"/>
  <c r="T107" i="17"/>
  <c r="O103" i="17"/>
  <c r="P101" i="17"/>
  <c r="T98" i="17"/>
  <c r="T97" i="17"/>
  <c r="O93" i="17"/>
  <c r="P91" i="17"/>
  <c r="T88" i="17"/>
  <c r="P88" i="17"/>
  <c r="T87" i="17"/>
  <c r="O83" i="17"/>
  <c r="P81" i="17"/>
  <c r="T78" i="17"/>
  <c r="T77" i="17"/>
  <c r="O73" i="17"/>
  <c r="G73" i="17"/>
  <c r="P71" i="17"/>
  <c r="T68" i="17"/>
  <c r="T67" i="17"/>
  <c r="O63" i="17"/>
  <c r="P61" i="17"/>
  <c r="T58" i="17"/>
  <c r="T57" i="17"/>
  <c r="O53" i="17"/>
  <c r="P51" i="17"/>
  <c r="T48" i="17"/>
  <c r="T47" i="17"/>
  <c r="O43" i="17"/>
  <c r="P41" i="17"/>
  <c r="I41" i="17"/>
  <c r="H41" i="17"/>
  <c r="H42" i="17" s="1"/>
  <c r="G41" i="17"/>
  <c r="F41" i="17"/>
  <c r="E40" i="17"/>
  <c r="E39" i="17"/>
  <c r="T38" i="17"/>
  <c r="E38" i="17"/>
  <c r="T37" i="17"/>
  <c r="E37" i="17"/>
  <c r="O33" i="17"/>
  <c r="T28" i="17"/>
  <c r="T27" i="17"/>
  <c r="O23" i="17"/>
  <c r="O6" i="17"/>
  <c r="W39" i="17" s="1"/>
  <c r="O41" i="17" s="1"/>
  <c r="O5" i="17"/>
  <c r="W29" i="17" s="1"/>
  <c r="O31" i="17" s="1"/>
  <c r="K5" i="17"/>
  <c r="AW4" i="17"/>
  <c r="AW5" i="17" s="1"/>
  <c r="AW6" i="17" s="1"/>
  <c r="AW7" i="17" s="1"/>
  <c r="AW8" i="17" s="1"/>
  <c r="AW9" i="17" s="1"/>
  <c r="AW10" i="17" s="1"/>
  <c r="AW11" i="17" s="1"/>
  <c r="AW12" i="17" s="1"/>
  <c r="AW13" i="17" s="1"/>
  <c r="AW14" i="17" s="1"/>
  <c r="AW15" i="17" s="1"/>
  <c r="AV4" i="17"/>
  <c r="AV5" i="17" s="1"/>
  <c r="AV6" i="17" s="1"/>
  <c r="AV7" i="17" s="1"/>
  <c r="AV8" i="17" s="1"/>
  <c r="AV9" i="17" s="1"/>
  <c r="AV10" i="17" s="1"/>
  <c r="AV11" i="17" s="1"/>
  <c r="AV12" i="17" s="1"/>
  <c r="AV13" i="17" s="1"/>
  <c r="AV14" i="17" s="1"/>
  <c r="AV15" i="17" s="1"/>
  <c r="Y4" i="17"/>
  <c r="X4" i="17"/>
  <c r="O4" i="17"/>
  <c r="W19" i="17" s="1"/>
  <c r="O3" i="17"/>
  <c r="A1" i="17"/>
  <c r="T138" i="16"/>
  <c r="T137" i="16"/>
  <c r="O133" i="16"/>
  <c r="P131" i="16"/>
  <c r="T128" i="16"/>
  <c r="T127" i="16"/>
  <c r="O123" i="16"/>
  <c r="P121" i="16"/>
  <c r="T118" i="16"/>
  <c r="T117" i="16"/>
  <c r="O113" i="16"/>
  <c r="P111" i="16"/>
  <c r="T108" i="16"/>
  <c r="T107" i="16"/>
  <c r="O103" i="16"/>
  <c r="P101" i="16"/>
  <c r="T98" i="16"/>
  <c r="T97" i="16"/>
  <c r="O93" i="16"/>
  <c r="P91" i="16"/>
  <c r="T88" i="16"/>
  <c r="P88" i="16"/>
  <c r="T87" i="16"/>
  <c r="O83" i="16"/>
  <c r="P81" i="16"/>
  <c r="T78" i="16"/>
  <c r="T77" i="16"/>
  <c r="O73" i="16"/>
  <c r="G73" i="16"/>
  <c r="P71" i="16"/>
  <c r="T68" i="16"/>
  <c r="T67" i="16"/>
  <c r="O63" i="16"/>
  <c r="P61" i="16"/>
  <c r="T58" i="16"/>
  <c r="T57" i="16"/>
  <c r="O53" i="16"/>
  <c r="P51" i="16"/>
  <c r="T48" i="16"/>
  <c r="T47" i="16"/>
  <c r="O43" i="16"/>
  <c r="P41" i="16"/>
  <c r="I41" i="16"/>
  <c r="H41" i="16"/>
  <c r="H42" i="16" s="1"/>
  <c r="G41" i="16"/>
  <c r="F41" i="16"/>
  <c r="E40" i="16"/>
  <c r="E39" i="16"/>
  <c r="T38" i="16"/>
  <c r="E38" i="16"/>
  <c r="T37" i="16"/>
  <c r="E37" i="16"/>
  <c r="O33" i="16"/>
  <c r="W29" i="16"/>
  <c r="O31" i="16" s="1"/>
  <c r="T28" i="16"/>
  <c r="T27" i="16"/>
  <c r="O23" i="16"/>
  <c r="AV15" i="16"/>
  <c r="O6" i="16"/>
  <c r="AV5" i="16"/>
  <c r="AV6" i="16" s="1"/>
  <c r="AV7" i="16" s="1"/>
  <c r="AV8" i="16" s="1"/>
  <c r="AV9" i="16" s="1"/>
  <c r="AV10" i="16" s="1"/>
  <c r="AV11" i="16" s="1"/>
  <c r="AV12" i="16" s="1"/>
  <c r="AV13" i="16" s="1"/>
  <c r="AV14" i="16" s="1"/>
  <c r="O5" i="16"/>
  <c r="X33" i="16" s="1"/>
  <c r="AW4" i="16"/>
  <c r="AW5" i="16" s="1"/>
  <c r="AW6" i="16" s="1"/>
  <c r="AW7" i="16" s="1"/>
  <c r="AW8" i="16" s="1"/>
  <c r="AW9" i="16" s="1"/>
  <c r="AW10" i="16" s="1"/>
  <c r="AW11" i="16" s="1"/>
  <c r="AW12" i="16" s="1"/>
  <c r="AW13" i="16" s="1"/>
  <c r="AW14" i="16" s="1"/>
  <c r="AW15" i="16" s="1"/>
  <c r="AV4" i="16"/>
  <c r="Y4" i="16"/>
  <c r="X4" i="16"/>
  <c r="O4" i="16"/>
  <c r="W19" i="16" s="1"/>
  <c r="A1" i="16"/>
  <c r="T138" i="15"/>
  <c r="T137" i="15"/>
  <c r="O133" i="15"/>
  <c r="P131" i="15"/>
  <c r="T128" i="15"/>
  <c r="T127" i="15"/>
  <c r="O123" i="15"/>
  <c r="P121" i="15"/>
  <c r="T118" i="15"/>
  <c r="T117" i="15"/>
  <c r="O113" i="15"/>
  <c r="P111" i="15"/>
  <c r="T108" i="15"/>
  <c r="T107" i="15"/>
  <c r="O103" i="15"/>
  <c r="P101" i="15"/>
  <c r="T98" i="15"/>
  <c r="T97" i="15"/>
  <c r="O93" i="15"/>
  <c r="P91" i="15"/>
  <c r="T88" i="15"/>
  <c r="P88" i="15"/>
  <c r="T87" i="15"/>
  <c r="O83" i="15"/>
  <c r="P81" i="15"/>
  <c r="T78" i="15"/>
  <c r="T77" i="15"/>
  <c r="O73" i="15"/>
  <c r="G73" i="15"/>
  <c r="P71" i="15"/>
  <c r="T68" i="15"/>
  <c r="T67" i="15"/>
  <c r="O63" i="15"/>
  <c r="P61" i="15"/>
  <c r="T58" i="15"/>
  <c r="T57" i="15"/>
  <c r="O53" i="15"/>
  <c r="P51" i="15"/>
  <c r="T48" i="15"/>
  <c r="T47" i="15"/>
  <c r="O43" i="15"/>
  <c r="P41" i="15"/>
  <c r="I41" i="15"/>
  <c r="H41" i="15"/>
  <c r="G41" i="15"/>
  <c r="F41" i="15"/>
  <c r="E40" i="15"/>
  <c r="W39" i="15"/>
  <c r="O41" i="15" s="1"/>
  <c r="E39" i="15"/>
  <c r="T38" i="15"/>
  <c r="E38" i="15"/>
  <c r="T37" i="15"/>
  <c r="E37" i="15"/>
  <c r="O33" i="15"/>
  <c r="T28" i="15"/>
  <c r="T27" i="15"/>
  <c r="O23" i="15"/>
  <c r="AW7" i="15"/>
  <c r="AW8" i="15" s="1"/>
  <c r="AW9" i="15" s="1"/>
  <c r="AW10" i="15" s="1"/>
  <c r="AW11" i="15" s="1"/>
  <c r="AW12" i="15" s="1"/>
  <c r="AW13" i="15" s="1"/>
  <c r="AW14" i="15" s="1"/>
  <c r="AW15" i="15" s="1"/>
  <c r="O6" i="15"/>
  <c r="X43" i="15" s="1"/>
  <c r="AW5" i="15"/>
  <c r="AW6" i="15" s="1"/>
  <c r="AV5" i="15"/>
  <c r="AV6" i="15" s="1"/>
  <c r="AV7" i="15" s="1"/>
  <c r="AV8" i="15" s="1"/>
  <c r="AV9" i="15" s="1"/>
  <c r="AV10" i="15" s="1"/>
  <c r="AV11" i="15" s="1"/>
  <c r="AV12" i="15" s="1"/>
  <c r="AV13" i="15" s="1"/>
  <c r="AV14" i="15" s="1"/>
  <c r="AV15" i="15" s="1"/>
  <c r="O5" i="15"/>
  <c r="W29" i="15" s="1"/>
  <c r="O31" i="15" s="1"/>
  <c r="AW4" i="15"/>
  <c r="AV4" i="15"/>
  <c r="Y4" i="15"/>
  <c r="X4" i="15"/>
  <c r="O4" i="15"/>
  <c r="O3" i="15" s="1"/>
  <c r="A1" i="15"/>
  <c r="T138" i="14"/>
  <c r="T137" i="14"/>
  <c r="O133" i="14"/>
  <c r="P131" i="14"/>
  <c r="T128" i="14"/>
  <c r="T127" i="14"/>
  <c r="O123" i="14"/>
  <c r="P121" i="14"/>
  <c r="T118" i="14"/>
  <c r="T117" i="14"/>
  <c r="O113" i="14"/>
  <c r="P111" i="14"/>
  <c r="T108" i="14"/>
  <c r="T107" i="14"/>
  <c r="O103" i="14"/>
  <c r="P101" i="14"/>
  <c r="T98" i="14"/>
  <c r="T97" i="14"/>
  <c r="O93" i="14"/>
  <c r="P91" i="14"/>
  <c r="T88" i="14"/>
  <c r="P88" i="14"/>
  <c r="T87" i="14"/>
  <c r="O83" i="14"/>
  <c r="P81" i="14"/>
  <c r="T78" i="14"/>
  <c r="T77" i="14"/>
  <c r="O73" i="14"/>
  <c r="G73" i="14"/>
  <c r="P71" i="14"/>
  <c r="T68" i="14"/>
  <c r="T67" i="14"/>
  <c r="O63" i="14"/>
  <c r="P61" i="14"/>
  <c r="T58" i="14"/>
  <c r="T57" i="14"/>
  <c r="O53" i="14"/>
  <c r="P51" i="14"/>
  <c r="T48" i="14"/>
  <c r="T47" i="14"/>
  <c r="O43" i="14"/>
  <c r="H42" i="14"/>
  <c r="P41" i="14"/>
  <c r="I41" i="14"/>
  <c r="H41" i="14"/>
  <c r="G41" i="14"/>
  <c r="F41" i="14"/>
  <c r="E40" i="14"/>
  <c r="E39" i="14"/>
  <c r="T38" i="14"/>
  <c r="E38" i="14"/>
  <c r="T37" i="14"/>
  <c r="E37" i="14"/>
  <c r="O33" i="14"/>
  <c r="T28" i="14"/>
  <c r="T27" i="14"/>
  <c r="O23" i="14"/>
  <c r="AV8" i="14"/>
  <c r="AV9" i="14" s="1"/>
  <c r="AV10" i="14" s="1"/>
  <c r="AV11" i="14" s="1"/>
  <c r="AV12" i="14" s="1"/>
  <c r="AV13" i="14" s="1"/>
  <c r="AV14" i="14" s="1"/>
  <c r="AV15" i="14" s="1"/>
  <c r="O6" i="14"/>
  <c r="W39" i="14" s="1"/>
  <c r="O41" i="14" s="1"/>
  <c r="O5" i="14"/>
  <c r="K5" i="14"/>
  <c r="AW5" i="14"/>
  <c r="AW6" i="14" s="1"/>
  <c r="AW7" i="14" s="1"/>
  <c r="AW8" i="14" s="1"/>
  <c r="AW9" i="14" s="1"/>
  <c r="AW10" i="14" s="1"/>
  <c r="AW11" i="14" s="1"/>
  <c r="AW12" i="14" s="1"/>
  <c r="AW13" i="14" s="1"/>
  <c r="AW14" i="14" s="1"/>
  <c r="AW15" i="14" s="1"/>
  <c r="AV4" i="14"/>
  <c r="AV5" i="14" s="1"/>
  <c r="AV6" i="14" s="1"/>
  <c r="AV7" i="14" s="1"/>
  <c r="Y4" i="14"/>
  <c r="X4" i="14"/>
  <c r="O4" i="14"/>
  <c r="W19" i="14" s="1"/>
  <c r="A1" i="14"/>
  <c r="T138" i="11"/>
  <c r="T137" i="11"/>
  <c r="O133" i="11"/>
  <c r="P131" i="11"/>
  <c r="T128" i="11"/>
  <c r="T127" i="11"/>
  <c r="O123" i="11"/>
  <c r="P121" i="11"/>
  <c r="T118" i="11"/>
  <c r="T117" i="11"/>
  <c r="O113" i="11"/>
  <c r="P111" i="11"/>
  <c r="T108" i="11"/>
  <c r="T107" i="11"/>
  <c r="O103" i="11"/>
  <c r="P101" i="11"/>
  <c r="T98" i="11"/>
  <c r="T97" i="11"/>
  <c r="O93" i="11"/>
  <c r="P91" i="11"/>
  <c r="T88" i="11"/>
  <c r="P88" i="11"/>
  <c r="T87" i="11"/>
  <c r="O83" i="11"/>
  <c r="P81" i="11"/>
  <c r="T78" i="11"/>
  <c r="T77" i="11"/>
  <c r="O73" i="11"/>
  <c r="G73" i="11"/>
  <c r="P71" i="11"/>
  <c r="T68" i="11"/>
  <c r="T67" i="11"/>
  <c r="O63" i="11"/>
  <c r="P61" i="11"/>
  <c r="T58" i="11"/>
  <c r="T57" i="11"/>
  <c r="O53" i="11"/>
  <c r="P51" i="11"/>
  <c r="T48" i="11"/>
  <c r="T47" i="11"/>
  <c r="O43" i="11"/>
  <c r="P41" i="11"/>
  <c r="I41" i="11"/>
  <c r="H41" i="11"/>
  <c r="H42" i="11" s="1"/>
  <c r="G41" i="11"/>
  <c r="F41" i="11"/>
  <c r="E40" i="11"/>
  <c r="E39" i="11"/>
  <c r="T38" i="11"/>
  <c r="E38" i="11"/>
  <c r="T37" i="11"/>
  <c r="E37" i="11"/>
  <c r="O33" i="11"/>
  <c r="T28" i="11"/>
  <c r="T27" i="11"/>
  <c r="O23" i="11"/>
  <c r="O6" i="11"/>
  <c r="X43" i="11" s="1"/>
  <c r="AW5" i="11"/>
  <c r="AW6" i="11" s="1"/>
  <c r="AW7" i="11" s="1"/>
  <c r="AW8" i="11" s="1"/>
  <c r="AW9" i="11" s="1"/>
  <c r="AW10" i="11" s="1"/>
  <c r="AW11" i="11" s="1"/>
  <c r="AW12" i="11" s="1"/>
  <c r="AW13" i="11" s="1"/>
  <c r="AW14" i="11" s="1"/>
  <c r="AW15" i="11" s="1"/>
  <c r="AV5" i="11"/>
  <c r="AV6" i="11" s="1"/>
  <c r="AV7" i="11" s="1"/>
  <c r="AV8" i="11" s="1"/>
  <c r="AV9" i="11" s="1"/>
  <c r="AV10" i="11" s="1"/>
  <c r="AV11" i="11" s="1"/>
  <c r="AV12" i="11" s="1"/>
  <c r="AV13" i="11" s="1"/>
  <c r="AV14" i="11" s="1"/>
  <c r="AV15" i="11" s="1"/>
  <c r="O5" i="11"/>
  <c r="W29" i="11" s="1"/>
  <c r="O31" i="11" s="1"/>
  <c r="K5" i="11"/>
  <c r="Y4" i="11"/>
  <c r="X4" i="11"/>
  <c r="O4" i="11"/>
  <c r="O3" i="11" s="1"/>
  <c r="A1" i="11"/>
  <c r="T138" i="10"/>
  <c r="T137" i="10"/>
  <c r="O133" i="10"/>
  <c r="P131" i="10"/>
  <c r="T128" i="10"/>
  <c r="T127" i="10"/>
  <c r="O123" i="10"/>
  <c r="P121" i="10"/>
  <c r="T118" i="10"/>
  <c r="T117" i="10"/>
  <c r="O113" i="10"/>
  <c r="P111" i="10"/>
  <c r="T108" i="10"/>
  <c r="T107" i="10"/>
  <c r="O103" i="10"/>
  <c r="P101" i="10"/>
  <c r="T98" i="10"/>
  <c r="T97" i="10"/>
  <c r="O93" i="10"/>
  <c r="P91" i="10"/>
  <c r="T88" i="10"/>
  <c r="P88" i="10"/>
  <c r="T87" i="10"/>
  <c r="O83" i="10"/>
  <c r="P81" i="10"/>
  <c r="T78" i="10"/>
  <c r="T77" i="10"/>
  <c r="O73" i="10"/>
  <c r="G73" i="10"/>
  <c r="P71" i="10"/>
  <c r="T68" i="10"/>
  <c r="T67" i="10"/>
  <c r="O63" i="10"/>
  <c r="P61" i="10"/>
  <c r="T58" i="10"/>
  <c r="T57" i="10"/>
  <c r="O53" i="10"/>
  <c r="P51" i="10"/>
  <c r="T48" i="10"/>
  <c r="T47" i="10"/>
  <c r="O43" i="10"/>
  <c r="P41" i="10"/>
  <c r="I41" i="10"/>
  <c r="H42" i="10" s="1"/>
  <c r="H41" i="10"/>
  <c r="G41" i="10"/>
  <c r="F41" i="10"/>
  <c r="E40" i="10"/>
  <c r="E39" i="10"/>
  <c r="T38" i="10"/>
  <c r="E38" i="10"/>
  <c r="T37" i="10"/>
  <c r="E37" i="10"/>
  <c r="O33" i="10"/>
  <c r="T28" i="10"/>
  <c r="T27" i="10"/>
  <c r="O23" i="10"/>
  <c r="O6" i="10"/>
  <c r="X43" i="10" s="1"/>
  <c r="AW5" i="10"/>
  <c r="AW6" i="10" s="1"/>
  <c r="AW7" i="10" s="1"/>
  <c r="AW8" i="10" s="1"/>
  <c r="AW9" i="10" s="1"/>
  <c r="AW10" i="10" s="1"/>
  <c r="AW11" i="10" s="1"/>
  <c r="AW12" i="10" s="1"/>
  <c r="AW13" i="10" s="1"/>
  <c r="AW14" i="10" s="1"/>
  <c r="AW15" i="10" s="1"/>
  <c r="AV5" i="10"/>
  <c r="AV6" i="10" s="1"/>
  <c r="AV7" i="10" s="1"/>
  <c r="AV8" i="10" s="1"/>
  <c r="AV9" i="10" s="1"/>
  <c r="AV10" i="10" s="1"/>
  <c r="AV11" i="10" s="1"/>
  <c r="AV12" i="10" s="1"/>
  <c r="AV13" i="10" s="1"/>
  <c r="AV14" i="10" s="1"/>
  <c r="AV15" i="10" s="1"/>
  <c r="O5" i="10"/>
  <c r="Y4" i="10"/>
  <c r="X4" i="10"/>
  <c r="O4" i="10"/>
  <c r="A1" i="10"/>
  <c r="T138" i="8"/>
  <c r="T137" i="8"/>
  <c r="O133" i="8"/>
  <c r="P131" i="8"/>
  <c r="T128" i="8"/>
  <c r="T127" i="8"/>
  <c r="O123" i="8"/>
  <c r="P121" i="8"/>
  <c r="T118" i="8"/>
  <c r="T117" i="8"/>
  <c r="O113" i="8"/>
  <c r="P111" i="8"/>
  <c r="T108" i="8"/>
  <c r="T107" i="8"/>
  <c r="O103" i="8"/>
  <c r="P101" i="8"/>
  <c r="T98" i="8"/>
  <c r="T97" i="8"/>
  <c r="O93" i="8"/>
  <c r="P91" i="8"/>
  <c r="T88" i="8"/>
  <c r="P88" i="8"/>
  <c r="T87" i="8"/>
  <c r="O83" i="8"/>
  <c r="P81" i="8"/>
  <c r="T78" i="8"/>
  <c r="T77" i="8"/>
  <c r="O73" i="8"/>
  <c r="G73" i="8"/>
  <c r="P71" i="8"/>
  <c r="T68" i="8"/>
  <c r="T67" i="8"/>
  <c r="O63" i="8"/>
  <c r="P61" i="8"/>
  <c r="T58" i="8"/>
  <c r="T57" i="8"/>
  <c r="O53" i="8"/>
  <c r="P51" i="8"/>
  <c r="T48" i="8"/>
  <c r="T47" i="8"/>
  <c r="X43" i="8"/>
  <c r="O43" i="8"/>
  <c r="P41" i="8"/>
  <c r="I41" i="8"/>
  <c r="H41" i="8"/>
  <c r="H42" i="8" s="1"/>
  <c r="G41" i="8"/>
  <c r="F41" i="8"/>
  <c r="E40" i="8"/>
  <c r="E39" i="8"/>
  <c r="T38" i="8"/>
  <c r="E38" i="8"/>
  <c r="T37" i="8"/>
  <c r="E37" i="8"/>
  <c r="O33" i="8"/>
  <c r="T28" i="8"/>
  <c r="T27" i="8"/>
  <c r="O23" i="8"/>
  <c r="O6" i="8"/>
  <c r="W39" i="8" s="1"/>
  <c r="O41" i="8" s="1"/>
  <c r="AW5" i="8"/>
  <c r="AW6" i="8" s="1"/>
  <c r="AW7" i="8" s="1"/>
  <c r="AW8" i="8" s="1"/>
  <c r="AW9" i="8" s="1"/>
  <c r="AW10" i="8" s="1"/>
  <c r="AW11" i="8" s="1"/>
  <c r="AW12" i="8" s="1"/>
  <c r="AW13" i="8" s="1"/>
  <c r="AW14" i="8" s="1"/>
  <c r="AW15" i="8" s="1"/>
  <c r="AV5" i="8"/>
  <c r="AV6" i="8" s="1"/>
  <c r="AV7" i="8" s="1"/>
  <c r="AV8" i="8" s="1"/>
  <c r="AV9" i="8" s="1"/>
  <c r="AV10" i="8" s="1"/>
  <c r="AV11" i="8" s="1"/>
  <c r="AV12" i="8" s="1"/>
  <c r="AV13" i="8" s="1"/>
  <c r="AV14" i="8" s="1"/>
  <c r="AV15" i="8" s="1"/>
  <c r="O5" i="8"/>
  <c r="W29" i="8" s="1"/>
  <c r="O31" i="8" s="1"/>
  <c r="AW4" i="8"/>
  <c r="AV4" i="8"/>
  <c r="Y4" i="8"/>
  <c r="X4" i="8"/>
  <c r="O4" i="8"/>
  <c r="O3" i="8" s="1"/>
  <c r="A1" i="8"/>
  <c r="T138" i="7"/>
  <c r="T137" i="7"/>
  <c r="O133" i="7"/>
  <c r="P131" i="7"/>
  <c r="T128" i="7"/>
  <c r="T127" i="7"/>
  <c r="O123" i="7"/>
  <c r="P121" i="7"/>
  <c r="T118" i="7"/>
  <c r="T117" i="7"/>
  <c r="O113" i="7"/>
  <c r="P111" i="7"/>
  <c r="T108" i="7"/>
  <c r="T107" i="7"/>
  <c r="O103" i="7"/>
  <c r="P101" i="7"/>
  <c r="T98" i="7"/>
  <c r="T97" i="7"/>
  <c r="O93" i="7"/>
  <c r="P91" i="7"/>
  <c r="T88" i="7"/>
  <c r="P88" i="7"/>
  <c r="T87" i="7"/>
  <c r="O83" i="7"/>
  <c r="P81" i="7"/>
  <c r="T78" i="7"/>
  <c r="T77" i="7"/>
  <c r="O73" i="7"/>
  <c r="G73" i="7"/>
  <c r="P71" i="7"/>
  <c r="T68" i="7"/>
  <c r="T67" i="7"/>
  <c r="O63" i="7"/>
  <c r="P61" i="7"/>
  <c r="T58" i="7"/>
  <c r="T57" i="7"/>
  <c r="O53" i="7"/>
  <c r="P51" i="7"/>
  <c r="T48" i="7"/>
  <c r="T47" i="7"/>
  <c r="O43" i="7"/>
  <c r="P41" i="7"/>
  <c r="I41" i="7"/>
  <c r="H41" i="7"/>
  <c r="H42" i="7" s="1"/>
  <c r="G41" i="7"/>
  <c r="F41" i="7"/>
  <c r="E40" i="7"/>
  <c r="E39" i="7"/>
  <c r="T38" i="7"/>
  <c r="E38" i="7"/>
  <c r="T37" i="7"/>
  <c r="E37" i="7"/>
  <c r="O33" i="7"/>
  <c r="T28" i="7"/>
  <c r="T27" i="7"/>
  <c r="O23" i="7"/>
  <c r="O6" i="7"/>
  <c r="W39" i="7" s="1"/>
  <c r="O41" i="7" s="1"/>
  <c r="O5" i="7"/>
  <c r="X33" i="7" s="1"/>
  <c r="AW4" i="7"/>
  <c r="AW5" i="7" s="1"/>
  <c r="AW6" i="7" s="1"/>
  <c r="AW7" i="7" s="1"/>
  <c r="AW8" i="7" s="1"/>
  <c r="AW9" i="7" s="1"/>
  <c r="AW10" i="7" s="1"/>
  <c r="AW11" i="7" s="1"/>
  <c r="AW12" i="7" s="1"/>
  <c r="AW13" i="7" s="1"/>
  <c r="AW14" i="7" s="1"/>
  <c r="AW15" i="7" s="1"/>
  <c r="AV4" i="7"/>
  <c r="AV5" i="7" s="1"/>
  <c r="AV6" i="7" s="1"/>
  <c r="AV7" i="7" s="1"/>
  <c r="AV8" i="7" s="1"/>
  <c r="AV9" i="7" s="1"/>
  <c r="AV10" i="7" s="1"/>
  <c r="AV11" i="7" s="1"/>
  <c r="AV12" i="7" s="1"/>
  <c r="AV13" i="7" s="1"/>
  <c r="AV14" i="7" s="1"/>
  <c r="AV15" i="7" s="1"/>
  <c r="Y4" i="7"/>
  <c r="X4" i="7"/>
  <c r="O4" i="7"/>
  <c r="W19" i="7" s="1"/>
  <c r="A1" i="7"/>
  <c r="T138" i="6"/>
  <c r="T137" i="6"/>
  <c r="O133" i="6"/>
  <c r="P131" i="6"/>
  <c r="T128" i="6"/>
  <c r="T127" i="6"/>
  <c r="O123" i="6"/>
  <c r="P121" i="6"/>
  <c r="T118" i="6"/>
  <c r="T117" i="6"/>
  <c r="O113" i="6"/>
  <c r="P111" i="6"/>
  <c r="T108" i="6"/>
  <c r="T107" i="6"/>
  <c r="O103" i="6"/>
  <c r="P101" i="6"/>
  <c r="T98" i="6"/>
  <c r="T97" i="6"/>
  <c r="O93" i="6"/>
  <c r="P91" i="6"/>
  <c r="T88" i="6"/>
  <c r="P88" i="6"/>
  <c r="T87" i="6"/>
  <c r="O83" i="6"/>
  <c r="P81" i="6"/>
  <c r="T78" i="6"/>
  <c r="T77" i="6"/>
  <c r="O73" i="6"/>
  <c r="G73" i="6"/>
  <c r="P71" i="6"/>
  <c r="T68" i="6"/>
  <c r="T67" i="6"/>
  <c r="O63" i="6"/>
  <c r="P61" i="6"/>
  <c r="T58" i="6"/>
  <c r="T57" i="6"/>
  <c r="O53" i="6"/>
  <c r="P51" i="6"/>
  <c r="T48" i="6"/>
  <c r="T47" i="6"/>
  <c r="O43" i="6"/>
  <c r="P41" i="6"/>
  <c r="I41" i="6"/>
  <c r="H41" i="6"/>
  <c r="H42" i="6" s="1"/>
  <c r="G41" i="6"/>
  <c r="F41" i="6"/>
  <c r="E40" i="6"/>
  <c r="E39" i="6"/>
  <c r="T38" i="6"/>
  <c r="E38" i="6"/>
  <c r="T37" i="6"/>
  <c r="E37" i="6"/>
  <c r="O33" i="6"/>
  <c r="T28" i="6"/>
  <c r="T27" i="6"/>
  <c r="O23" i="6"/>
  <c r="AV7" i="6"/>
  <c r="AV8" i="6" s="1"/>
  <c r="AV9" i="6" s="1"/>
  <c r="AV10" i="6" s="1"/>
  <c r="AV11" i="6" s="1"/>
  <c r="AV12" i="6" s="1"/>
  <c r="AV13" i="6" s="1"/>
  <c r="AV14" i="6" s="1"/>
  <c r="AV15" i="6" s="1"/>
  <c r="AV6" i="6"/>
  <c r="O6" i="6"/>
  <c r="X43" i="6" s="1"/>
  <c r="AV5" i="6"/>
  <c r="O5" i="6"/>
  <c r="W29" i="6" s="1"/>
  <c r="O31" i="6" s="1"/>
  <c r="AW4" i="6"/>
  <c r="AW5" i="6" s="1"/>
  <c r="AW6" i="6" s="1"/>
  <c r="AW7" i="6" s="1"/>
  <c r="AW8" i="6" s="1"/>
  <c r="AW9" i="6" s="1"/>
  <c r="AW10" i="6" s="1"/>
  <c r="AW11" i="6" s="1"/>
  <c r="AW12" i="6" s="1"/>
  <c r="AW13" i="6" s="1"/>
  <c r="AW14" i="6" s="1"/>
  <c r="AW15" i="6" s="1"/>
  <c r="AV4" i="6"/>
  <c r="Y4" i="6"/>
  <c r="X4" i="6"/>
  <c r="O4" i="6"/>
  <c r="O3" i="6" s="1"/>
  <c r="A1" i="6"/>
  <c r="T138" i="5"/>
  <c r="T137" i="5"/>
  <c r="O133" i="5"/>
  <c r="P131" i="5"/>
  <c r="T128" i="5"/>
  <c r="T127" i="5"/>
  <c r="O123" i="5"/>
  <c r="P121" i="5"/>
  <c r="T118" i="5"/>
  <c r="T117" i="5"/>
  <c r="O113" i="5"/>
  <c r="P111" i="5"/>
  <c r="T108" i="5"/>
  <c r="T107" i="5"/>
  <c r="O103" i="5"/>
  <c r="P101" i="5"/>
  <c r="T98" i="5"/>
  <c r="T97" i="5"/>
  <c r="O93" i="5"/>
  <c r="P91" i="5"/>
  <c r="T88" i="5"/>
  <c r="P88" i="5"/>
  <c r="T87" i="5"/>
  <c r="O83" i="5"/>
  <c r="P81" i="5"/>
  <c r="T78" i="5"/>
  <c r="T77" i="5"/>
  <c r="O73" i="5"/>
  <c r="G73" i="5"/>
  <c r="P71" i="5"/>
  <c r="T68" i="5"/>
  <c r="T67" i="5"/>
  <c r="O63" i="5"/>
  <c r="P61" i="5"/>
  <c r="T58" i="5"/>
  <c r="T57" i="5"/>
  <c r="O53" i="5"/>
  <c r="P51" i="5"/>
  <c r="T48" i="5"/>
  <c r="T47" i="5"/>
  <c r="X43" i="5"/>
  <c r="O43" i="5"/>
  <c r="P41" i="5"/>
  <c r="I41" i="5"/>
  <c r="H41" i="5"/>
  <c r="H42" i="5" s="1"/>
  <c r="G41" i="5"/>
  <c r="F41" i="5"/>
  <c r="E40" i="5"/>
  <c r="W39" i="5"/>
  <c r="O41" i="5" s="1"/>
  <c r="E39" i="5"/>
  <c r="T38" i="5"/>
  <c r="E38" i="5"/>
  <c r="T37" i="5"/>
  <c r="E37" i="5"/>
  <c r="O33" i="5"/>
  <c r="T28" i="5"/>
  <c r="T27" i="5"/>
  <c r="O23" i="5"/>
  <c r="O6" i="5"/>
  <c r="AW5" i="5"/>
  <c r="AW6" i="5" s="1"/>
  <c r="AW7" i="5" s="1"/>
  <c r="AW8" i="5" s="1"/>
  <c r="AW9" i="5" s="1"/>
  <c r="AW10" i="5" s="1"/>
  <c r="AW11" i="5" s="1"/>
  <c r="AW12" i="5" s="1"/>
  <c r="AW13" i="5" s="1"/>
  <c r="AW14" i="5" s="1"/>
  <c r="AW15" i="5" s="1"/>
  <c r="AV5" i="5"/>
  <c r="AV6" i="5" s="1"/>
  <c r="AV7" i="5" s="1"/>
  <c r="AV8" i="5" s="1"/>
  <c r="AV9" i="5" s="1"/>
  <c r="AV10" i="5" s="1"/>
  <c r="AV11" i="5" s="1"/>
  <c r="AV12" i="5" s="1"/>
  <c r="AV13" i="5" s="1"/>
  <c r="AV14" i="5" s="1"/>
  <c r="AV15" i="5" s="1"/>
  <c r="O5" i="5"/>
  <c r="W29" i="5" s="1"/>
  <c r="O31" i="5" s="1"/>
  <c r="AW4" i="5"/>
  <c r="AV4" i="5"/>
  <c r="Y4" i="5"/>
  <c r="X4" i="5"/>
  <c r="O4" i="5"/>
  <c r="W19" i="5" s="1"/>
  <c r="T138" i="4"/>
  <c r="T137" i="4"/>
  <c r="O133" i="4"/>
  <c r="P131" i="4"/>
  <c r="T128" i="4"/>
  <c r="T127" i="4"/>
  <c r="O123" i="4"/>
  <c r="P121" i="4"/>
  <c r="T118" i="4"/>
  <c r="T117" i="4"/>
  <c r="O113" i="4"/>
  <c r="P111" i="4"/>
  <c r="T108" i="4"/>
  <c r="T107" i="4"/>
  <c r="O103" i="4"/>
  <c r="P101" i="4"/>
  <c r="T98" i="4"/>
  <c r="T97" i="4"/>
  <c r="O93" i="4"/>
  <c r="P91" i="4"/>
  <c r="T88" i="4"/>
  <c r="P88" i="4"/>
  <c r="T87" i="4"/>
  <c r="O83" i="4"/>
  <c r="P81" i="4"/>
  <c r="T78" i="4"/>
  <c r="T77" i="4"/>
  <c r="O73" i="4"/>
  <c r="G73" i="4"/>
  <c r="P71" i="4"/>
  <c r="T68" i="4"/>
  <c r="T67" i="4"/>
  <c r="O63" i="4"/>
  <c r="P61" i="4"/>
  <c r="T58" i="4"/>
  <c r="T57" i="4"/>
  <c r="O53" i="4"/>
  <c r="P51" i="4"/>
  <c r="T48" i="4"/>
  <c r="T47" i="4"/>
  <c r="X43" i="4"/>
  <c r="O43" i="4"/>
  <c r="P41" i="4"/>
  <c r="I41" i="4"/>
  <c r="H41" i="4"/>
  <c r="H42" i="4" s="1"/>
  <c r="G41" i="4"/>
  <c r="F41" i="4"/>
  <c r="E40" i="4"/>
  <c r="E39" i="4"/>
  <c r="T38" i="4"/>
  <c r="E38" i="4"/>
  <c r="T37" i="4"/>
  <c r="E37" i="4"/>
  <c r="O33" i="4"/>
  <c r="T28" i="4"/>
  <c r="T27" i="4"/>
  <c r="O23" i="4"/>
  <c r="O6" i="4"/>
  <c r="W39" i="4" s="1"/>
  <c r="O41" i="4" s="1"/>
  <c r="O5" i="4"/>
  <c r="X33" i="4" s="1"/>
  <c r="K5" i="4"/>
  <c r="AW4" i="4"/>
  <c r="AW5" i="4" s="1"/>
  <c r="AW6" i="4" s="1"/>
  <c r="AW7" i="4" s="1"/>
  <c r="AW8" i="4" s="1"/>
  <c r="AW9" i="4" s="1"/>
  <c r="AW10" i="4" s="1"/>
  <c r="AW11" i="4" s="1"/>
  <c r="AW12" i="4" s="1"/>
  <c r="AW13" i="4" s="1"/>
  <c r="AW14" i="4" s="1"/>
  <c r="AW15" i="4" s="1"/>
  <c r="AV4" i="4"/>
  <c r="AV5" i="4" s="1"/>
  <c r="AV6" i="4" s="1"/>
  <c r="AV7" i="4" s="1"/>
  <c r="AV8" i="4" s="1"/>
  <c r="AV9" i="4" s="1"/>
  <c r="AV10" i="4" s="1"/>
  <c r="AV11" i="4" s="1"/>
  <c r="AV12" i="4" s="1"/>
  <c r="AV13" i="4" s="1"/>
  <c r="AV14" i="4" s="1"/>
  <c r="AV15" i="4" s="1"/>
  <c r="Y4" i="4"/>
  <c r="X4" i="4"/>
  <c r="O4" i="4"/>
  <c r="W19" i="4" s="1"/>
  <c r="A1" i="4"/>
  <c r="M52" i="1"/>
  <c r="L52" i="1"/>
  <c r="K52" i="1"/>
  <c r="J34" i="1"/>
  <c r="J27" i="1"/>
  <c r="J25" i="1"/>
  <c r="B64" i="58"/>
  <c r="B63" i="58"/>
  <c r="B57" i="58"/>
  <c r="B29" i="58"/>
  <c r="B50" i="58"/>
  <c r="B27" i="58"/>
  <c r="B3" i="58"/>
  <c r="B8" i="57"/>
  <c r="B31" i="58"/>
  <c r="B58" i="58"/>
  <c r="B54" i="58"/>
  <c r="B21" i="58"/>
  <c r="B14" i="58"/>
  <c r="B38" i="58"/>
  <c r="B15" i="57"/>
  <c r="B36" i="58"/>
  <c r="B11" i="58"/>
  <c r="B52" i="58"/>
  <c r="B55" i="58"/>
  <c r="B12" i="58"/>
  <c r="B5" i="58"/>
  <c r="B24" i="58"/>
  <c r="B5" i="57"/>
  <c r="B17" i="57"/>
  <c r="B4" i="58"/>
  <c r="B46" i="58"/>
  <c r="B33" i="58"/>
  <c r="B24" i="57"/>
  <c r="B15" i="58"/>
  <c r="B9" i="58"/>
  <c r="B26" i="58"/>
  <c r="B3" i="57"/>
  <c r="B39" i="58"/>
  <c r="B30" i="58"/>
  <c r="B61" i="58"/>
  <c r="B56" i="58"/>
  <c r="B20" i="57"/>
  <c r="B6" i="58"/>
  <c r="B22" i="57"/>
  <c r="B2" i="57"/>
  <c r="B2" i="58"/>
  <c r="B28" i="58"/>
  <c r="B9" i="57"/>
  <c r="B62" i="58"/>
  <c r="B51" i="58"/>
  <c r="B16" i="57"/>
  <c r="B23" i="57"/>
  <c r="B18" i="57"/>
  <c r="B21" i="57"/>
  <c r="B7" i="57"/>
  <c r="B17" i="58"/>
  <c r="B34" i="58"/>
  <c r="B42" i="58"/>
  <c r="B12" i="57"/>
  <c r="B19" i="57"/>
  <c r="B14" i="57"/>
  <c r="B13" i="57"/>
  <c r="B4" i="57"/>
  <c r="B59" i="58"/>
  <c r="B10" i="57"/>
  <c r="B48" i="58"/>
  <c r="B53" i="58"/>
  <c r="B22" i="58"/>
  <c r="B60" i="58"/>
  <c r="B43" i="58"/>
  <c r="B7" i="58"/>
  <c r="B25" i="58"/>
  <c r="B6" i="57"/>
  <c r="B11" i="57"/>
  <c r="B19" i="58"/>
  <c r="B47" i="58"/>
  <c r="B16" i="58"/>
  <c r="B45" i="58"/>
  <c r="B37" i="58"/>
  <c r="B40" i="58"/>
  <c r="B49" i="58"/>
  <c r="B44" i="58"/>
  <c r="B35" i="58"/>
  <c r="B41" i="58"/>
  <c r="B10" i="58"/>
  <c r="B20" i="58"/>
  <c r="B13" i="58"/>
  <c r="B23" i="58"/>
  <c r="B32" i="58"/>
  <c r="B18" i="58"/>
  <c r="B8" i="58"/>
  <c r="C26" i="57"/>
  <c r="C25" i="57"/>
  <c r="U47" i="40" l="1"/>
  <c r="U107" i="40"/>
  <c r="U49" i="40"/>
  <c r="U109" i="40"/>
  <c r="U48" i="40"/>
  <c r="U7" i="40"/>
  <c r="U8" i="40"/>
  <c r="U67" i="40"/>
  <c r="U127" i="40"/>
  <c r="U9" i="40"/>
  <c r="U68" i="40"/>
  <c r="U128" i="40"/>
  <c r="U69" i="40"/>
  <c r="U27" i="40"/>
  <c r="U87" i="40"/>
  <c r="U108" i="40"/>
  <c r="U28" i="40"/>
  <c r="U88" i="40"/>
  <c r="U29" i="40"/>
  <c r="U89" i="40"/>
  <c r="P48" i="37"/>
  <c r="B119" i="41"/>
  <c r="B120" i="41" s="1"/>
  <c r="B20" i="41"/>
  <c r="B99" i="41"/>
  <c r="B100" i="41" s="1"/>
  <c r="B59" i="41"/>
  <c r="B60" i="41" s="1"/>
  <c r="B79" i="41"/>
  <c r="B80" i="41" s="1"/>
  <c r="P57" i="5"/>
  <c r="Q52" i="5"/>
  <c r="P58" i="5"/>
  <c r="P48" i="5"/>
  <c r="P47" i="5"/>
  <c r="Q42" i="5"/>
  <c r="P58" i="4"/>
  <c r="P57" i="4"/>
  <c r="Q52" i="4"/>
  <c r="X23" i="4"/>
  <c r="O21" i="4"/>
  <c r="X23" i="5"/>
  <c r="O21" i="5"/>
  <c r="O3" i="4"/>
  <c r="W29" i="4"/>
  <c r="O31" i="4" s="1"/>
  <c r="K5" i="5"/>
  <c r="P57" i="7"/>
  <c r="P58" i="7"/>
  <c r="Q52" i="7"/>
  <c r="X33" i="5"/>
  <c r="W19" i="6"/>
  <c r="O3" i="5"/>
  <c r="X23" i="7"/>
  <c r="O21" i="7"/>
  <c r="K5" i="6"/>
  <c r="P48" i="6"/>
  <c r="P47" i="6"/>
  <c r="Q42" i="6"/>
  <c r="W39" i="6"/>
  <c r="O41" i="6" s="1"/>
  <c r="P48" i="8"/>
  <c r="P47" i="8"/>
  <c r="Q42" i="8"/>
  <c r="X33" i="6"/>
  <c r="W29" i="7"/>
  <c r="O31" i="7" s="1"/>
  <c r="P57" i="8"/>
  <c r="Q52" i="8"/>
  <c r="P58" i="8"/>
  <c r="X43" i="7"/>
  <c r="K5" i="7"/>
  <c r="O3" i="7"/>
  <c r="W19" i="8"/>
  <c r="K5" i="8"/>
  <c r="P48" i="11"/>
  <c r="P47" i="11"/>
  <c r="Q42" i="11"/>
  <c r="W19" i="10"/>
  <c r="X33" i="8"/>
  <c r="K5" i="10"/>
  <c r="W29" i="10"/>
  <c r="O31" i="10" s="1"/>
  <c r="X33" i="10"/>
  <c r="W39" i="10"/>
  <c r="O41" i="10" s="1"/>
  <c r="O3" i="10"/>
  <c r="W19" i="11"/>
  <c r="W39" i="11"/>
  <c r="O41" i="11" s="1"/>
  <c r="W29" i="14"/>
  <c r="O31" i="14" s="1"/>
  <c r="X33" i="14"/>
  <c r="P58" i="14"/>
  <c r="Q52" i="14"/>
  <c r="P57" i="14"/>
  <c r="X33" i="11"/>
  <c r="X23" i="14"/>
  <c r="O21" i="14"/>
  <c r="X43" i="14"/>
  <c r="O3" i="14"/>
  <c r="P57" i="15"/>
  <c r="Q52" i="15"/>
  <c r="P58" i="15"/>
  <c r="P48" i="15"/>
  <c r="P47" i="15"/>
  <c r="Q42" i="15"/>
  <c r="H42" i="15"/>
  <c r="W19" i="15"/>
  <c r="P47" i="16"/>
  <c r="Q42" i="16"/>
  <c r="P48" i="16"/>
  <c r="X43" i="16"/>
  <c r="W39" i="16"/>
  <c r="O41" i="16" s="1"/>
  <c r="K5" i="15"/>
  <c r="X23" i="16"/>
  <c r="O21" i="16"/>
  <c r="Q42" i="17"/>
  <c r="P48" i="17"/>
  <c r="P47" i="17"/>
  <c r="X33" i="15"/>
  <c r="X23" i="17"/>
  <c r="O21" i="17"/>
  <c r="K5" i="16"/>
  <c r="P57" i="17"/>
  <c r="Q52" i="17"/>
  <c r="P58" i="17"/>
  <c r="O3" i="16"/>
  <c r="X23" i="20"/>
  <c r="O21" i="20"/>
  <c r="X33" i="17"/>
  <c r="P47" i="19"/>
  <c r="Q42" i="19"/>
  <c r="X43" i="17"/>
  <c r="P48" i="19"/>
  <c r="W19" i="19"/>
  <c r="W39" i="19"/>
  <c r="O41" i="19" s="1"/>
  <c r="P47" i="33"/>
  <c r="Q42" i="33"/>
  <c r="P48" i="33"/>
  <c r="P48" i="22"/>
  <c r="Q42" i="22"/>
  <c r="K5" i="19"/>
  <c r="P47" i="20"/>
  <c r="Q42" i="20"/>
  <c r="P48" i="20"/>
  <c r="X33" i="19"/>
  <c r="O3" i="33"/>
  <c r="K5" i="33"/>
  <c r="W19" i="33"/>
  <c r="O3" i="22"/>
  <c r="W19" i="22"/>
  <c r="W39" i="20"/>
  <c r="O41" i="20" s="1"/>
  <c r="K5" i="22"/>
  <c r="W39" i="22"/>
  <c r="O41" i="22" s="1"/>
  <c r="P57" i="24"/>
  <c r="P58" i="24"/>
  <c r="Q52" i="24"/>
  <c r="W19" i="24"/>
  <c r="W29" i="24"/>
  <c r="O31" i="24" s="1"/>
  <c r="X33" i="24"/>
  <c r="W29" i="34"/>
  <c r="O31" i="34" s="1"/>
  <c r="X33" i="34"/>
  <c r="P58" i="33"/>
  <c r="P57" i="33"/>
  <c r="P57" i="34"/>
  <c r="Q52" i="34"/>
  <c r="P58" i="34"/>
  <c r="Q52" i="33"/>
  <c r="X23" i="34"/>
  <c r="O21" i="34"/>
  <c r="P48" i="35"/>
  <c r="Q42" i="35"/>
  <c r="P47" i="35"/>
  <c r="P58" i="35"/>
  <c r="P57" i="35"/>
  <c r="X33" i="35"/>
  <c r="X23" i="35"/>
  <c r="O21" i="35"/>
  <c r="X43" i="35"/>
  <c r="P47" i="37"/>
  <c r="Q42" i="37"/>
  <c r="O3" i="37"/>
  <c r="K5" i="37"/>
  <c r="H42" i="37"/>
  <c r="W19" i="37"/>
  <c r="W39" i="37"/>
  <c r="O41" i="37" s="1"/>
  <c r="C80" i="42"/>
  <c r="B139" i="41"/>
  <c r="B140" i="41" s="1"/>
  <c r="O6" i="59"/>
  <c r="A9" i="41"/>
  <c r="T9" i="41" s="1"/>
  <c r="A109" i="41"/>
  <c r="T109" i="41" s="1"/>
  <c r="A88" i="42"/>
  <c r="A28" i="42"/>
  <c r="A69" i="41"/>
  <c r="T69" i="41" s="1"/>
  <c r="A6" i="56"/>
  <c r="H7" i="46"/>
  <c r="A1" i="46" s="1"/>
  <c r="A128" i="42"/>
  <c r="A68" i="42"/>
  <c r="A8" i="42"/>
  <c r="A129" i="41"/>
  <c r="T129" i="41" s="1"/>
  <c r="A129" i="40"/>
  <c r="A108" i="42"/>
  <c r="A48" i="42"/>
  <c r="B39" i="41"/>
  <c r="B40" i="41" s="1"/>
  <c r="W29" i="59"/>
  <c r="O31" i="59" s="1"/>
  <c r="X33" i="59"/>
  <c r="W19" i="59"/>
  <c r="O3" i="59"/>
  <c r="K5" i="59"/>
  <c r="H7" i="45"/>
  <c r="A1" i="45" s="1"/>
  <c r="U129" i="40" l="1"/>
  <c r="Q42" i="59"/>
  <c r="P48" i="59"/>
  <c r="P47" i="59"/>
  <c r="P58" i="22"/>
  <c r="P57" i="22"/>
  <c r="Q52" i="22"/>
  <c r="X23" i="22"/>
  <c r="O21" i="22"/>
  <c r="P48" i="34"/>
  <c r="P47" i="34"/>
  <c r="Q42" i="34"/>
  <c r="O7" i="59"/>
  <c r="H7" i="47"/>
  <c r="A1" i="47" s="1"/>
  <c r="A89" i="42"/>
  <c r="A29" i="42"/>
  <c r="A30" i="41"/>
  <c r="T30" i="41" s="1"/>
  <c r="A130" i="41"/>
  <c r="T130" i="41" s="1"/>
  <c r="A7" i="56"/>
  <c r="A129" i="42"/>
  <c r="A69" i="42"/>
  <c r="A9" i="42"/>
  <c r="A90" i="41"/>
  <c r="T90" i="41" s="1"/>
  <c r="A110" i="41"/>
  <c r="T110" i="41" s="1"/>
  <c r="A130" i="40"/>
  <c r="A49" i="42"/>
  <c r="A10" i="41"/>
  <c r="T10" i="41" s="1"/>
  <c r="A90" i="40"/>
  <c r="A30" i="40"/>
  <c r="A109" i="42"/>
  <c r="A70" i="40"/>
  <c r="O7" i="37"/>
  <c r="A70" i="41"/>
  <c r="T70" i="41" s="1"/>
  <c r="A50" i="41"/>
  <c r="T50" i="41" s="1"/>
  <c r="A50" i="40"/>
  <c r="A10" i="40"/>
  <c r="A110" i="40"/>
  <c r="O7" i="35"/>
  <c r="O7" i="34"/>
  <c r="O7" i="33"/>
  <c r="O7" i="24"/>
  <c r="O7" i="20"/>
  <c r="O7" i="22"/>
  <c r="O7" i="19"/>
  <c r="O7" i="17"/>
  <c r="O7" i="16"/>
  <c r="O7" i="15"/>
  <c r="O7" i="14"/>
  <c r="O7" i="11"/>
  <c r="O7" i="10"/>
  <c r="O7" i="8"/>
  <c r="O7" i="7"/>
  <c r="O7" i="6"/>
  <c r="O7" i="4"/>
  <c r="O7" i="5"/>
  <c r="P58" i="37"/>
  <c r="Q52" i="37"/>
  <c r="P57" i="37"/>
  <c r="P58" i="20"/>
  <c r="P57" i="20"/>
  <c r="Q52" i="20"/>
  <c r="P27" i="34"/>
  <c r="P38" i="34"/>
  <c r="P37" i="34"/>
  <c r="Q32" i="34"/>
  <c r="P27" i="35"/>
  <c r="P38" i="35"/>
  <c r="P37" i="35"/>
  <c r="Q32" i="35"/>
  <c r="O21" i="24"/>
  <c r="X23" i="24"/>
  <c r="P48" i="24"/>
  <c r="Q42" i="24"/>
  <c r="P47" i="24"/>
  <c r="P57" i="10"/>
  <c r="Q52" i="10"/>
  <c r="P58" i="10"/>
  <c r="X43" i="59"/>
  <c r="W39" i="59"/>
  <c r="O41" i="59" s="1"/>
  <c r="O21" i="37"/>
  <c r="X23" i="37"/>
  <c r="O21" i="33"/>
  <c r="X23" i="33"/>
  <c r="X23" i="59"/>
  <c r="O21" i="59"/>
  <c r="P48" i="14"/>
  <c r="Q42" i="14"/>
  <c r="P47" i="14"/>
  <c r="P27" i="4"/>
  <c r="P38" i="4"/>
  <c r="Q32" i="4"/>
  <c r="P37" i="4"/>
  <c r="X23" i="19"/>
  <c r="O21" i="19"/>
  <c r="P27" i="7"/>
  <c r="P38" i="7"/>
  <c r="P37" i="7"/>
  <c r="Q32" i="7"/>
  <c r="Q52" i="19"/>
  <c r="P58" i="19"/>
  <c r="P57" i="19"/>
  <c r="Q32" i="20"/>
  <c r="P27" i="20"/>
  <c r="P38" i="20"/>
  <c r="P37" i="20"/>
  <c r="Q32" i="16"/>
  <c r="P27" i="16"/>
  <c r="P38" i="16"/>
  <c r="P37" i="16"/>
  <c r="P48" i="10"/>
  <c r="P47" i="10"/>
  <c r="Q42" i="10"/>
  <c r="P57" i="6"/>
  <c r="Q52" i="6"/>
  <c r="P58" i="6"/>
  <c r="X23" i="15"/>
  <c r="O21" i="15"/>
  <c r="Q42" i="4"/>
  <c r="P47" i="4"/>
  <c r="P48" i="4"/>
  <c r="P58" i="16"/>
  <c r="P57" i="16"/>
  <c r="Q52" i="16"/>
  <c r="P57" i="11"/>
  <c r="Q52" i="11"/>
  <c r="P58" i="11"/>
  <c r="X23" i="10"/>
  <c r="O21" i="10"/>
  <c r="P38" i="5"/>
  <c r="P27" i="5"/>
  <c r="P37" i="5"/>
  <c r="Q32" i="5"/>
  <c r="O21" i="8"/>
  <c r="X23" i="8"/>
  <c r="X23" i="11"/>
  <c r="O21" i="11"/>
  <c r="P48" i="7"/>
  <c r="Q42" i="7"/>
  <c r="P47" i="7"/>
  <c r="X23" i="6"/>
  <c r="O21" i="6"/>
  <c r="P27" i="17"/>
  <c r="P38" i="17"/>
  <c r="P37" i="17"/>
  <c r="Q32" i="17"/>
  <c r="P27" i="14"/>
  <c r="P38" i="14"/>
  <c r="P37" i="14"/>
  <c r="Q32" i="14"/>
  <c r="U70" i="40" l="1"/>
  <c r="U30" i="40"/>
  <c r="U90" i="40"/>
  <c r="U110" i="40"/>
  <c r="U130" i="40"/>
  <c r="U10" i="40"/>
  <c r="U50" i="40"/>
  <c r="P28" i="4"/>
  <c r="W49" i="7"/>
  <c r="O51" i="7" s="1"/>
  <c r="X53" i="7"/>
  <c r="X53" i="33"/>
  <c r="W49" i="33"/>
  <c r="O51" i="33" s="1"/>
  <c r="W49" i="34"/>
  <c r="O51" i="34" s="1"/>
  <c r="X53" i="34"/>
  <c r="P38" i="6"/>
  <c r="P37" i="6"/>
  <c r="Q32" i="6"/>
  <c r="P27" i="6"/>
  <c r="P28" i="20"/>
  <c r="W49" i="10"/>
  <c r="O51" i="10" s="1"/>
  <c r="X53" i="10"/>
  <c r="W49" i="35"/>
  <c r="O51" i="35" s="1"/>
  <c r="X53" i="35"/>
  <c r="P38" i="22"/>
  <c r="P27" i="22"/>
  <c r="P37" i="22"/>
  <c r="Q32" i="22"/>
  <c r="P37" i="8"/>
  <c r="Q32" i="8"/>
  <c r="P27" i="8"/>
  <c r="P38" i="8"/>
  <c r="P28" i="5"/>
  <c r="P28" i="35"/>
  <c r="W49" i="11"/>
  <c r="O51" i="11" s="1"/>
  <c r="X53" i="11"/>
  <c r="W49" i="59"/>
  <c r="O51" i="59" s="1"/>
  <c r="X53" i="59"/>
  <c r="P37" i="15"/>
  <c r="Q32" i="15"/>
  <c r="P38" i="15"/>
  <c r="P27" i="15"/>
  <c r="P28" i="16"/>
  <c r="P37" i="19"/>
  <c r="Q32" i="19"/>
  <c r="P27" i="19"/>
  <c r="P38" i="19"/>
  <c r="W49" i="14"/>
  <c r="O51" i="14" s="1"/>
  <c r="X53" i="14"/>
  <c r="P37" i="11"/>
  <c r="Q32" i="11"/>
  <c r="P27" i="11"/>
  <c r="P38" i="11"/>
  <c r="P38" i="33"/>
  <c r="Q32" i="33"/>
  <c r="P37" i="33"/>
  <c r="P27" i="33"/>
  <c r="P37" i="24"/>
  <c r="Q32" i="24"/>
  <c r="P38" i="24"/>
  <c r="P27" i="24"/>
  <c r="W49" i="15"/>
  <c r="O51" i="15" s="1"/>
  <c r="X53" i="15"/>
  <c r="Q32" i="37"/>
  <c r="P37" i="37"/>
  <c r="P27" i="37"/>
  <c r="P38" i="37"/>
  <c r="W49" i="16"/>
  <c r="O51" i="16" s="1"/>
  <c r="X53" i="16"/>
  <c r="W49" i="8"/>
  <c r="O51" i="8" s="1"/>
  <c r="X53" i="8"/>
  <c r="P28" i="17"/>
  <c r="P58" i="59"/>
  <c r="P57" i="59"/>
  <c r="Q52" i="59"/>
  <c r="X53" i="17"/>
  <c r="W49" i="17"/>
  <c r="O51" i="17" s="1"/>
  <c r="X53" i="19"/>
  <c r="W49" i="19"/>
  <c r="O51" i="19" s="1"/>
  <c r="X53" i="37"/>
  <c r="W49" i="37"/>
  <c r="O51" i="37" s="1"/>
  <c r="P28" i="7"/>
  <c r="W49" i="5"/>
  <c r="O51" i="5" s="1"/>
  <c r="X53" i="5"/>
  <c r="W49" i="22"/>
  <c r="O51" i="22" s="1"/>
  <c r="X53" i="22"/>
  <c r="O8" i="59"/>
  <c r="A31" i="41"/>
  <c r="T31" i="41" s="1"/>
  <c r="A90" i="42"/>
  <c r="A30" i="42"/>
  <c r="A131" i="41"/>
  <c r="T131" i="41" s="1"/>
  <c r="A8" i="56"/>
  <c r="A91" i="41"/>
  <c r="T91" i="41" s="1"/>
  <c r="A130" i="42"/>
  <c r="A70" i="42"/>
  <c r="A10" i="42"/>
  <c r="A131" i="40"/>
  <c r="A91" i="40"/>
  <c r="A31" i="40"/>
  <c r="A11" i="41"/>
  <c r="T11" i="41" s="1"/>
  <c r="A50" i="42"/>
  <c r="A110" i="42"/>
  <c r="A51" i="41"/>
  <c r="T51" i="41" s="1"/>
  <c r="A111" i="40"/>
  <c r="A51" i="40"/>
  <c r="A71" i="41"/>
  <c r="T71" i="41" s="1"/>
  <c r="A111" i="41"/>
  <c r="T111" i="41" s="1"/>
  <c r="A71" i="40"/>
  <c r="H7" i="48"/>
  <c r="A1" i="48" s="1"/>
  <c r="O8" i="37"/>
  <c r="A11" i="40"/>
  <c r="O8" i="35"/>
  <c r="O8" i="34"/>
  <c r="O8" i="33"/>
  <c r="O8" i="24"/>
  <c r="O8" i="22"/>
  <c r="O8" i="20"/>
  <c r="O8" i="19"/>
  <c r="O8" i="17"/>
  <c r="O8" i="15"/>
  <c r="O8" i="16"/>
  <c r="O8" i="14"/>
  <c r="O8" i="11"/>
  <c r="O8" i="8"/>
  <c r="O8" i="10"/>
  <c r="O8" i="6"/>
  <c r="O8" i="7"/>
  <c r="O8" i="5"/>
  <c r="O8" i="4"/>
  <c r="P28" i="14"/>
  <c r="P38" i="10"/>
  <c r="P37" i="10"/>
  <c r="Q32" i="10"/>
  <c r="P27" i="10"/>
  <c r="W49" i="4"/>
  <c r="O51" i="4" s="1"/>
  <c r="X53" i="4"/>
  <c r="W49" i="20"/>
  <c r="O51" i="20" s="1"/>
  <c r="X53" i="20"/>
  <c r="Q32" i="59"/>
  <c r="P38" i="59"/>
  <c r="P37" i="59"/>
  <c r="P27" i="59"/>
  <c r="P28" i="34"/>
  <c r="W49" i="6"/>
  <c r="O51" i="6" s="1"/>
  <c r="X53" i="6"/>
  <c r="X53" i="24"/>
  <c r="W49" i="24"/>
  <c r="O51" i="24" s="1"/>
  <c r="N8" i="57"/>
  <c r="E29" i="58"/>
  <c r="C49" i="58"/>
  <c r="Z7" i="57"/>
  <c r="T5" i="57"/>
  <c r="L5" i="58"/>
  <c r="N44" i="58"/>
  <c r="N57" i="58"/>
  <c r="F15" i="57"/>
  <c r="C21" i="57"/>
  <c r="M46" i="58"/>
  <c r="D5" i="57"/>
  <c r="K36" i="58"/>
  <c r="F56" i="58"/>
  <c r="I21" i="58"/>
  <c r="K33" i="58"/>
  <c r="L15" i="58"/>
  <c r="Q8" i="57"/>
  <c r="P15" i="57"/>
  <c r="W5" i="57"/>
  <c r="E35" i="58"/>
  <c r="L51" i="58"/>
  <c r="F8" i="57"/>
  <c r="M30" i="58"/>
  <c r="F44" i="58"/>
  <c r="I45" i="58"/>
  <c r="J7" i="57"/>
  <c r="J5" i="58"/>
  <c r="J35" i="58"/>
  <c r="L52" i="58"/>
  <c r="W20" i="57"/>
  <c r="Z11" i="57"/>
  <c r="K26" i="58"/>
  <c r="C44" i="58"/>
  <c r="K3" i="57"/>
  <c r="I2" i="57"/>
  <c r="S16" i="57"/>
  <c r="M37" i="58"/>
  <c r="D36" i="58"/>
  <c r="F3" i="58"/>
  <c r="N53" i="58"/>
  <c r="O9" i="58"/>
  <c r="Y12" i="57"/>
  <c r="G22" i="58"/>
  <c r="J4" i="58"/>
  <c r="J8" i="58"/>
  <c r="AA12" i="57"/>
  <c r="W8" i="57"/>
  <c r="J49" i="58"/>
  <c r="D59" i="58"/>
  <c r="H28" i="58"/>
  <c r="D37" i="58"/>
  <c r="C29" i="58"/>
  <c r="M16" i="58"/>
  <c r="G9" i="58"/>
  <c r="Y18" i="57"/>
  <c r="I40" i="58"/>
  <c r="H31" i="58"/>
  <c r="L33" i="58"/>
  <c r="I9" i="58"/>
  <c r="D15" i="57"/>
  <c r="J10" i="58"/>
  <c r="L13" i="57"/>
  <c r="M23" i="57"/>
  <c r="M4" i="58"/>
  <c r="K19" i="57"/>
  <c r="I34" i="58"/>
  <c r="L39" i="58"/>
  <c r="AA11" i="57"/>
  <c r="H5" i="57"/>
  <c r="I58" i="58"/>
  <c r="L42" i="58"/>
  <c r="N39" i="58"/>
  <c r="X14" i="57"/>
  <c r="P8" i="57"/>
  <c r="C4" i="57"/>
  <c r="AB2" i="57"/>
  <c r="J10" i="57"/>
  <c r="Q12" i="57"/>
  <c r="W17" i="57"/>
  <c r="H8" i="57"/>
  <c r="G37" i="58"/>
  <c r="H42" i="58"/>
  <c r="G31" i="58"/>
  <c r="J61" i="58"/>
  <c r="G17" i="58"/>
  <c r="U14" i="57"/>
  <c r="I10" i="58"/>
  <c r="AA7" i="57"/>
  <c r="AB12" i="57"/>
  <c r="L31" i="58"/>
  <c r="D41" i="58"/>
  <c r="N30" i="58"/>
  <c r="AB5" i="57"/>
  <c r="V3" i="57"/>
  <c r="O14" i="58"/>
  <c r="M13" i="58"/>
  <c r="D5" i="58"/>
  <c r="M33" i="58"/>
  <c r="C7" i="57"/>
  <c r="L62" i="58"/>
  <c r="M38" i="58"/>
  <c r="F11" i="57"/>
  <c r="D60" i="58"/>
  <c r="P13" i="57"/>
  <c r="P3" i="57"/>
  <c r="X19" i="57"/>
  <c r="H21" i="58"/>
  <c r="N18" i="58"/>
  <c r="K8" i="58"/>
  <c r="Y21" i="57"/>
  <c r="N32" i="58"/>
  <c r="H14" i="57"/>
  <c r="K14" i="58"/>
  <c r="O16" i="58"/>
  <c r="N64" i="58"/>
  <c r="K43" i="58"/>
  <c r="C5" i="57"/>
  <c r="I3" i="57"/>
  <c r="K7" i="58"/>
  <c r="I30" i="58"/>
  <c r="D2" i="58"/>
  <c r="Z13" i="57"/>
  <c r="W22" i="57"/>
  <c r="F16" i="57"/>
  <c r="G35" i="58"/>
  <c r="F28" i="58"/>
  <c r="H2" i="57"/>
  <c r="AB3" i="57"/>
  <c r="Y7" i="57"/>
  <c r="S19" i="57"/>
  <c r="D11" i="57"/>
  <c r="K42" i="58"/>
  <c r="O61" i="58"/>
  <c r="O8" i="58"/>
  <c r="G64" i="58"/>
  <c r="R23" i="57"/>
  <c r="C42" i="58"/>
  <c r="AB9" i="57"/>
  <c r="H22" i="58"/>
  <c r="J21" i="57"/>
  <c r="J4" i="57"/>
  <c r="I31" i="58"/>
  <c r="O16" i="57"/>
  <c r="M40" i="58"/>
  <c r="E8" i="58"/>
  <c r="F22" i="57"/>
  <c r="N12" i="57"/>
  <c r="D55" i="58"/>
  <c r="H24" i="58"/>
  <c r="C28" i="58"/>
  <c r="D31" i="58"/>
  <c r="H39" i="58"/>
  <c r="N3" i="58"/>
  <c r="O10" i="58"/>
  <c r="J62" i="58"/>
  <c r="I23" i="58"/>
  <c r="F43" i="58"/>
  <c r="AA3" i="57"/>
  <c r="AB14" i="57"/>
  <c r="F19" i="58"/>
  <c r="L8" i="57"/>
  <c r="L14" i="57"/>
  <c r="F8" i="58"/>
  <c r="L8" i="58"/>
  <c r="I18" i="57"/>
  <c r="L59" i="58"/>
  <c r="H26" i="58"/>
  <c r="X20" i="57"/>
  <c r="K4" i="57"/>
  <c r="I11" i="58"/>
  <c r="L43" i="58"/>
  <c r="V17" i="57"/>
  <c r="M34" i="58"/>
  <c r="O28" i="58"/>
  <c r="AB15" i="57"/>
  <c r="Q6" i="57"/>
  <c r="F24" i="58"/>
  <c r="I27" i="58"/>
  <c r="E3" i="57"/>
  <c r="G43" i="58"/>
  <c r="L7" i="58"/>
  <c r="I26" i="58"/>
  <c r="L9" i="58"/>
  <c r="S22" i="57"/>
  <c r="O38" i="58"/>
  <c r="K11" i="57"/>
  <c r="Q13" i="57"/>
  <c r="N4" i="58"/>
  <c r="G15" i="57"/>
  <c r="G12" i="58"/>
  <c r="O47" i="58"/>
  <c r="R14" i="57"/>
  <c r="F36" i="58"/>
  <c r="O29" i="58"/>
  <c r="G44" i="58"/>
  <c r="H36" i="58"/>
  <c r="U3" i="57"/>
  <c r="N51" i="58"/>
  <c r="M17" i="58"/>
  <c r="D21" i="58"/>
  <c r="G21" i="58"/>
  <c r="C15" i="57"/>
  <c r="J34" i="58"/>
  <c r="I15" i="58"/>
  <c r="H30" i="58"/>
  <c r="X13" i="57"/>
  <c r="I62" i="58"/>
  <c r="L29" i="58"/>
  <c r="J41" i="58"/>
  <c r="J58" i="58"/>
  <c r="J17" i="58"/>
  <c r="M35" i="58"/>
  <c r="X23" i="57"/>
  <c r="M31" i="58"/>
  <c r="O31" i="58"/>
  <c r="J3" i="58"/>
  <c r="S21" i="57"/>
  <c r="P12" i="57"/>
  <c r="J40" i="58"/>
  <c r="H19" i="58"/>
  <c r="L44" i="58"/>
  <c r="H18" i="58"/>
  <c r="G59" i="58"/>
  <c r="T19" i="57"/>
  <c r="F52" i="58"/>
  <c r="O55" i="58"/>
  <c r="Y22" i="57"/>
  <c r="Z2" i="57"/>
  <c r="K56" i="58"/>
  <c r="N6" i="58"/>
  <c r="G54" i="58"/>
  <c r="D52" i="58"/>
  <c r="J30" i="58"/>
  <c r="M56" i="58"/>
  <c r="P20" i="57"/>
  <c r="K64" i="58"/>
  <c r="G15" i="58"/>
  <c r="X11" i="57"/>
  <c r="J44" i="58"/>
  <c r="S20" i="57"/>
  <c r="N47" i="58"/>
  <c r="R24" i="57"/>
  <c r="T23" i="57"/>
  <c r="D18" i="57"/>
  <c r="E50" i="58"/>
  <c r="T6" i="57"/>
  <c r="E57" i="58"/>
  <c r="J13" i="58"/>
  <c r="V6" i="57"/>
  <c r="K22" i="57"/>
  <c r="I11" i="57"/>
  <c r="K59" i="58"/>
  <c r="Z18" i="57"/>
  <c r="M26" i="58"/>
  <c r="L53" i="58"/>
  <c r="S12" i="57"/>
  <c r="E21" i="58"/>
  <c r="G46" i="58"/>
  <c r="J57" i="58"/>
  <c r="F59" i="58"/>
  <c r="J11" i="58"/>
  <c r="E4" i="57"/>
  <c r="L54" i="58"/>
  <c r="W18" i="57"/>
  <c r="N40" i="58"/>
  <c r="E24" i="57"/>
  <c r="R22" i="57"/>
  <c r="R7" i="57"/>
  <c r="H27" i="58"/>
  <c r="D8" i="58"/>
  <c r="I6" i="58"/>
  <c r="Y23" i="57"/>
  <c r="H38" i="58"/>
  <c r="Y2" i="57"/>
  <c r="F61" i="58"/>
  <c r="I20" i="58"/>
  <c r="N29" i="58"/>
  <c r="M22" i="58"/>
  <c r="C62" i="58"/>
  <c r="Y6" i="57"/>
  <c r="W9" i="57"/>
  <c r="N42" i="58"/>
  <c r="K54" i="58"/>
  <c r="L34" i="58"/>
  <c r="G28" i="58"/>
  <c r="D57" i="58"/>
  <c r="F27" i="58"/>
  <c r="F21" i="58"/>
  <c r="M7" i="58"/>
  <c r="G20" i="58"/>
  <c r="D17" i="58"/>
  <c r="K7" i="57"/>
  <c r="C54" i="58"/>
  <c r="C33" i="58"/>
  <c r="O41" i="58"/>
  <c r="F31" i="58"/>
  <c r="M50" i="58"/>
  <c r="Z8" i="57"/>
  <c r="K49" i="58"/>
  <c r="D28" i="58"/>
  <c r="D49" i="58"/>
  <c r="J51" i="58"/>
  <c r="T18" i="57"/>
  <c r="AB8" i="57"/>
  <c r="X22" i="57"/>
  <c r="J9" i="57"/>
  <c r="G33" i="58"/>
  <c r="K2" i="57"/>
  <c r="AA9" i="57"/>
  <c r="D29" i="58"/>
  <c r="O2" i="57"/>
  <c r="Y4" i="57"/>
  <c r="I13" i="58"/>
  <c r="I53" i="58"/>
  <c r="I59" i="58"/>
  <c r="H6" i="58"/>
  <c r="P16" i="57"/>
  <c r="F14" i="57"/>
  <c r="T12" i="57"/>
  <c r="G40" i="58"/>
  <c r="H45" i="58"/>
  <c r="F39" i="58"/>
  <c r="D38" i="58"/>
  <c r="K8" i="57"/>
  <c r="I20" i="57"/>
  <c r="C24" i="57"/>
  <c r="M16" i="57"/>
  <c r="AA13" i="57"/>
  <c r="D23" i="58"/>
  <c r="V16" i="57"/>
  <c r="N14" i="58"/>
  <c r="I10" i="57"/>
  <c r="O4" i="57"/>
  <c r="E8" i="57"/>
  <c r="F2" i="58"/>
  <c r="E21" i="57"/>
  <c r="N15" i="58"/>
  <c r="Y10" i="57"/>
  <c r="O5" i="58"/>
  <c r="G3" i="58"/>
  <c r="H17" i="58"/>
  <c r="N31" i="58"/>
  <c r="S7" i="57"/>
  <c r="E54" i="58"/>
  <c r="F42" i="58"/>
  <c r="E16" i="57"/>
  <c r="F29" i="58"/>
  <c r="M44" i="58"/>
  <c r="L13" i="58"/>
  <c r="D40" i="58"/>
  <c r="N59" i="58"/>
  <c r="O40" i="58"/>
  <c r="O22" i="58"/>
  <c r="C63" i="58"/>
  <c r="N61" i="58"/>
  <c r="G23" i="57"/>
  <c r="D3" i="57"/>
  <c r="T10" i="57"/>
  <c r="K45" i="58"/>
  <c r="J23" i="57"/>
  <c r="J11" i="57"/>
  <c r="E25" i="58"/>
  <c r="F11" i="58"/>
  <c r="C64" i="58"/>
  <c r="I14" i="57"/>
  <c r="D6" i="57"/>
  <c r="C61" i="58"/>
  <c r="N34" i="58"/>
  <c r="O46" i="58"/>
  <c r="M25" i="58"/>
  <c r="G10" i="58"/>
  <c r="N7" i="58"/>
  <c r="L18" i="58"/>
  <c r="O35" i="58"/>
  <c r="O45" i="58"/>
  <c r="O5" i="57"/>
  <c r="I4" i="57"/>
  <c r="X9" i="57"/>
  <c r="K13" i="58"/>
  <c r="W2" i="57"/>
  <c r="K2" i="58"/>
  <c r="O7" i="58"/>
  <c r="N58" i="58"/>
  <c r="O20" i="58"/>
  <c r="J12" i="58"/>
  <c r="O13" i="58"/>
  <c r="L47" i="58"/>
  <c r="I42" i="58"/>
  <c r="N26" i="58"/>
  <c r="U12" i="57"/>
  <c r="J36" i="58"/>
  <c r="Y15" i="57"/>
  <c r="C41" i="58"/>
  <c r="O21" i="58"/>
  <c r="D22" i="58"/>
  <c r="G45" i="58"/>
  <c r="C36" i="58"/>
  <c r="O21" i="57"/>
  <c r="F40" i="58"/>
  <c r="K6" i="58"/>
  <c r="J32" i="58"/>
  <c r="L21" i="58"/>
  <c r="C22" i="57"/>
  <c r="K18" i="57"/>
  <c r="E37" i="58"/>
  <c r="D50" i="58"/>
  <c r="L57" i="58"/>
  <c r="C20" i="57"/>
  <c r="P17" i="57"/>
  <c r="M24" i="58"/>
  <c r="D10" i="57"/>
  <c r="R12" i="57"/>
  <c r="R5" i="57"/>
  <c r="N56" i="58"/>
  <c r="R6" i="57"/>
  <c r="M55" i="58"/>
  <c r="T14" i="57"/>
  <c r="F4" i="58"/>
  <c r="C37" i="58"/>
  <c r="C53" i="58"/>
  <c r="D39" i="58"/>
  <c r="W4" i="57"/>
  <c r="Z3" i="57"/>
  <c r="K37" i="58"/>
  <c r="O42" i="58"/>
  <c r="T2" i="57"/>
  <c r="N20" i="58"/>
  <c r="H13" i="57"/>
  <c r="E7" i="57"/>
  <c r="D48" i="58"/>
  <c r="O14" i="57"/>
  <c r="G30" i="58"/>
  <c r="M18" i="58"/>
  <c r="D4" i="57"/>
  <c r="M14" i="58"/>
  <c r="C50" i="58"/>
  <c r="W19" i="57"/>
  <c r="E46" i="58"/>
  <c r="E10" i="58"/>
  <c r="C43" i="58"/>
  <c r="J5" i="57"/>
  <c r="D56" i="58"/>
  <c r="K53" i="58"/>
  <c r="T9" i="57"/>
  <c r="M11" i="58"/>
  <c r="L4" i="58"/>
  <c r="Q9" i="57"/>
  <c r="M58" i="58"/>
  <c r="E22" i="58"/>
  <c r="O33" i="58"/>
  <c r="F3" i="57"/>
  <c r="L3" i="57"/>
  <c r="K23" i="58"/>
  <c r="E6" i="57"/>
  <c r="J16" i="58"/>
  <c r="J64" i="58"/>
  <c r="I64" i="58"/>
  <c r="G2" i="58"/>
  <c r="M29" i="58"/>
  <c r="P9" i="57"/>
  <c r="C38" i="58"/>
  <c r="Z6" i="57"/>
  <c r="Y3" i="57"/>
  <c r="H11" i="58"/>
  <c r="H40" i="58"/>
  <c r="D8" i="57"/>
  <c r="H12" i="58"/>
  <c r="S14" i="57"/>
  <c r="N36" i="58"/>
  <c r="G14" i="57"/>
  <c r="R3" i="57"/>
  <c r="H2" i="58"/>
  <c r="AA19" i="57"/>
  <c r="AA21" i="57"/>
  <c r="J14" i="58"/>
  <c r="AB20" i="57"/>
  <c r="D19" i="57"/>
  <c r="M19" i="58"/>
  <c r="E23" i="57"/>
  <c r="O17" i="58"/>
  <c r="N11" i="57"/>
  <c r="E3" i="58"/>
  <c r="F26" i="58"/>
  <c r="E12" i="58"/>
  <c r="P22" i="57"/>
  <c r="N38" i="58"/>
  <c r="T13" i="57"/>
  <c r="C20" i="58"/>
  <c r="G27" i="58"/>
  <c r="L56" i="58"/>
  <c r="O15" i="58"/>
  <c r="E9" i="57"/>
  <c r="K50" i="58"/>
  <c r="C40" i="58"/>
  <c r="Z23" i="57"/>
  <c r="S2" i="57"/>
  <c r="M3" i="58"/>
  <c r="O63" i="58"/>
  <c r="C6" i="57"/>
  <c r="M8" i="57"/>
  <c r="N10" i="58"/>
  <c r="AB16" i="57"/>
  <c r="M15" i="57"/>
  <c r="H58" i="58"/>
  <c r="E13" i="57"/>
  <c r="G34" i="58"/>
  <c r="F55" i="58"/>
  <c r="AB10" i="57"/>
  <c r="S11" i="57"/>
  <c r="G16" i="58"/>
  <c r="D19" i="58"/>
  <c r="G3" i="57"/>
  <c r="M52" i="58"/>
  <c r="I17" i="57"/>
  <c r="O50" i="58"/>
  <c r="O59" i="58"/>
  <c r="O23" i="57"/>
  <c r="F47" i="58"/>
  <c r="T8" i="57"/>
  <c r="C19" i="57"/>
  <c r="D15" i="58"/>
  <c r="V11" i="57"/>
  <c r="L6" i="58"/>
  <c r="D16" i="58"/>
  <c r="Z16" i="57"/>
  <c r="K13" i="57"/>
  <c r="N60" i="58"/>
  <c r="D11" i="58"/>
  <c r="I46" i="58"/>
  <c r="K46" i="58"/>
  <c r="C11" i="58"/>
  <c r="F20" i="58"/>
  <c r="E14" i="57"/>
  <c r="C9" i="58"/>
  <c r="E24" i="58"/>
  <c r="E52" i="58"/>
  <c r="W11" i="57"/>
  <c r="U13" i="57"/>
  <c r="H34" i="58"/>
  <c r="C25" i="58"/>
  <c r="K19" i="58"/>
  <c r="F30" i="58"/>
  <c r="O43" i="58"/>
  <c r="P6" i="57"/>
  <c r="V12" i="57"/>
  <c r="N21" i="58"/>
  <c r="G55" i="58"/>
  <c r="D51" i="58"/>
  <c r="O25" i="58"/>
  <c r="G6" i="57"/>
  <c r="E44" i="58"/>
  <c r="K39" i="58"/>
  <c r="K16" i="58"/>
  <c r="L2" i="58"/>
  <c r="F45" i="58"/>
  <c r="O24" i="58"/>
  <c r="R11" i="57"/>
  <c r="E5" i="58"/>
  <c r="F13" i="58"/>
  <c r="F50" i="58"/>
  <c r="I35" i="58"/>
  <c r="C26" i="58"/>
  <c r="V8" i="57"/>
  <c r="I54" i="58"/>
  <c r="C27" i="58"/>
  <c r="Y5" i="57"/>
  <c r="C2" i="58"/>
  <c r="F60" i="58"/>
  <c r="O27" i="58"/>
  <c r="O52" i="58"/>
  <c r="U8" i="57"/>
  <c r="C10" i="57"/>
  <c r="G52" i="58"/>
  <c r="G47" i="58"/>
  <c r="N11" i="58"/>
  <c r="I7" i="58"/>
  <c r="J6" i="57"/>
  <c r="M36" i="58"/>
  <c r="C55" i="58"/>
  <c r="H37" i="58"/>
  <c r="AA2" i="57"/>
  <c r="G8" i="58"/>
  <c r="Z5" i="57"/>
  <c r="G41" i="58"/>
  <c r="K10" i="58"/>
  <c r="L22" i="58"/>
  <c r="Z14" i="57"/>
  <c r="M13" i="57"/>
  <c r="J21" i="58"/>
  <c r="U16" i="57"/>
  <c r="F23" i="57"/>
  <c r="X16" i="57"/>
  <c r="Z12" i="57"/>
  <c r="D62" i="58"/>
  <c r="J15" i="58"/>
  <c r="Y13" i="57"/>
  <c r="R13" i="57"/>
  <c r="L6" i="57"/>
  <c r="J37" i="58"/>
  <c r="U6" i="57"/>
  <c r="F58" i="58"/>
  <c r="F41" i="58"/>
  <c r="C22" i="58"/>
  <c r="M10" i="58"/>
  <c r="C31" i="58"/>
  <c r="H52" i="58"/>
  <c r="E16" i="58"/>
  <c r="K5" i="57"/>
  <c r="P11" i="57"/>
  <c r="F22" i="58"/>
  <c r="Y11" i="57"/>
  <c r="N33" i="58"/>
  <c r="K17" i="57"/>
  <c r="G11" i="57"/>
  <c r="L19" i="58"/>
  <c r="J55" i="58"/>
  <c r="X4" i="57"/>
  <c r="D24" i="58"/>
  <c r="AB13" i="57"/>
  <c r="O30" i="58"/>
  <c r="D14" i="58"/>
  <c r="I49" i="58"/>
  <c r="K25" i="58"/>
  <c r="X2" i="57"/>
  <c r="V23" i="57"/>
  <c r="D13" i="57"/>
  <c r="N2" i="58"/>
  <c r="N22" i="57"/>
  <c r="L11" i="58"/>
  <c r="I5" i="58"/>
  <c r="M64" i="58"/>
  <c r="W14" i="57"/>
  <c r="I39" i="58"/>
  <c r="M2" i="58"/>
  <c r="M27" i="58"/>
  <c r="J59" i="58"/>
  <c r="N3" i="57"/>
  <c r="AB22" i="57"/>
  <c r="T4" i="57"/>
  <c r="E23" i="58"/>
  <c r="K3" i="58"/>
  <c r="D25" i="58"/>
  <c r="C45" i="58"/>
  <c r="I13" i="57"/>
  <c r="L23" i="58"/>
  <c r="P2" i="57"/>
  <c r="M21" i="58"/>
  <c r="H3" i="58"/>
  <c r="D9" i="57"/>
  <c r="J25" i="58"/>
  <c r="O4" i="58"/>
  <c r="E14" i="58"/>
  <c r="H44" i="58"/>
  <c r="G29" i="58"/>
  <c r="I12" i="58"/>
  <c r="G38" i="58"/>
  <c r="N25" i="58"/>
  <c r="X17" i="57"/>
  <c r="F53" i="58"/>
  <c r="N43" i="58"/>
  <c r="H23" i="58"/>
  <c r="I25" i="58"/>
  <c r="AA8" i="57"/>
  <c r="J42" i="58"/>
  <c r="L22" i="57"/>
  <c r="AA20" i="57"/>
  <c r="O11" i="57"/>
  <c r="H20" i="58"/>
  <c r="D53" i="58"/>
  <c r="J38" i="58"/>
  <c r="I8" i="58"/>
  <c r="Y9" i="57"/>
  <c r="I16" i="58"/>
  <c r="M12" i="57"/>
  <c r="C24" i="58"/>
  <c r="H9" i="58"/>
  <c r="E26" i="58"/>
  <c r="C18" i="58"/>
  <c r="M43" i="58"/>
  <c r="G36" i="58"/>
  <c r="K40" i="58"/>
  <c r="M23" i="58"/>
  <c r="D44" i="58"/>
  <c r="J48" i="58"/>
  <c r="M60" i="58"/>
  <c r="K16" i="57"/>
  <c r="I23" i="57"/>
  <c r="T17" i="57"/>
  <c r="Z15" i="57"/>
  <c r="I57" i="58"/>
  <c r="H5" i="58"/>
  <c r="Z4" i="57"/>
  <c r="G8" i="57"/>
  <c r="D18" i="58"/>
  <c r="J53" i="58"/>
  <c r="E17" i="58"/>
  <c r="T11" i="57"/>
  <c r="E10" i="57"/>
  <c r="D43" i="58"/>
  <c r="W16" i="57"/>
  <c r="C23" i="58"/>
  <c r="K31" i="58"/>
  <c r="K47" i="58"/>
  <c r="I8" i="57"/>
  <c r="E53" i="58"/>
  <c r="T7" i="57"/>
  <c r="I47" i="58"/>
  <c r="O64" i="58"/>
  <c r="C23" i="57"/>
  <c r="I41" i="58"/>
  <c r="O23" i="58"/>
  <c r="H51" i="58"/>
  <c r="G6" i="58"/>
  <c r="C8" i="58"/>
  <c r="L16" i="58"/>
  <c r="M32" i="58"/>
  <c r="AA16" i="57"/>
  <c r="C3" i="58"/>
  <c r="X12" i="57"/>
  <c r="L15" i="57"/>
  <c r="I3" i="58"/>
  <c r="I4" i="58"/>
  <c r="U22" i="57"/>
  <c r="E19" i="57"/>
  <c r="N18" i="57"/>
  <c r="V14" i="57"/>
  <c r="D17" i="57"/>
  <c r="T16" i="57"/>
  <c r="L14" i="58"/>
  <c r="Z20" i="57"/>
  <c r="E7" i="58"/>
  <c r="C12" i="58"/>
  <c r="D20" i="58"/>
  <c r="M49" i="58"/>
  <c r="G17" i="57"/>
  <c r="L24" i="58"/>
  <c r="S8" i="57"/>
  <c r="E9" i="58"/>
  <c r="F9" i="57"/>
  <c r="S17" i="57"/>
  <c r="C59" i="58"/>
  <c r="H6" i="57"/>
  <c r="L28" i="58"/>
  <c r="G60" i="58"/>
  <c r="D21" i="57"/>
  <c r="C14" i="58"/>
  <c r="C5" i="58"/>
  <c r="I19" i="57"/>
  <c r="G49" i="58"/>
  <c r="O53" i="58"/>
  <c r="F34" i="58"/>
  <c r="O18" i="57"/>
  <c r="O58" i="58"/>
  <c r="O20" i="57"/>
  <c r="K9" i="57"/>
  <c r="L61" i="58"/>
  <c r="M9" i="58"/>
  <c r="O17" i="57"/>
  <c r="F33" i="58"/>
  <c r="O22" i="57"/>
  <c r="O32" i="58"/>
  <c r="M6" i="58"/>
  <c r="L12" i="58"/>
  <c r="H22" i="57"/>
  <c r="J31" i="58"/>
  <c r="K12" i="57"/>
  <c r="R20" i="57"/>
  <c r="K17" i="58"/>
  <c r="E12" i="57"/>
  <c r="AA4" i="57"/>
  <c r="K10" i="57"/>
  <c r="J20" i="58"/>
  <c r="AB21" i="57"/>
  <c r="V13" i="57"/>
  <c r="F46" i="58"/>
  <c r="I9" i="57"/>
  <c r="G13" i="58"/>
  <c r="I2" i="58"/>
  <c r="J19" i="58"/>
  <c r="L46" i="58"/>
  <c r="W13" i="57"/>
  <c r="E2" i="57"/>
  <c r="E63" i="58"/>
  <c r="H19" i="57"/>
  <c r="Z10" i="57"/>
  <c r="R17" i="57"/>
  <c r="E59" i="58"/>
  <c r="K20" i="57"/>
  <c r="M6" i="57"/>
  <c r="N23" i="57"/>
  <c r="M47" i="58"/>
  <c r="C47" i="58"/>
  <c r="J29" i="58"/>
  <c r="J24" i="58"/>
  <c r="D20" i="57"/>
  <c r="C35" i="58"/>
  <c r="J26" i="58"/>
  <c r="N50" i="58"/>
  <c r="D35" i="58"/>
  <c r="O49" i="58"/>
  <c r="AB23" i="57"/>
  <c r="H7" i="57"/>
  <c r="P23" i="57"/>
  <c r="C2" i="57"/>
  <c r="J9" i="58"/>
  <c r="G19" i="58"/>
  <c r="W3" i="57"/>
  <c r="H57" i="58"/>
  <c r="Q14" i="57"/>
  <c r="C15" i="58"/>
  <c r="C58" i="58"/>
  <c r="S9" i="57"/>
  <c r="H50" i="58"/>
  <c r="O54" i="58"/>
  <c r="S15" i="57"/>
  <c r="J56" i="58"/>
  <c r="K11" i="58"/>
  <c r="E56" i="58"/>
  <c r="AB11" i="57"/>
  <c r="W15" i="57"/>
  <c r="I22" i="57"/>
  <c r="K9" i="58"/>
  <c r="J23" i="58"/>
  <c r="I18" i="58"/>
  <c r="I38" i="58"/>
  <c r="F23" i="58"/>
  <c r="F54" i="58"/>
  <c r="G32" i="58"/>
  <c r="M53" i="58"/>
  <c r="I21" i="57"/>
  <c r="L55" i="58"/>
  <c r="F37" i="58"/>
  <c r="F13" i="57"/>
  <c r="R19" i="57"/>
  <c r="E6" i="58"/>
  <c r="E13" i="58"/>
  <c r="D54" i="58"/>
  <c r="AA14" i="57"/>
  <c r="K22" i="58"/>
  <c r="C19" i="58"/>
  <c r="W12" i="57"/>
  <c r="E32" i="58"/>
  <c r="C56" i="58"/>
  <c r="AA6" i="57"/>
  <c r="C34" i="58"/>
  <c r="J52" i="58"/>
  <c r="K6" i="57"/>
  <c r="J22" i="58"/>
  <c r="T3" i="57"/>
  <c r="H4" i="58"/>
  <c r="M20" i="58"/>
  <c r="L48" i="58"/>
  <c r="R2" i="57"/>
  <c r="C9" i="57"/>
  <c r="G14" i="58"/>
  <c r="I7" i="57"/>
  <c r="C16" i="58"/>
  <c r="G51" i="58"/>
  <c r="Y16" i="57"/>
  <c r="M8" i="58"/>
  <c r="H17" i="57"/>
  <c r="N14" i="57"/>
  <c r="L27" i="58"/>
  <c r="J54" i="58"/>
  <c r="M15" i="58"/>
  <c r="I6" i="57"/>
  <c r="K21" i="57"/>
  <c r="I28" i="58"/>
  <c r="C60" i="58"/>
  <c r="E31" i="58"/>
  <c r="P10" i="57"/>
  <c r="G61" i="58"/>
  <c r="E19" i="58"/>
  <c r="J18" i="58"/>
  <c r="G22" i="57"/>
  <c r="E62" i="58"/>
  <c r="F38" i="58"/>
  <c r="X18" i="57"/>
  <c r="U23" i="57"/>
  <c r="G7" i="58"/>
  <c r="H53" i="58"/>
  <c r="Q23" i="57"/>
  <c r="L41" i="58"/>
  <c r="N28" i="58"/>
  <c r="E55" i="58"/>
  <c r="O62" i="58"/>
  <c r="I33" i="58"/>
  <c r="G58" i="58"/>
  <c r="AA5" i="57"/>
  <c r="H12" i="57"/>
  <c r="M12" i="58"/>
  <c r="E17" i="57"/>
  <c r="AA18" i="57"/>
  <c r="N37" i="58"/>
  <c r="S24" i="57"/>
  <c r="G53" i="58"/>
  <c r="O12" i="58"/>
  <c r="Q11" i="57"/>
  <c r="I56" i="58"/>
  <c r="H11" i="57"/>
  <c r="H20" i="57"/>
  <c r="L30" i="58"/>
  <c r="L26" i="58"/>
  <c r="E58" i="58"/>
  <c r="I60" i="58"/>
  <c r="D9" i="58"/>
  <c r="F5" i="58"/>
  <c r="K38" i="58"/>
  <c r="K20" i="58"/>
  <c r="I50" i="58"/>
  <c r="F17" i="57"/>
  <c r="K62" i="58"/>
  <c r="S3" i="57"/>
  <c r="H32" i="58"/>
  <c r="W21" i="57"/>
  <c r="AA15" i="57"/>
  <c r="N13" i="58"/>
  <c r="T15" i="57"/>
  <c r="E51" i="58"/>
  <c r="J13" i="57"/>
  <c r="T22" i="57"/>
  <c r="O6" i="58"/>
  <c r="G18" i="58"/>
  <c r="I32" i="58"/>
  <c r="I29" i="58"/>
  <c r="N55" i="58"/>
  <c r="O24" i="57"/>
  <c r="D47" i="58"/>
  <c r="D2" i="57"/>
  <c r="E18" i="57"/>
  <c r="L50" i="58"/>
  <c r="C3" i="57"/>
  <c r="C48" i="58"/>
  <c r="C13" i="58"/>
  <c r="S4" i="57"/>
  <c r="I17" i="58"/>
  <c r="X8" i="57"/>
  <c r="H64" i="58"/>
  <c r="O19" i="57"/>
  <c r="D63" i="58"/>
  <c r="J39" i="58"/>
  <c r="O26" i="58"/>
  <c r="I24" i="58"/>
  <c r="K34" i="58"/>
  <c r="S5" i="57"/>
  <c r="C7" i="58"/>
  <c r="O3" i="58"/>
  <c r="F35" i="58"/>
  <c r="H35" i="58"/>
  <c r="D46" i="58"/>
  <c r="E4" i="58"/>
  <c r="E11" i="58"/>
  <c r="X3" i="57"/>
  <c r="C46" i="58"/>
  <c r="X10" i="57"/>
  <c r="N62" i="58"/>
  <c r="I37" i="58"/>
  <c r="G4" i="58"/>
  <c r="O13" i="57"/>
  <c r="J17" i="57"/>
  <c r="AA23" i="57"/>
  <c r="K15" i="58"/>
  <c r="E20" i="57"/>
  <c r="H33" i="58"/>
  <c r="N8" i="58"/>
  <c r="E2" i="58"/>
  <c r="H48" i="58"/>
  <c r="J47" i="58"/>
  <c r="F15" i="58"/>
  <c r="O51" i="58"/>
  <c r="K5" i="58"/>
  <c r="E49" i="58"/>
  <c r="L45" i="58"/>
  <c r="F48" i="58"/>
  <c r="O10" i="57"/>
  <c r="X6" i="57"/>
  <c r="H23" i="57"/>
  <c r="H9" i="57"/>
  <c r="C6" i="58"/>
  <c r="E20" i="58"/>
  <c r="C57" i="58"/>
  <c r="O34" i="58"/>
  <c r="I14" i="58"/>
  <c r="W10" i="57"/>
  <c r="D16" i="57"/>
  <c r="J27" i="58"/>
  <c r="I12" i="57"/>
  <c r="W23" i="57"/>
  <c r="P19" i="57"/>
  <c r="H61" i="58"/>
  <c r="G18" i="57"/>
  <c r="H43" i="58"/>
  <c r="E39" i="58"/>
  <c r="N13" i="57"/>
  <c r="Z17" i="57"/>
  <c r="D7" i="58"/>
  <c r="L23" i="57"/>
  <c r="Y20" i="57"/>
  <c r="E45" i="58"/>
  <c r="G50" i="58"/>
  <c r="J46" i="58"/>
  <c r="F18" i="58"/>
  <c r="N54" i="58"/>
  <c r="L17" i="58"/>
  <c r="M39" i="58"/>
  <c r="E48" i="58"/>
  <c r="H10" i="57"/>
  <c r="N23" i="58"/>
  <c r="F49" i="58"/>
  <c r="O39" i="58"/>
  <c r="Y17" i="57"/>
  <c r="Q15" i="57"/>
  <c r="P7" i="57"/>
  <c r="P18" i="57"/>
  <c r="X5" i="57"/>
  <c r="D14" i="57"/>
  <c r="O6" i="57"/>
  <c r="C21" i="58"/>
  <c r="M41" i="58"/>
  <c r="C51" i="58"/>
  <c r="F6" i="58"/>
  <c r="N35" i="58"/>
  <c r="N46" i="58"/>
  <c r="M61" i="58"/>
  <c r="E30" i="58"/>
  <c r="H60" i="58"/>
  <c r="S18" i="57"/>
  <c r="C14" i="57"/>
  <c r="K30" i="58"/>
  <c r="K12" i="58"/>
  <c r="G56" i="58"/>
  <c r="L20" i="58"/>
  <c r="N16" i="58"/>
  <c r="AA24" i="57"/>
  <c r="G24" i="58"/>
  <c r="C8" i="57"/>
  <c r="J43" i="58"/>
  <c r="M5" i="58"/>
  <c r="H47" i="58"/>
  <c r="I48" i="58"/>
  <c r="M28" i="58"/>
  <c r="J12" i="57"/>
  <c r="K14" i="57"/>
  <c r="D12" i="58"/>
  <c r="J19" i="57"/>
  <c r="P5" i="57"/>
  <c r="Y8" i="57"/>
  <c r="T21" i="57"/>
  <c r="G25" i="58"/>
  <c r="D10" i="58"/>
  <c r="C17" i="58"/>
  <c r="H59" i="58"/>
  <c r="M62" i="58"/>
  <c r="E15" i="57"/>
  <c r="N6" i="57"/>
  <c r="K35" i="58"/>
  <c r="C4" i="58"/>
  <c r="D42" i="58"/>
  <c r="AB18" i="57"/>
  <c r="L49" i="58"/>
  <c r="X7" i="57"/>
  <c r="E34" i="58"/>
  <c r="S6" i="57"/>
  <c r="O15" i="57"/>
  <c r="M54" i="58"/>
  <c r="AB6" i="57"/>
  <c r="E40" i="58"/>
  <c r="I19" i="58"/>
  <c r="C16" i="57"/>
  <c r="E28" i="58"/>
  <c r="G12" i="57"/>
  <c r="I22" i="58"/>
  <c r="D26" i="58"/>
  <c r="H3" i="57"/>
  <c r="J28" i="58"/>
  <c r="K28" i="58"/>
  <c r="K24" i="58"/>
  <c r="H4" i="57"/>
  <c r="AB4" i="57"/>
  <c r="E43" i="58"/>
  <c r="C10" i="58"/>
  <c r="D61" i="58"/>
  <c r="J45" i="58"/>
  <c r="L3" i="58"/>
  <c r="I61" i="58"/>
  <c r="K41" i="58"/>
  <c r="N19" i="58"/>
  <c r="D6" i="58"/>
  <c r="N15" i="57"/>
  <c r="O18" i="58"/>
  <c r="N22" i="58"/>
  <c r="F12" i="57"/>
  <c r="O44" i="58"/>
  <c r="H56" i="58"/>
  <c r="AB19" i="57"/>
  <c r="Y19" i="57"/>
  <c r="G42" i="58"/>
  <c r="I44" i="58"/>
  <c r="W7" i="57"/>
  <c r="X15" i="57"/>
  <c r="K58" i="58"/>
  <c r="D22" i="57"/>
  <c r="I55" i="58"/>
  <c r="L12" i="57"/>
  <c r="T20" i="57"/>
  <c r="D30" i="58"/>
  <c r="H15" i="58"/>
  <c r="I16" i="57"/>
  <c r="G48" i="58"/>
  <c r="G57" i="58"/>
  <c r="M3" i="57"/>
  <c r="E61" i="58"/>
  <c r="N27" i="58"/>
  <c r="I43" i="58"/>
  <c r="I5" i="57"/>
  <c r="K4" i="58"/>
  <c r="K57" i="58"/>
  <c r="Q17" i="57"/>
  <c r="H14" i="58"/>
  <c r="U11" i="57"/>
  <c r="S23" i="57"/>
  <c r="L25" i="58"/>
  <c r="E11" i="57"/>
  <c r="K27" i="58"/>
  <c r="AB17" i="57"/>
  <c r="M42" i="58"/>
  <c r="D7" i="57"/>
  <c r="L17" i="57"/>
  <c r="Z21" i="57"/>
  <c r="E27" i="58"/>
  <c r="O48" i="58"/>
  <c r="N17" i="58"/>
  <c r="AA10" i="57"/>
  <c r="E38" i="58"/>
  <c r="E47" i="58"/>
  <c r="K15" i="57"/>
  <c r="R9" i="57"/>
  <c r="E15" i="58"/>
  <c r="C18" i="57"/>
  <c r="R16" i="57"/>
  <c r="M45" i="58"/>
  <c r="J3" i="57"/>
  <c r="R21" i="57"/>
  <c r="N16" i="57"/>
  <c r="H16" i="58"/>
  <c r="M59" i="58"/>
  <c r="J22" i="57"/>
  <c r="F16" i="58"/>
  <c r="J2" i="58"/>
  <c r="J60" i="58"/>
  <c r="F17" i="58"/>
  <c r="J20" i="57"/>
  <c r="O2" i="58"/>
  <c r="P4" i="57"/>
  <c r="F6" i="57"/>
  <c r="L11" i="57"/>
  <c r="O11" i="58"/>
  <c r="U18" i="57"/>
  <c r="H13" i="58"/>
  <c r="O37" i="58"/>
  <c r="D13" i="58"/>
  <c r="F10" i="58"/>
  <c r="K21" i="58"/>
  <c r="C52" i="58"/>
  <c r="I51" i="58"/>
  <c r="E33" i="58"/>
  <c r="J15" i="57"/>
  <c r="F64" i="58"/>
  <c r="O56" i="58"/>
  <c r="R10" i="57"/>
  <c r="C30" i="58"/>
  <c r="H46" i="58"/>
  <c r="Q16" i="57"/>
  <c r="Z22" i="57"/>
  <c r="F9" i="58"/>
  <c r="M17" i="57"/>
  <c r="K51" i="58"/>
  <c r="N45" i="58"/>
  <c r="K52" i="58"/>
  <c r="K48" i="58"/>
  <c r="L18" i="57"/>
  <c r="G13" i="57"/>
  <c r="K44" i="58"/>
  <c r="R8" i="57"/>
  <c r="H15" i="57"/>
  <c r="L16" i="57"/>
  <c r="H54" i="58"/>
  <c r="Q3" i="57"/>
  <c r="L38" i="58"/>
  <c r="D3" i="58"/>
  <c r="H41" i="58"/>
  <c r="N48" i="58"/>
  <c r="D32" i="58"/>
  <c r="D12" i="57"/>
  <c r="M14" i="57"/>
  <c r="O57" i="58"/>
  <c r="K23" i="57"/>
  <c r="H29" i="58"/>
  <c r="N9" i="57"/>
  <c r="H21" i="57"/>
  <c r="N49" i="58"/>
  <c r="K29" i="58"/>
  <c r="P21" i="57"/>
  <c r="I15" i="57"/>
  <c r="K18" i="58"/>
  <c r="U15" i="57"/>
  <c r="E41" i="58"/>
  <c r="AB7" i="57"/>
  <c r="M57" i="58"/>
  <c r="L40" i="58"/>
  <c r="G39" i="58"/>
  <c r="F51" i="58"/>
  <c r="L32" i="58"/>
  <c r="J7" i="58"/>
  <c r="L10" i="58"/>
  <c r="H49" i="58"/>
  <c r="F32" i="58"/>
  <c r="J50" i="58"/>
  <c r="H25" i="58"/>
  <c r="E18" i="58"/>
  <c r="D45" i="58"/>
  <c r="J14" i="57"/>
  <c r="L60" i="58"/>
  <c r="H10" i="58"/>
  <c r="G23" i="58"/>
  <c r="L64" i="58"/>
  <c r="M48" i="58"/>
  <c r="W6" i="57"/>
  <c r="N41" i="58"/>
  <c r="F18" i="57"/>
  <c r="F57" i="58"/>
  <c r="O19" i="58"/>
  <c r="L35" i="58"/>
  <c r="C13" i="57"/>
  <c r="O7" i="57"/>
  <c r="N52" i="58"/>
  <c r="K60" i="58"/>
  <c r="D4" i="58"/>
  <c r="D24" i="57"/>
  <c r="E64" i="58"/>
  <c r="L37" i="58"/>
  <c r="R15" i="57"/>
  <c r="Z19" i="57"/>
  <c r="C12" i="57"/>
  <c r="M51" i="58"/>
  <c r="L36" i="58"/>
  <c r="R18" i="57"/>
  <c r="G11" i="58"/>
  <c r="D27" i="58"/>
  <c r="R4" i="57"/>
  <c r="L58" i="58"/>
  <c r="F7" i="58"/>
  <c r="I36" i="58"/>
  <c r="O12" i="57"/>
  <c r="M11" i="57"/>
  <c r="O9" i="57"/>
  <c r="H16" i="57"/>
  <c r="J18" i="57"/>
  <c r="D58" i="58"/>
  <c r="K32" i="58"/>
  <c r="O8" i="57"/>
  <c r="P14" i="57"/>
  <c r="S13" i="57"/>
  <c r="F14" i="58"/>
  <c r="AA17" i="57"/>
  <c r="G9" i="57"/>
  <c r="D23" i="57"/>
  <c r="H8" i="58"/>
  <c r="H55" i="58"/>
  <c r="E5" i="57"/>
  <c r="O3" i="57"/>
  <c r="I52" i="58"/>
  <c r="J6" i="58"/>
  <c r="G5" i="58"/>
  <c r="Z9" i="57"/>
  <c r="H18" i="57"/>
  <c r="D33" i="58"/>
  <c r="S10" i="57"/>
  <c r="V15" i="57"/>
  <c r="K55" i="58"/>
  <c r="E22" i="57"/>
  <c r="C32" i="58"/>
  <c r="N24" i="58"/>
  <c r="N17" i="57"/>
  <c r="J2" i="57"/>
  <c r="X21" i="57"/>
  <c r="Y14" i="57"/>
  <c r="J33" i="58"/>
  <c r="G16" i="57"/>
  <c r="N5" i="58"/>
  <c r="G26" i="58"/>
  <c r="F25" i="58"/>
  <c r="D34" i="58"/>
  <c r="K61" i="58"/>
  <c r="C11" i="57"/>
  <c r="C39" i="58"/>
  <c r="E42" i="58"/>
  <c r="N9" i="58"/>
  <c r="O36" i="58"/>
  <c r="N12" i="58"/>
  <c r="H7" i="58"/>
  <c r="C17" i="57"/>
  <c r="E36" i="58"/>
  <c r="F12" i="58"/>
  <c r="J16" i="57"/>
  <c r="E60" i="58"/>
  <c r="U17" i="57"/>
  <c r="AA22" i="57"/>
  <c r="O60" i="58"/>
  <c r="J8" i="57"/>
  <c r="U111" i="40" l="1"/>
  <c r="U11" i="40"/>
  <c r="U31" i="40"/>
  <c r="U51" i="40"/>
  <c r="U91" i="40"/>
  <c r="U131" i="40"/>
  <c r="U71" i="40"/>
  <c r="Q22" i="4"/>
  <c r="W59" i="14"/>
  <c r="O61" i="14" s="1"/>
  <c r="X63" i="14"/>
  <c r="X63" i="37"/>
  <c r="W59" i="37"/>
  <c r="O61" i="37" s="1"/>
  <c r="P28" i="19"/>
  <c r="P28" i="6"/>
  <c r="P28" i="59"/>
  <c r="X63" i="15"/>
  <c r="W59" i="15"/>
  <c r="O61" i="15" s="1"/>
  <c r="P68" i="19"/>
  <c r="Q62" i="19"/>
  <c r="P67" i="19"/>
  <c r="X63" i="16"/>
  <c r="W59" i="16"/>
  <c r="O61" i="16" s="1"/>
  <c r="W59" i="17"/>
  <c r="O61" i="17" s="1"/>
  <c r="X63" i="17"/>
  <c r="P67" i="5"/>
  <c r="P68" i="5"/>
  <c r="Q62" i="5"/>
  <c r="P28" i="24"/>
  <c r="P28" i="8"/>
  <c r="P67" i="24"/>
  <c r="Q62" i="24"/>
  <c r="P68" i="24"/>
  <c r="P28" i="33"/>
  <c r="P28" i="22"/>
  <c r="X63" i="19"/>
  <c r="W59" i="19"/>
  <c r="O61" i="19" s="1"/>
  <c r="P68" i="20"/>
  <c r="Q62" i="20"/>
  <c r="P67" i="20"/>
  <c r="P28" i="10"/>
  <c r="W59" i="4"/>
  <c r="O61" i="4" s="1"/>
  <c r="X63" i="4"/>
  <c r="X63" i="20"/>
  <c r="W59" i="20"/>
  <c r="O61" i="20" s="1"/>
  <c r="Q22" i="7"/>
  <c r="P28" i="37"/>
  <c r="P67" i="35"/>
  <c r="P68" i="35"/>
  <c r="Q62" i="35"/>
  <c r="X63" i="5"/>
  <c r="W59" i="5"/>
  <c r="O61" i="5" s="1"/>
  <c r="W59" i="22"/>
  <c r="O61" i="22" s="1"/>
  <c r="X63" i="22"/>
  <c r="O9" i="59"/>
  <c r="A91" i="42"/>
  <c r="A31" i="42"/>
  <c r="A92" i="41"/>
  <c r="T92" i="41" s="1"/>
  <c r="A9" i="56"/>
  <c r="A52" i="41"/>
  <c r="T52" i="41" s="1"/>
  <c r="A12" i="41"/>
  <c r="T12" i="41" s="1"/>
  <c r="H7" i="49"/>
  <c r="A1" i="49" s="1"/>
  <c r="A131" i="42"/>
  <c r="A71" i="42"/>
  <c r="A11" i="42"/>
  <c r="A112" i="41"/>
  <c r="T112" i="41" s="1"/>
  <c r="A72" i="41"/>
  <c r="T72" i="41" s="1"/>
  <c r="A51" i="42"/>
  <c r="A32" i="41"/>
  <c r="T32" i="41" s="1"/>
  <c r="A112" i="40"/>
  <c r="A52" i="40"/>
  <c r="A111" i="42"/>
  <c r="A12" i="40"/>
  <c r="A72" i="40"/>
  <c r="A92" i="40"/>
  <c r="A32" i="40"/>
  <c r="A132" i="40"/>
  <c r="O9" i="37"/>
  <c r="A132" i="41"/>
  <c r="T132" i="41" s="1"/>
  <c r="O9" i="35"/>
  <c r="O9" i="34"/>
  <c r="O9" i="33"/>
  <c r="O9" i="24"/>
  <c r="O9" i="22"/>
  <c r="O9" i="20"/>
  <c r="O9" i="19"/>
  <c r="O9" i="16"/>
  <c r="O9" i="15"/>
  <c r="O9" i="17"/>
  <c r="O9" i="14"/>
  <c r="O9" i="11"/>
  <c r="O9" i="10"/>
  <c r="O9" i="8"/>
  <c r="O9" i="7"/>
  <c r="O9" i="6"/>
  <c r="O9" i="4"/>
  <c r="O9" i="5"/>
  <c r="Q22" i="16"/>
  <c r="Q22" i="5"/>
  <c r="P67" i="22"/>
  <c r="Q62" i="22"/>
  <c r="P68" i="22"/>
  <c r="X63" i="7"/>
  <c r="W59" i="7"/>
  <c r="O61" i="7" s="1"/>
  <c r="X63" i="24"/>
  <c r="W59" i="24"/>
  <c r="O61" i="24" s="1"/>
  <c r="P28" i="11"/>
  <c r="Q62" i="14"/>
  <c r="P68" i="14"/>
  <c r="P67" i="14"/>
  <c r="Q62" i="59"/>
  <c r="P67" i="59"/>
  <c r="P68" i="59"/>
  <c r="P67" i="10"/>
  <c r="P68" i="10"/>
  <c r="Q62" i="10"/>
  <c r="P68" i="33"/>
  <c r="Q62" i="33"/>
  <c r="P67" i="33"/>
  <c r="P67" i="6"/>
  <c r="P68" i="6"/>
  <c r="Q62" i="6"/>
  <c r="Q62" i="4"/>
  <c r="P68" i="4"/>
  <c r="P67" i="4"/>
  <c r="X63" i="6"/>
  <c r="W59" i="6"/>
  <c r="O61" i="6" s="1"/>
  <c r="X63" i="33"/>
  <c r="W59" i="33"/>
  <c r="O61" i="33" s="1"/>
  <c r="P67" i="8"/>
  <c r="P68" i="8"/>
  <c r="Q62" i="8"/>
  <c r="P68" i="16"/>
  <c r="Q62" i="16"/>
  <c r="P67" i="16"/>
  <c r="P28" i="15"/>
  <c r="Q22" i="34"/>
  <c r="Q22" i="14"/>
  <c r="X63" i="10"/>
  <c r="W59" i="10"/>
  <c r="O61" i="10" s="1"/>
  <c r="W59" i="34"/>
  <c r="O61" i="34" s="1"/>
  <c r="X63" i="34"/>
  <c r="Q22" i="20"/>
  <c r="X63" i="8"/>
  <c r="W59" i="8"/>
  <c r="O61" i="8" s="1"/>
  <c r="X63" i="35"/>
  <c r="W59" i="35"/>
  <c r="O61" i="35" s="1"/>
  <c r="P67" i="17"/>
  <c r="Q62" i="17"/>
  <c r="P68" i="17"/>
  <c r="P67" i="11"/>
  <c r="P68" i="11"/>
  <c r="Q62" i="11"/>
  <c r="P67" i="34"/>
  <c r="Q62" i="34"/>
  <c r="P68" i="34"/>
  <c r="P67" i="7"/>
  <c r="P68" i="7"/>
  <c r="Q62" i="7"/>
  <c r="X63" i="11"/>
  <c r="W59" i="11"/>
  <c r="O61" i="11" s="1"/>
  <c r="W59" i="59"/>
  <c r="O61" i="59" s="1"/>
  <c r="X63" i="59"/>
  <c r="P68" i="37"/>
  <c r="Q62" i="37"/>
  <c r="P67" i="37"/>
  <c r="Q22" i="17"/>
  <c r="P67" i="15"/>
  <c r="P68" i="15"/>
  <c r="Q62" i="15"/>
  <c r="Q22" i="35"/>
  <c r="U132" i="40" l="1"/>
  <c r="U32" i="40"/>
  <c r="U92" i="40"/>
  <c r="U72" i="40"/>
  <c r="U12" i="40"/>
  <c r="U52" i="40"/>
  <c r="U112" i="40"/>
  <c r="Q22" i="11"/>
  <c r="X73" i="16"/>
  <c r="W69" i="16"/>
  <c r="O71" i="16" s="1"/>
  <c r="Q22" i="24"/>
  <c r="W69" i="20"/>
  <c r="O71" i="20" s="1"/>
  <c r="X73" i="20"/>
  <c r="P78" i="59"/>
  <c r="P77" i="59"/>
  <c r="Q72" i="59"/>
  <c r="W69" i="4"/>
  <c r="O71" i="4" s="1"/>
  <c r="X73" i="4"/>
  <c r="W69" i="22"/>
  <c r="O71" i="22" s="1"/>
  <c r="X73" i="22"/>
  <c r="Q72" i="19"/>
  <c r="P78" i="19"/>
  <c r="P77" i="19"/>
  <c r="Q72" i="4"/>
  <c r="P78" i="4"/>
  <c r="P77" i="4"/>
  <c r="P78" i="14"/>
  <c r="P77" i="14"/>
  <c r="Q72" i="14"/>
  <c r="P77" i="11"/>
  <c r="Q72" i="11"/>
  <c r="P78" i="11"/>
  <c r="Q72" i="35"/>
  <c r="P78" i="35"/>
  <c r="P77" i="35"/>
  <c r="W69" i="6"/>
  <c r="O71" i="6" s="1"/>
  <c r="X73" i="6"/>
  <c r="W69" i="24"/>
  <c r="O71" i="24" s="1"/>
  <c r="X73" i="24"/>
  <c r="O10" i="59"/>
  <c r="H7" i="50"/>
  <c r="A1" i="50" s="1"/>
  <c r="A13" i="41"/>
  <c r="T13" i="41" s="1"/>
  <c r="A113" i="41"/>
  <c r="T113" i="41" s="1"/>
  <c r="A132" i="42"/>
  <c r="A72" i="42"/>
  <c r="A12" i="42"/>
  <c r="A73" i="41"/>
  <c r="T73" i="41" s="1"/>
  <c r="A112" i="42"/>
  <c r="A52" i="42"/>
  <c r="A133" i="41"/>
  <c r="T133" i="41" s="1"/>
  <c r="A133" i="40"/>
  <c r="A10" i="56"/>
  <c r="A92" i="42"/>
  <c r="A32" i="42"/>
  <c r="A53" i="41"/>
  <c r="T53" i="41" s="1"/>
  <c r="A13" i="40"/>
  <c r="A73" i="40"/>
  <c r="A93" i="40"/>
  <c r="A33" i="40"/>
  <c r="A33" i="41"/>
  <c r="T33" i="41" s="1"/>
  <c r="A113" i="40"/>
  <c r="A93" i="41"/>
  <c r="T93" i="41" s="1"/>
  <c r="O10" i="37"/>
  <c r="A53" i="40"/>
  <c r="O10" i="35"/>
  <c r="O10" i="34"/>
  <c r="O10" i="33"/>
  <c r="O10" i="24"/>
  <c r="O10" i="22"/>
  <c r="O10" i="20"/>
  <c r="O10" i="19"/>
  <c r="O10" i="17"/>
  <c r="O10" i="15"/>
  <c r="O10" i="16"/>
  <c r="O10" i="14"/>
  <c r="O10" i="11"/>
  <c r="O10" i="10"/>
  <c r="O10" i="8"/>
  <c r="O10" i="6"/>
  <c r="O10" i="7"/>
  <c r="O10" i="5"/>
  <c r="O10" i="4"/>
  <c r="Q22" i="6"/>
  <c r="P78" i="7"/>
  <c r="P77" i="7"/>
  <c r="Q72" i="7"/>
  <c r="Q22" i="22"/>
  <c r="P78" i="34"/>
  <c r="P77" i="34"/>
  <c r="Q72" i="34"/>
  <c r="W69" i="7"/>
  <c r="O71" i="7" s="1"/>
  <c r="X73" i="7"/>
  <c r="X73" i="33"/>
  <c r="W69" i="33"/>
  <c r="O71" i="33" s="1"/>
  <c r="Q22" i="10"/>
  <c r="Q72" i="16"/>
  <c r="P78" i="16"/>
  <c r="P77" i="16"/>
  <c r="P77" i="15"/>
  <c r="Q72" i="15"/>
  <c r="P78" i="15"/>
  <c r="W69" i="5"/>
  <c r="O71" i="5" s="1"/>
  <c r="X73" i="5"/>
  <c r="P77" i="8"/>
  <c r="Q72" i="8"/>
  <c r="P78" i="8"/>
  <c r="Q22" i="15"/>
  <c r="W69" i="8"/>
  <c r="O71" i="8" s="1"/>
  <c r="X73" i="8"/>
  <c r="W69" i="34"/>
  <c r="O71" i="34" s="1"/>
  <c r="X73" i="34"/>
  <c r="Q22" i="33"/>
  <c r="Q22" i="8"/>
  <c r="P77" i="17"/>
  <c r="P78" i="17"/>
  <c r="Q72" i="17"/>
  <c r="P77" i="10"/>
  <c r="Q72" i="10"/>
  <c r="P78" i="10"/>
  <c r="Q72" i="33"/>
  <c r="P78" i="33"/>
  <c r="P77" i="33"/>
  <c r="W69" i="10"/>
  <c r="O71" i="10" s="1"/>
  <c r="X73" i="10"/>
  <c r="X73" i="35"/>
  <c r="W69" i="35"/>
  <c r="O71" i="35" s="1"/>
  <c r="Q22" i="59"/>
  <c r="X73" i="19"/>
  <c r="W69" i="19"/>
  <c r="O71" i="19" s="1"/>
  <c r="W69" i="11"/>
  <c r="O71" i="11" s="1"/>
  <c r="X73" i="11"/>
  <c r="X73" i="59"/>
  <c r="W69" i="59"/>
  <c r="O71" i="59" s="1"/>
  <c r="Q22" i="37"/>
  <c r="Q22" i="19"/>
  <c r="P77" i="5"/>
  <c r="Q72" i="5"/>
  <c r="P78" i="5"/>
  <c r="P77" i="6"/>
  <c r="Q72" i="6"/>
  <c r="P78" i="6"/>
  <c r="X73" i="14"/>
  <c r="W69" i="14"/>
  <c r="O71" i="14" s="1"/>
  <c r="X73" i="37"/>
  <c r="W69" i="37"/>
  <c r="O71" i="37" s="1"/>
  <c r="W69" i="17"/>
  <c r="O71" i="17" s="1"/>
  <c r="X73" i="17"/>
  <c r="Q72" i="20"/>
  <c r="P78" i="20"/>
  <c r="P77" i="20"/>
  <c r="Q72" i="37"/>
  <c r="P78" i="37"/>
  <c r="P77" i="37"/>
  <c r="P78" i="24"/>
  <c r="P77" i="24"/>
  <c r="Q72" i="24"/>
  <c r="W69" i="15"/>
  <c r="O71" i="15" s="1"/>
  <c r="X73" i="15"/>
  <c r="P77" i="22"/>
  <c r="P78" i="22"/>
  <c r="Q72" i="22"/>
  <c r="U33" i="40" l="1"/>
  <c r="U93" i="40"/>
  <c r="U73" i="40"/>
  <c r="U13" i="40"/>
  <c r="U53" i="40"/>
  <c r="U113" i="40"/>
  <c r="U133" i="40"/>
  <c r="P87" i="33"/>
  <c r="Q82" i="33"/>
  <c r="W79" i="14"/>
  <c r="O81" i="14" s="1"/>
  <c r="X83" i="14"/>
  <c r="W79" i="37"/>
  <c r="O81" i="37" s="1"/>
  <c r="X83" i="37"/>
  <c r="Q82" i="35"/>
  <c r="P87" i="35"/>
  <c r="X83" i="15"/>
  <c r="W79" i="15"/>
  <c r="O81" i="15" s="1"/>
  <c r="P87" i="16"/>
  <c r="Q82" i="16"/>
  <c r="P87" i="20"/>
  <c r="Q82" i="20"/>
  <c r="P87" i="19"/>
  <c r="Q82" i="19"/>
  <c r="X83" i="17"/>
  <c r="W79" i="17"/>
  <c r="O81" i="17" s="1"/>
  <c r="P87" i="22"/>
  <c r="Q82" i="22"/>
  <c r="P87" i="17"/>
  <c r="Q82" i="17"/>
  <c r="W79" i="19"/>
  <c r="O81" i="19" s="1"/>
  <c r="X83" i="19"/>
  <c r="Q82" i="24"/>
  <c r="P87" i="24"/>
  <c r="W79" i="4"/>
  <c r="O81" i="4" s="1"/>
  <c r="X83" i="4"/>
  <c r="W79" i="20"/>
  <c r="O81" i="20" s="1"/>
  <c r="X83" i="20"/>
  <c r="R8" i="10"/>
  <c r="V7" i="10"/>
  <c r="P87" i="59"/>
  <c r="Q82" i="59"/>
  <c r="P87" i="7"/>
  <c r="Q82" i="7"/>
  <c r="X83" i="5"/>
  <c r="W79" i="5"/>
  <c r="O81" i="5" s="1"/>
  <c r="X83" i="22"/>
  <c r="W79" i="22"/>
  <c r="O81" i="22" s="1"/>
  <c r="P87" i="10"/>
  <c r="Q82" i="10"/>
  <c r="P87" i="5"/>
  <c r="Q82" i="5"/>
  <c r="W79" i="7"/>
  <c r="O81" i="7" s="1"/>
  <c r="X83" i="7"/>
  <c r="W79" i="24"/>
  <c r="O81" i="24" s="1"/>
  <c r="X83" i="24"/>
  <c r="Q82" i="37"/>
  <c r="P87" i="37"/>
  <c r="X83" i="6"/>
  <c r="W79" i="6"/>
  <c r="O81" i="6" s="1"/>
  <c r="W79" i="33"/>
  <c r="O81" i="33" s="1"/>
  <c r="X83" i="33"/>
  <c r="P87" i="34"/>
  <c r="Q82" i="34"/>
  <c r="X83" i="8"/>
  <c r="W79" i="8"/>
  <c r="O81" i="8" s="1"/>
  <c r="W79" i="34"/>
  <c r="O81" i="34" s="1"/>
  <c r="X83" i="34"/>
  <c r="P87" i="6"/>
  <c r="Q82" i="6"/>
  <c r="P87" i="4"/>
  <c r="Q82" i="4"/>
  <c r="P87" i="15"/>
  <c r="Q82" i="15"/>
  <c r="X83" i="10"/>
  <c r="W79" i="10"/>
  <c r="O81" i="10" s="1"/>
  <c r="X83" i="35"/>
  <c r="W79" i="35"/>
  <c r="O81" i="35" s="1"/>
  <c r="P87" i="14"/>
  <c r="Q82" i="14"/>
  <c r="Q82" i="8"/>
  <c r="P87" i="8"/>
  <c r="W79" i="16"/>
  <c r="O81" i="16" s="1"/>
  <c r="X83" i="16"/>
  <c r="P87" i="11"/>
  <c r="Q82" i="11"/>
  <c r="R8" i="11"/>
  <c r="V7" i="11"/>
  <c r="X83" i="11"/>
  <c r="W79" i="11"/>
  <c r="O81" i="11" s="1"/>
  <c r="O11" i="59"/>
  <c r="A133" i="42"/>
  <c r="A73" i="42"/>
  <c r="A13" i="42"/>
  <c r="A34" i="41"/>
  <c r="T34" i="41" s="1"/>
  <c r="A134" i="41"/>
  <c r="T134" i="41" s="1"/>
  <c r="A113" i="42"/>
  <c r="A53" i="42"/>
  <c r="A94" i="41"/>
  <c r="T94" i="41" s="1"/>
  <c r="H7" i="51"/>
  <c r="A1" i="51" s="1"/>
  <c r="A114" i="41"/>
  <c r="T114" i="41" s="1"/>
  <c r="A93" i="42"/>
  <c r="A74" i="41"/>
  <c r="T74" i="41" s="1"/>
  <c r="A94" i="40"/>
  <c r="A34" i="40"/>
  <c r="A134" i="40"/>
  <c r="A14" i="41"/>
  <c r="T14" i="41" s="1"/>
  <c r="A11" i="56"/>
  <c r="A33" i="42"/>
  <c r="A74" i="40"/>
  <c r="A54" i="41"/>
  <c r="T54" i="41" s="1"/>
  <c r="A114" i="40"/>
  <c r="A54" i="40"/>
  <c r="A14" i="40"/>
  <c r="O11" i="37"/>
  <c r="O11" i="35"/>
  <c r="O11" i="34"/>
  <c r="O11" i="33"/>
  <c r="O11" i="24"/>
  <c r="O11" i="22"/>
  <c r="O11" i="20"/>
  <c r="O11" i="19"/>
  <c r="O11" i="16"/>
  <c r="O11" i="17"/>
  <c r="O11" i="15"/>
  <c r="O11" i="14"/>
  <c r="O11" i="11"/>
  <c r="O11" i="8"/>
  <c r="O11" i="10"/>
  <c r="O11" i="7"/>
  <c r="O11" i="6"/>
  <c r="O11" i="4"/>
  <c r="O11" i="5"/>
  <c r="W79" i="59"/>
  <c r="O81" i="59" s="1"/>
  <c r="X83" i="59"/>
  <c r="U14" i="40" l="1"/>
  <c r="U54" i="40"/>
  <c r="U114" i="40"/>
  <c r="U74" i="40"/>
  <c r="U134" i="40"/>
  <c r="U34" i="40"/>
  <c r="U94" i="40"/>
  <c r="W89" i="17"/>
  <c r="O91" i="17" s="1"/>
  <c r="X93" i="17"/>
  <c r="P98" i="16"/>
  <c r="P97" i="16"/>
  <c r="Q92" i="16"/>
  <c r="Q92" i="10"/>
  <c r="P98" i="10"/>
  <c r="P97" i="10"/>
  <c r="W89" i="16"/>
  <c r="O91" i="16" s="1"/>
  <c r="X93" i="16"/>
  <c r="P98" i="59"/>
  <c r="P97" i="59"/>
  <c r="Q92" i="59"/>
  <c r="W89" i="19"/>
  <c r="O91" i="19" s="1"/>
  <c r="X93" i="19"/>
  <c r="P97" i="7"/>
  <c r="Q92" i="7"/>
  <c r="P98" i="7"/>
  <c r="P98" i="20"/>
  <c r="P97" i="20"/>
  <c r="Q92" i="20"/>
  <c r="P98" i="15"/>
  <c r="Q92" i="15"/>
  <c r="P97" i="15"/>
  <c r="P98" i="37"/>
  <c r="P97" i="37"/>
  <c r="Q92" i="37"/>
  <c r="X93" i="5"/>
  <c r="W89" i="5"/>
  <c r="O91" i="5" s="1"/>
  <c r="Q92" i="22"/>
  <c r="P98" i="22"/>
  <c r="P97" i="22"/>
  <c r="R9" i="10"/>
  <c r="V8" i="10"/>
  <c r="W89" i="20"/>
  <c r="O91" i="20" s="1"/>
  <c r="X93" i="20"/>
  <c r="W89" i="4"/>
  <c r="O91" i="4" s="1"/>
  <c r="X93" i="4"/>
  <c r="W89" i="22"/>
  <c r="O91" i="22" s="1"/>
  <c r="X93" i="22"/>
  <c r="O12" i="59"/>
  <c r="A35" i="41"/>
  <c r="T35" i="41" s="1"/>
  <c r="A134" i="42"/>
  <c r="A74" i="42"/>
  <c r="A14" i="42"/>
  <c r="A135" i="41"/>
  <c r="T135" i="41" s="1"/>
  <c r="H7" i="52"/>
  <c r="A1" i="52" s="1"/>
  <c r="A95" i="41"/>
  <c r="T95" i="41" s="1"/>
  <c r="A114" i="42"/>
  <c r="A54" i="42"/>
  <c r="A12" i="56"/>
  <c r="A95" i="40"/>
  <c r="A35" i="40"/>
  <c r="A135" i="40"/>
  <c r="A115" i="41"/>
  <c r="T115" i="41" s="1"/>
  <c r="A15" i="41"/>
  <c r="T15" i="41" s="1"/>
  <c r="A115" i="40"/>
  <c r="A55" i="40"/>
  <c r="A94" i="42"/>
  <c r="A75" i="40"/>
  <c r="A15" i="40"/>
  <c r="A34" i="42"/>
  <c r="A75" i="41"/>
  <c r="T75" i="41" s="1"/>
  <c r="A55" i="41"/>
  <c r="T55" i="41" s="1"/>
  <c r="O12" i="37"/>
  <c r="O12" i="35"/>
  <c r="O12" i="34"/>
  <c r="O12" i="33"/>
  <c r="O12" i="22"/>
  <c r="O12" i="24"/>
  <c r="O12" i="20"/>
  <c r="O12" i="17"/>
  <c r="O12" i="19"/>
  <c r="O12" i="16"/>
  <c r="O12" i="15"/>
  <c r="O12" i="14"/>
  <c r="O12" i="11"/>
  <c r="O12" i="10"/>
  <c r="O12" i="8"/>
  <c r="O12" i="6"/>
  <c r="O12" i="7"/>
  <c r="O12" i="5"/>
  <c r="O12" i="4"/>
  <c r="P97" i="34"/>
  <c r="Q92" i="34"/>
  <c r="P98" i="34"/>
  <c r="P98" i="33"/>
  <c r="Q92" i="33"/>
  <c r="P97" i="33"/>
  <c r="P97" i="4"/>
  <c r="Q92" i="4"/>
  <c r="P98" i="4"/>
  <c r="P97" i="14"/>
  <c r="Q92" i="14"/>
  <c r="P98" i="14"/>
  <c r="P98" i="8"/>
  <c r="P97" i="8"/>
  <c r="Q92" i="8"/>
  <c r="Q92" i="6"/>
  <c r="P98" i="6"/>
  <c r="P97" i="6"/>
  <c r="Q92" i="5"/>
  <c r="P98" i="5"/>
  <c r="P97" i="5"/>
  <c r="Q92" i="17"/>
  <c r="P97" i="17"/>
  <c r="P98" i="17"/>
  <c r="X93" i="7"/>
  <c r="W89" i="7"/>
  <c r="O91" i="7" s="1"/>
  <c r="W89" i="33"/>
  <c r="O91" i="33" s="1"/>
  <c r="X93" i="33"/>
  <c r="X93" i="6"/>
  <c r="W89" i="6"/>
  <c r="O91" i="6" s="1"/>
  <c r="X93" i="10"/>
  <c r="W89" i="10"/>
  <c r="O91" i="10" s="1"/>
  <c r="X93" i="34"/>
  <c r="W89" i="34"/>
  <c r="O91" i="34" s="1"/>
  <c r="R9" i="11"/>
  <c r="V8" i="11"/>
  <c r="X93" i="35"/>
  <c r="W89" i="35"/>
  <c r="O91" i="35" s="1"/>
  <c r="P98" i="19"/>
  <c r="P97" i="19"/>
  <c r="Q92" i="19"/>
  <c r="P97" i="24"/>
  <c r="P98" i="24"/>
  <c r="Q92" i="24"/>
  <c r="W89" i="11"/>
  <c r="O91" i="11" s="1"/>
  <c r="X93" i="11"/>
  <c r="W89" i="37"/>
  <c r="O91" i="37" s="1"/>
  <c r="X93" i="37"/>
  <c r="W89" i="59"/>
  <c r="O91" i="59" s="1"/>
  <c r="X93" i="59"/>
  <c r="Q92" i="35"/>
  <c r="P98" i="35"/>
  <c r="P97" i="35"/>
  <c r="W89" i="15"/>
  <c r="O91" i="15" s="1"/>
  <c r="X93" i="15"/>
  <c r="W89" i="24"/>
  <c r="O91" i="24" s="1"/>
  <c r="X93" i="24"/>
  <c r="W89" i="8"/>
  <c r="O91" i="8" s="1"/>
  <c r="X93" i="8"/>
  <c r="W89" i="14"/>
  <c r="O91" i="14" s="1"/>
  <c r="X93" i="14"/>
  <c r="P98" i="11"/>
  <c r="P97" i="11"/>
  <c r="Q92" i="11"/>
  <c r="U135" i="40" l="1"/>
  <c r="U115" i="40"/>
  <c r="U35" i="40"/>
  <c r="U95" i="40"/>
  <c r="U15" i="40"/>
  <c r="U75" i="40"/>
  <c r="U55" i="40"/>
  <c r="X103" i="14"/>
  <c r="W99" i="14"/>
  <c r="O101" i="14" s="1"/>
  <c r="P108" i="6"/>
  <c r="P107" i="6"/>
  <c r="Q102" i="6"/>
  <c r="W99" i="15"/>
  <c r="O101" i="15" s="1"/>
  <c r="X103" i="15"/>
  <c r="O13" i="59"/>
  <c r="O111" i="59" s="1"/>
  <c r="A135" i="42"/>
  <c r="A75" i="42"/>
  <c r="A15" i="42"/>
  <c r="A96" i="41"/>
  <c r="T96" i="41" s="1"/>
  <c r="A56" i="41"/>
  <c r="T56" i="41" s="1"/>
  <c r="A16" i="41"/>
  <c r="T16" i="41" s="1"/>
  <c r="A115" i="42"/>
  <c r="A55" i="42"/>
  <c r="A13" i="56"/>
  <c r="A116" i="41"/>
  <c r="T116" i="41" s="1"/>
  <c r="A76" i="41"/>
  <c r="T76" i="41" s="1"/>
  <c r="A56" i="40"/>
  <c r="A136" i="41"/>
  <c r="T136" i="41" s="1"/>
  <c r="A116" i="40"/>
  <c r="A36" i="41"/>
  <c r="T36" i="41" s="1"/>
  <c r="A16" i="40"/>
  <c r="A76" i="40"/>
  <c r="H7" i="53"/>
  <c r="A1" i="53" s="1"/>
  <c r="A136" i="40"/>
  <c r="A35" i="42"/>
  <c r="A96" i="40"/>
  <c r="A95" i="42"/>
  <c r="A36" i="40"/>
  <c r="O13" i="35"/>
  <c r="O111" i="35" s="1"/>
  <c r="O13" i="37"/>
  <c r="O111" i="37" s="1"/>
  <c r="O13" i="34"/>
  <c r="O111" i="34" s="1"/>
  <c r="O13" i="33"/>
  <c r="O111" i="33" s="1"/>
  <c r="O13" i="24"/>
  <c r="O111" i="24" s="1"/>
  <c r="O13" i="22"/>
  <c r="O111" i="22" s="1"/>
  <c r="O13" i="20"/>
  <c r="O111" i="20" s="1"/>
  <c r="O13" i="19"/>
  <c r="O111" i="19" s="1"/>
  <c r="O13" i="17"/>
  <c r="O111" i="17" s="1"/>
  <c r="O13" i="16"/>
  <c r="O111" i="16" s="1"/>
  <c r="O13" i="15"/>
  <c r="O111" i="15" s="1"/>
  <c r="O13" i="14"/>
  <c r="O111" i="14" s="1"/>
  <c r="O13" i="11"/>
  <c r="O111" i="11" s="1"/>
  <c r="O13" i="10"/>
  <c r="O111" i="10" s="1"/>
  <c r="O13" i="8"/>
  <c r="O111" i="8" s="1"/>
  <c r="O13" i="7"/>
  <c r="O111" i="7" s="1"/>
  <c r="O13" i="6"/>
  <c r="O111" i="6" s="1"/>
  <c r="O13" i="4"/>
  <c r="O111" i="4" s="1"/>
  <c r="O13" i="5"/>
  <c r="O111" i="5" s="1"/>
  <c r="P107" i="22"/>
  <c r="Q102" i="22"/>
  <c r="P108" i="22"/>
  <c r="W99" i="16"/>
  <c r="O101" i="16" s="1"/>
  <c r="X103" i="16"/>
  <c r="P107" i="20"/>
  <c r="Q102" i="20"/>
  <c r="P108" i="20"/>
  <c r="Q102" i="24"/>
  <c r="P107" i="24"/>
  <c r="P108" i="24"/>
  <c r="W99" i="19"/>
  <c r="O101" i="19" s="1"/>
  <c r="X103" i="19"/>
  <c r="P107" i="4"/>
  <c r="Q102" i="4"/>
  <c r="P108" i="4"/>
  <c r="P108" i="5"/>
  <c r="P107" i="5"/>
  <c r="Q102" i="5"/>
  <c r="P107" i="16"/>
  <c r="Q102" i="16"/>
  <c r="P108" i="16"/>
  <c r="P108" i="15"/>
  <c r="P107" i="15"/>
  <c r="Q102" i="15"/>
  <c r="X103" i="17"/>
  <c r="W99" i="17"/>
  <c r="O101" i="17" s="1"/>
  <c r="X103" i="4"/>
  <c r="W99" i="4"/>
  <c r="O101" i="4" s="1"/>
  <c r="W99" i="20"/>
  <c r="O101" i="20" s="1"/>
  <c r="X103" i="20"/>
  <c r="W99" i="11"/>
  <c r="O101" i="11" s="1"/>
  <c r="X103" i="11"/>
  <c r="W99" i="5"/>
  <c r="O101" i="5" s="1"/>
  <c r="X103" i="5"/>
  <c r="X103" i="24"/>
  <c r="W99" i="24"/>
  <c r="O101" i="24" s="1"/>
  <c r="P108" i="10"/>
  <c r="P107" i="10"/>
  <c r="Q102" i="10"/>
  <c r="W99" i="37"/>
  <c r="O101" i="37" s="1"/>
  <c r="X103" i="37"/>
  <c r="P107" i="59"/>
  <c r="Q102" i="59"/>
  <c r="P108" i="59"/>
  <c r="P108" i="35"/>
  <c r="Q102" i="35"/>
  <c r="P107" i="35"/>
  <c r="P107" i="33"/>
  <c r="Q102" i="33"/>
  <c r="P108" i="33"/>
  <c r="X103" i="7"/>
  <c r="W99" i="7"/>
  <c r="O101" i="7" s="1"/>
  <c r="X103" i="22"/>
  <c r="W99" i="22"/>
  <c r="O101" i="22" s="1"/>
  <c r="P107" i="14"/>
  <c r="Q102" i="14"/>
  <c r="P108" i="14"/>
  <c r="V9" i="11"/>
  <c r="R10" i="11"/>
  <c r="Q102" i="7"/>
  <c r="P108" i="7"/>
  <c r="P107" i="7"/>
  <c r="W99" i="6"/>
  <c r="O101" i="6" s="1"/>
  <c r="X103" i="6"/>
  <c r="W99" i="33"/>
  <c r="O101" i="33" s="1"/>
  <c r="X103" i="33"/>
  <c r="P108" i="11"/>
  <c r="P107" i="11"/>
  <c r="Q102" i="11"/>
  <c r="P107" i="37"/>
  <c r="Q102" i="37"/>
  <c r="P108" i="37"/>
  <c r="P107" i="34"/>
  <c r="Q102" i="34"/>
  <c r="P108" i="34"/>
  <c r="W99" i="8"/>
  <c r="O101" i="8" s="1"/>
  <c r="X103" i="8"/>
  <c r="X103" i="34"/>
  <c r="W99" i="34"/>
  <c r="O101" i="34" s="1"/>
  <c r="R10" i="10"/>
  <c r="V9" i="10"/>
  <c r="P108" i="19"/>
  <c r="P107" i="19"/>
  <c r="Q102" i="19"/>
  <c r="P108" i="17"/>
  <c r="P107" i="17"/>
  <c r="Q102" i="17"/>
  <c r="W99" i="59"/>
  <c r="O101" i="59" s="1"/>
  <c r="X103" i="59"/>
  <c r="P108" i="8"/>
  <c r="P107" i="8"/>
  <c r="Q102" i="8"/>
  <c r="W99" i="10"/>
  <c r="O101" i="10" s="1"/>
  <c r="X103" i="10"/>
  <c r="X103" i="35"/>
  <c r="W99" i="35"/>
  <c r="O101" i="35" s="1"/>
  <c r="U96" i="40" l="1"/>
  <c r="U136" i="40"/>
  <c r="U76" i="40"/>
  <c r="U16" i="40"/>
  <c r="U116" i="40"/>
  <c r="U56" i="40"/>
  <c r="U36" i="40"/>
  <c r="P118" i="22"/>
  <c r="Q112" i="22"/>
  <c r="P117" i="22"/>
  <c r="X113" i="14"/>
  <c r="W109" i="14"/>
  <c r="P118" i="35"/>
  <c r="Q112" i="35"/>
  <c r="P117" i="35"/>
  <c r="P117" i="33"/>
  <c r="Q112" i="33"/>
  <c r="P118" i="33"/>
  <c r="P117" i="37"/>
  <c r="Q112" i="37"/>
  <c r="P118" i="37"/>
  <c r="P117" i="20"/>
  <c r="Q112" i="20"/>
  <c r="P118" i="20"/>
  <c r="W109" i="15"/>
  <c r="X113" i="15"/>
  <c r="P118" i="15"/>
  <c r="P117" i="15"/>
  <c r="Q112" i="15"/>
  <c r="V10" i="10"/>
  <c r="R11" i="10"/>
  <c r="P118" i="7"/>
  <c r="P117" i="7"/>
  <c r="Q112" i="7"/>
  <c r="Q112" i="4"/>
  <c r="P117" i="4"/>
  <c r="P118" i="4"/>
  <c r="X113" i="16"/>
  <c r="W109" i="16"/>
  <c r="O14" i="59"/>
  <c r="O121" i="59" s="1"/>
  <c r="A17" i="41"/>
  <c r="T17" i="41" s="1"/>
  <c r="A117" i="41"/>
  <c r="T117" i="41" s="1"/>
  <c r="A14" i="56"/>
  <c r="A116" i="42"/>
  <c r="A56" i="42"/>
  <c r="H7" i="54"/>
  <c r="A1" i="54" s="1"/>
  <c r="A77" i="41"/>
  <c r="T77" i="41" s="1"/>
  <c r="A96" i="42"/>
  <c r="A36" i="42"/>
  <c r="A137" i="41"/>
  <c r="T137" i="41" s="1"/>
  <c r="A137" i="40"/>
  <c r="A136" i="42"/>
  <c r="A76" i="42"/>
  <c r="A16" i="42"/>
  <c r="A97" i="41"/>
  <c r="T97" i="41" s="1"/>
  <c r="A17" i="40"/>
  <c r="A37" i="41"/>
  <c r="T37" i="41" s="1"/>
  <c r="A77" i="40"/>
  <c r="A57" i="41"/>
  <c r="T57" i="41" s="1"/>
  <c r="A97" i="40"/>
  <c r="A37" i="40"/>
  <c r="A117" i="40"/>
  <c r="A57" i="40"/>
  <c r="O14" i="35"/>
  <c r="O121" i="35" s="1"/>
  <c r="O14" i="34"/>
  <c r="O121" i="34" s="1"/>
  <c r="O14" i="37"/>
  <c r="O121" i="37" s="1"/>
  <c r="O14" i="33"/>
  <c r="O121" i="33" s="1"/>
  <c r="O14" i="24"/>
  <c r="O121" i="24" s="1"/>
  <c r="O14" i="22"/>
  <c r="O121" i="22" s="1"/>
  <c r="O14" i="20"/>
  <c r="O121" i="20" s="1"/>
  <c r="O14" i="19"/>
  <c r="O121" i="19" s="1"/>
  <c r="O14" i="17"/>
  <c r="O121" i="17" s="1"/>
  <c r="O14" i="16"/>
  <c r="O121" i="16" s="1"/>
  <c r="O14" i="15"/>
  <c r="O121" i="15" s="1"/>
  <c r="O14" i="14"/>
  <c r="O121" i="14" s="1"/>
  <c r="O14" i="11"/>
  <c r="O121" i="11" s="1"/>
  <c r="O14" i="10"/>
  <c r="O121" i="10" s="1"/>
  <c r="O14" i="8"/>
  <c r="O121" i="8" s="1"/>
  <c r="O14" i="7"/>
  <c r="O121" i="7" s="1"/>
  <c r="O14" i="6"/>
  <c r="O121" i="6" s="1"/>
  <c r="O14" i="5"/>
  <c r="O121" i="5" s="1"/>
  <c r="O14" i="4"/>
  <c r="O121" i="4" s="1"/>
  <c r="P118" i="10"/>
  <c r="P117" i="10"/>
  <c r="Q112" i="10"/>
  <c r="P118" i="6"/>
  <c r="P117" i="6"/>
  <c r="Q112" i="6"/>
  <c r="W109" i="17"/>
  <c r="X113" i="17"/>
  <c r="P118" i="19"/>
  <c r="P117" i="19"/>
  <c r="Q112" i="19"/>
  <c r="P117" i="16"/>
  <c r="Q112" i="16"/>
  <c r="P118" i="16"/>
  <c r="X113" i="19"/>
  <c r="W109" i="19"/>
  <c r="R11" i="11"/>
  <c r="V10" i="11"/>
  <c r="P118" i="24"/>
  <c r="P117" i="24"/>
  <c r="Q112" i="24"/>
  <c r="W109" i="5"/>
  <c r="X113" i="5"/>
  <c r="X113" i="20"/>
  <c r="W109" i="20"/>
  <c r="X113" i="4"/>
  <c r="W109" i="4"/>
  <c r="X113" i="22"/>
  <c r="W109" i="22"/>
  <c r="P118" i="14"/>
  <c r="Q112" i="14"/>
  <c r="P117" i="14"/>
  <c r="P117" i="34"/>
  <c r="Q112" i="34"/>
  <c r="P118" i="34"/>
  <c r="W109" i="6"/>
  <c r="X113" i="6"/>
  <c r="X113" i="24"/>
  <c r="W109" i="24"/>
  <c r="P118" i="5"/>
  <c r="Q112" i="5"/>
  <c r="P117" i="5"/>
  <c r="P118" i="17"/>
  <c r="P117" i="17"/>
  <c r="Q112" i="17"/>
  <c r="W109" i="7"/>
  <c r="X113" i="7"/>
  <c r="X113" i="33"/>
  <c r="W109" i="33"/>
  <c r="P118" i="11"/>
  <c r="P117" i="11"/>
  <c r="Q112" i="11"/>
  <c r="W109" i="8"/>
  <c r="X113" i="8"/>
  <c r="X113" i="34"/>
  <c r="W109" i="34"/>
  <c r="P117" i="59"/>
  <c r="Q112" i="59"/>
  <c r="P118" i="59"/>
  <c r="P118" i="8"/>
  <c r="P117" i="8"/>
  <c r="Q112" i="8"/>
  <c r="W109" i="10"/>
  <c r="X113" i="10"/>
  <c r="X113" i="37"/>
  <c r="W109" i="37"/>
  <c r="X113" i="11"/>
  <c r="W109" i="11"/>
  <c r="W109" i="35"/>
  <c r="X113" i="35"/>
  <c r="X113" i="59"/>
  <c r="W109" i="59"/>
  <c r="U37" i="40" l="1"/>
  <c r="U77" i="40"/>
  <c r="U97" i="40"/>
  <c r="U17" i="40"/>
  <c r="U57" i="40"/>
  <c r="U137" i="40"/>
  <c r="U117" i="40"/>
  <c r="W119" i="10"/>
  <c r="X123" i="10"/>
  <c r="W119" i="8"/>
  <c r="X123" i="8"/>
  <c r="X123" i="37"/>
  <c r="W119" i="37"/>
  <c r="Q122" i="37"/>
  <c r="P127" i="37"/>
  <c r="P128" i="37"/>
  <c r="P128" i="33"/>
  <c r="Q122" i="33"/>
  <c r="P127" i="33"/>
  <c r="P128" i="20"/>
  <c r="Q122" i="20"/>
  <c r="P127" i="20"/>
  <c r="P128" i="17"/>
  <c r="P127" i="17"/>
  <c r="Q122" i="17"/>
  <c r="X123" i="11"/>
  <c r="W119" i="11"/>
  <c r="W119" i="35"/>
  <c r="X123" i="35"/>
  <c r="X123" i="59"/>
  <c r="W119" i="59"/>
  <c r="Q122" i="34"/>
  <c r="P128" i="34"/>
  <c r="P127" i="34"/>
  <c r="W119" i="14"/>
  <c r="X123" i="14"/>
  <c r="Q122" i="16"/>
  <c r="P128" i="16"/>
  <c r="P127" i="16"/>
  <c r="P128" i="15"/>
  <c r="P127" i="15"/>
  <c r="Q122" i="15"/>
  <c r="P127" i="35"/>
  <c r="P128" i="35"/>
  <c r="Q122" i="35"/>
  <c r="P128" i="19"/>
  <c r="P127" i="19"/>
  <c r="Q122" i="19"/>
  <c r="W119" i="15"/>
  <c r="X123" i="15"/>
  <c r="R12" i="10"/>
  <c r="V11" i="10"/>
  <c r="P128" i="7"/>
  <c r="P127" i="7"/>
  <c r="Q122" i="7"/>
  <c r="P128" i="5"/>
  <c r="P127" i="5"/>
  <c r="Q122" i="5"/>
  <c r="X123" i="16"/>
  <c r="W119" i="16"/>
  <c r="X123" i="34"/>
  <c r="W119" i="34"/>
  <c r="P128" i="11"/>
  <c r="P127" i="11"/>
  <c r="Q122" i="11"/>
  <c r="P127" i="8"/>
  <c r="Q122" i="8"/>
  <c r="P128" i="8"/>
  <c r="V11" i="11"/>
  <c r="R12" i="11"/>
  <c r="W119" i="17"/>
  <c r="X123" i="17"/>
  <c r="P128" i="14"/>
  <c r="P127" i="14"/>
  <c r="Q122" i="14"/>
  <c r="Q122" i="59"/>
  <c r="P128" i="59"/>
  <c r="P127" i="59"/>
  <c r="P128" i="10"/>
  <c r="P127" i="10"/>
  <c r="Q122" i="10"/>
  <c r="W119" i="19"/>
  <c r="X123" i="19"/>
  <c r="P128" i="24"/>
  <c r="P127" i="24"/>
  <c r="Q122" i="24"/>
  <c r="W119" i="4"/>
  <c r="X123" i="4"/>
  <c r="W119" i="20"/>
  <c r="X123" i="20"/>
  <c r="P128" i="22"/>
  <c r="Q122" i="22"/>
  <c r="P127" i="22"/>
  <c r="W119" i="5"/>
  <c r="X123" i="5"/>
  <c r="W119" i="22"/>
  <c r="X123" i="22"/>
  <c r="W119" i="6"/>
  <c r="X123" i="6"/>
  <c r="W119" i="24"/>
  <c r="X123" i="24"/>
  <c r="P128" i="6"/>
  <c r="P127" i="6"/>
  <c r="Q122" i="6"/>
  <c r="P128" i="4"/>
  <c r="P127" i="4"/>
  <c r="Q122" i="4"/>
  <c r="W119" i="7"/>
  <c r="X123" i="7"/>
  <c r="X123" i="33"/>
  <c r="W119" i="33"/>
  <c r="O15" i="59"/>
  <c r="A78" i="41"/>
  <c r="T78" i="41" s="1"/>
  <c r="A117" i="42"/>
  <c r="A57" i="42"/>
  <c r="A38" i="41"/>
  <c r="T38" i="41" s="1"/>
  <c r="A138" i="41"/>
  <c r="T138" i="41" s="1"/>
  <c r="A97" i="42"/>
  <c r="A37" i="42"/>
  <c r="A98" i="41"/>
  <c r="T98" i="41" s="1"/>
  <c r="H7" i="55"/>
  <c r="A118" i="41"/>
  <c r="T118" i="41" s="1"/>
  <c r="A58" i="41"/>
  <c r="T58" i="41" s="1"/>
  <c r="A98" i="40"/>
  <c r="A38" i="40"/>
  <c r="A17" i="42"/>
  <c r="A77" i="42"/>
  <c r="A138" i="40"/>
  <c r="A78" i="40"/>
  <c r="A18" i="41"/>
  <c r="T18" i="41" s="1"/>
  <c r="A118" i="40"/>
  <c r="A58" i="40"/>
  <c r="A18" i="40"/>
  <c r="A137" i="42"/>
  <c r="O15" i="35"/>
  <c r="O131" i="35" s="1"/>
  <c r="O15" i="37"/>
  <c r="O131" i="37" s="1"/>
  <c r="O15" i="34"/>
  <c r="O131" i="34" s="1"/>
  <c r="O15" i="33"/>
  <c r="O131" i="33" s="1"/>
  <c r="O15" i="24"/>
  <c r="O131" i="24" s="1"/>
  <c r="O15" i="22"/>
  <c r="O131" i="22" s="1"/>
  <c r="O15" i="19"/>
  <c r="O131" i="19" s="1"/>
  <c r="O15" i="20"/>
  <c r="O131" i="20" s="1"/>
  <c r="O15" i="17"/>
  <c r="O131" i="17" s="1"/>
  <c r="O15" i="16"/>
  <c r="O131" i="16" s="1"/>
  <c r="O15" i="15"/>
  <c r="O131" i="15" s="1"/>
  <c r="O15" i="14"/>
  <c r="O131" i="14" s="1"/>
  <c r="O15" i="10"/>
  <c r="O131" i="10" s="1"/>
  <c r="O15" i="11"/>
  <c r="O131" i="11" s="1"/>
  <c r="O15" i="8"/>
  <c r="O131" i="8" s="1"/>
  <c r="O15" i="7"/>
  <c r="O131" i="7" s="1"/>
  <c r="O15" i="5"/>
  <c r="O131" i="5" s="1"/>
  <c r="O15" i="6"/>
  <c r="O131" i="6" s="1"/>
  <c r="O15" i="4"/>
  <c r="O131" i="4" s="1"/>
  <c r="U58" i="40" l="1"/>
  <c r="U118" i="40"/>
  <c r="U18" i="40"/>
  <c r="U78" i="40"/>
  <c r="U138" i="40"/>
  <c r="U38" i="40"/>
  <c r="U98" i="40"/>
  <c r="W129" i="11"/>
  <c r="X133" i="11"/>
  <c r="X133" i="37"/>
  <c r="W129" i="37"/>
  <c r="O131" i="59"/>
  <c r="P138" i="6"/>
  <c r="P137" i="6"/>
  <c r="Q132" i="6"/>
  <c r="P137" i="22"/>
  <c r="P138" i="22"/>
  <c r="Q132" i="22"/>
  <c r="R13" i="10"/>
  <c r="V12" i="10"/>
  <c r="W129" i="14"/>
  <c r="X133" i="14"/>
  <c r="P137" i="5"/>
  <c r="P138" i="5"/>
  <c r="Q132" i="5"/>
  <c r="P137" i="15"/>
  <c r="Q132" i="15"/>
  <c r="P138" i="15"/>
  <c r="P138" i="14"/>
  <c r="P137" i="14"/>
  <c r="Q132" i="14"/>
  <c r="P137" i="8"/>
  <c r="Q132" i="8"/>
  <c r="P138" i="8"/>
  <c r="W129" i="15"/>
  <c r="X133" i="15"/>
  <c r="A1" i="55"/>
  <c r="K6" i="1"/>
  <c r="P137" i="20"/>
  <c r="P138" i="20"/>
  <c r="Q132" i="20"/>
  <c r="R13" i="11"/>
  <c r="V12" i="11"/>
  <c r="P138" i="34"/>
  <c r="Q132" i="34"/>
  <c r="P137" i="34"/>
  <c r="Q132" i="35"/>
  <c r="P138" i="35"/>
  <c r="P137" i="35"/>
  <c r="X133" i="35"/>
  <c r="W129" i="35"/>
  <c r="W129" i="17"/>
  <c r="X133" i="17"/>
  <c r="P137" i="11"/>
  <c r="Q132" i="11"/>
  <c r="P138" i="11"/>
  <c r="W129" i="20"/>
  <c r="X133" i="20"/>
  <c r="P138" i="4"/>
  <c r="P137" i="4"/>
  <c r="Q132" i="4"/>
  <c r="P137" i="19"/>
  <c r="P138" i="19"/>
  <c r="Q132" i="19"/>
  <c r="P138" i="7"/>
  <c r="P137" i="7"/>
  <c r="Q132" i="7"/>
  <c r="W129" i="19"/>
  <c r="X133" i="19"/>
  <c r="P137" i="17"/>
  <c r="Q132" i="17"/>
  <c r="P138" i="17"/>
  <c r="P138" i="16"/>
  <c r="Q132" i="16"/>
  <c r="P137" i="16"/>
  <c r="W129" i="10"/>
  <c r="X133" i="10"/>
  <c r="W129" i="6"/>
  <c r="X133" i="6"/>
  <c r="W129" i="22"/>
  <c r="X133" i="22"/>
  <c r="P138" i="10"/>
  <c r="P137" i="10"/>
  <c r="Q132" i="10"/>
  <c r="W129" i="4"/>
  <c r="X133" i="4"/>
  <c r="X133" i="5"/>
  <c r="W129" i="5"/>
  <c r="W129" i="24"/>
  <c r="X133" i="24"/>
  <c r="P138" i="59"/>
  <c r="Q132" i="59"/>
  <c r="P137" i="59"/>
  <c r="W129" i="7"/>
  <c r="X133" i="7"/>
  <c r="W129" i="33"/>
  <c r="X133" i="33"/>
  <c r="P138" i="24"/>
  <c r="P137" i="24"/>
  <c r="Q132" i="24"/>
  <c r="P138" i="33"/>
  <c r="Q132" i="33"/>
  <c r="P137" i="33"/>
  <c r="W129" i="16"/>
  <c r="X133" i="16"/>
  <c r="X133" i="8"/>
  <c r="W129" i="8"/>
  <c r="W129" i="34"/>
  <c r="X133" i="34"/>
  <c r="P138" i="37"/>
  <c r="Q132" i="37"/>
  <c r="P137" i="37"/>
  <c r="X139" i="5" l="1"/>
  <c r="W146" i="5"/>
  <c r="X138" i="5"/>
  <c r="W146" i="6"/>
  <c r="X139" i="6"/>
  <c r="X138" i="6"/>
  <c r="W146" i="20"/>
  <c r="X139" i="20"/>
  <c r="X138" i="20"/>
  <c r="X139" i="33"/>
  <c r="X138" i="33"/>
  <c r="W146" i="33"/>
  <c r="X138" i="4"/>
  <c r="X139" i="4"/>
  <c r="W146" i="4"/>
  <c r="W146" i="35"/>
  <c r="X139" i="35"/>
  <c r="X138" i="35"/>
  <c r="W146" i="7"/>
  <c r="X139" i="7"/>
  <c r="X138" i="7"/>
  <c r="W146" i="10"/>
  <c r="X139" i="10"/>
  <c r="X138" i="10"/>
  <c r="W146" i="34"/>
  <c r="X139" i="34"/>
  <c r="X138" i="34"/>
  <c r="W129" i="59"/>
  <c r="X133" i="59"/>
  <c r="W146" i="8"/>
  <c r="X139" i="8"/>
  <c r="X138" i="8"/>
  <c r="W146" i="19"/>
  <c r="X139" i="19"/>
  <c r="X138" i="19"/>
  <c r="W146" i="15"/>
  <c r="X139" i="15"/>
  <c r="X138" i="15"/>
  <c r="W146" i="37"/>
  <c r="X139" i="37"/>
  <c r="X138" i="37"/>
  <c r="R14" i="11"/>
  <c r="V13" i="11"/>
  <c r="W146" i="14"/>
  <c r="X138" i="14"/>
  <c r="X139" i="14"/>
  <c r="W146" i="16"/>
  <c r="X139" i="16"/>
  <c r="X138" i="16"/>
  <c r="R14" i="10"/>
  <c r="V13" i="10"/>
  <c r="X139" i="11"/>
  <c r="X138" i="11"/>
  <c r="W146" i="11"/>
  <c r="W146" i="24"/>
  <c r="X138" i="24"/>
  <c r="X139" i="24"/>
  <c r="W146" i="22"/>
  <c r="X138" i="22"/>
  <c r="X139" i="22"/>
  <c r="W146" i="17"/>
  <c r="X139" i="17"/>
  <c r="X138" i="17"/>
  <c r="R15" i="10" l="1"/>
  <c r="V14" i="10"/>
  <c r="W146" i="59"/>
  <c r="X139" i="59"/>
  <c r="X138" i="59"/>
  <c r="R15" i="11"/>
  <c r="V14" i="11"/>
  <c r="V15" i="10" l="1"/>
  <c r="V15" i="11"/>
  <c r="Q18" i="57"/>
  <c r="M9" i="57"/>
  <c r="V18" i="57"/>
  <c r="V22" i="57"/>
  <c r="H62" i="58"/>
  <c r="M22" i="57"/>
  <c r="V9" i="57"/>
  <c r="M18" i="57"/>
  <c r="U9" i="57"/>
  <c r="F62" i="58"/>
  <c r="L9" i="57"/>
  <c r="Q22" i="57"/>
  <c r="G62" i="58"/>
  <c r="F61" i="60" l="1"/>
  <c r="I9" i="60"/>
  <c r="F60" i="60"/>
  <c r="C9" i="60"/>
  <c r="F59" i="60"/>
  <c r="C8" i="60"/>
  <c r="F58" i="60"/>
  <c r="C12" i="60"/>
  <c r="I7" i="60"/>
  <c r="C10" i="60"/>
  <c r="F57" i="60"/>
  <c r="C7" i="60"/>
  <c r="F56" i="60"/>
  <c r="I11" i="60"/>
  <c r="F62" i="60"/>
  <c r="C11" i="60"/>
  <c r="C6" i="60"/>
  <c r="F63" i="60"/>
  <c r="T126" i="40"/>
  <c r="K126" i="40"/>
  <c r="O106" i="40"/>
  <c r="C106" i="40"/>
  <c r="G86" i="40"/>
  <c r="K66" i="40"/>
  <c r="O46" i="40"/>
  <c r="C46" i="40"/>
  <c r="G26" i="40"/>
  <c r="O6" i="40"/>
  <c r="C6" i="40"/>
  <c r="R46" i="40"/>
  <c r="P46" i="40"/>
  <c r="S126" i="40"/>
  <c r="J126" i="40"/>
  <c r="N106" i="40"/>
  <c r="R86" i="40"/>
  <c r="F86" i="40"/>
  <c r="J66" i="40"/>
  <c r="N46" i="40"/>
  <c r="R26" i="40"/>
  <c r="F26" i="40"/>
  <c r="N6" i="40"/>
  <c r="K26" i="40"/>
  <c r="H86" i="40"/>
  <c r="T106" i="40"/>
  <c r="T6" i="40"/>
  <c r="I126" i="40"/>
  <c r="M106" i="40"/>
  <c r="Q86" i="40"/>
  <c r="E86" i="40"/>
  <c r="I66" i="40"/>
  <c r="M46" i="40"/>
  <c r="Q26" i="40"/>
  <c r="E26" i="40"/>
  <c r="M6" i="40"/>
  <c r="F6" i="40"/>
  <c r="D46" i="40"/>
  <c r="S106" i="40"/>
  <c r="S6" i="40"/>
  <c r="H126" i="40"/>
  <c r="L106" i="40"/>
  <c r="P86" i="40"/>
  <c r="D86" i="40"/>
  <c r="H66" i="40"/>
  <c r="L46" i="40"/>
  <c r="P26" i="40"/>
  <c r="D26" i="40"/>
  <c r="L6" i="40"/>
  <c r="H26" i="40"/>
  <c r="T86" i="40"/>
  <c r="G126" i="40"/>
  <c r="K106" i="40"/>
  <c r="O86" i="40"/>
  <c r="C86" i="40"/>
  <c r="G66" i="40"/>
  <c r="K46" i="40"/>
  <c r="O26" i="40"/>
  <c r="C26" i="40"/>
  <c r="K6" i="40"/>
  <c r="F46" i="40"/>
  <c r="P6" i="40"/>
  <c r="S86" i="40"/>
  <c r="R126" i="40"/>
  <c r="F126" i="40"/>
  <c r="J106" i="40"/>
  <c r="N86" i="40"/>
  <c r="R66" i="40"/>
  <c r="F66" i="40"/>
  <c r="J46" i="40"/>
  <c r="N26" i="40"/>
  <c r="J6" i="40"/>
  <c r="O66" i="40"/>
  <c r="S26" i="40"/>
  <c r="T66" i="40"/>
  <c r="Q126" i="40"/>
  <c r="E126" i="40"/>
  <c r="I106" i="40"/>
  <c r="M86" i="40"/>
  <c r="Q66" i="40"/>
  <c r="E66" i="40"/>
  <c r="I46" i="40"/>
  <c r="M26" i="40"/>
  <c r="I6" i="40"/>
  <c r="C66" i="40"/>
  <c r="G6" i="40"/>
  <c r="D106" i="40"/>
  <c r="S66" i="40"/>
  <c r="P126" i="40"/>
  <c r="D126" i="40"/>
  <c r="H106" i="40"/>
  <c r="L86" i="40"/>
  <c r="P66" i="40"/>
  <c r="D66" i="40"/>
  <c r="H46" i="40"/>
  <c r="L26" i="40"/>
  <c r="H6" i="40"/>
  <c r="G46" i="40"/>
  <c r="P106" i="40"/>
  <c r="T46" i="40"/>
  <c r="O126" i="40"/>
  <c r="C126" i="40"/>
  <c r="G106" i="40"/>
  <c r="K86" i="40"/>
  <c r="J26" i="40"/>
  <c r="L66" i="40"/>
  <c r="S46" i="40"/>
  <c r="N126" i="40"/>
  <c r="R106" i="40"/>
  <c r="F106" i="40"/>
  <c r="J86" i="40"/>
  <c r="N66" i="40"/>
  <c r="R6" i="40"/>
  <c r="L126" i="40"/>
  <c r="T26" i="40"/>
  <c r="M126" i="40"/>
  <c r="Q106" i="40"/>
  <c r="E106" i="40"/>
  <c r="I86" i="40"/>
  <c r="M66" i="40"/>
  <c r="Q46" i="40"/>
  <c r="E46" i="40"/>
  <c r="I26" i="40"/>
  <c r="Q6" i="40"/>
  <c r="E6" i="40"/>
  <c r="D6" i="40"/>
  <c r="B26" i="40"/>
  <c r="I7" i="59"/>
  <c r="F59" i="37"/>
  <c r="C7" i="37"/>
  <c r="I7" i="35"/>
  <c r="F59" i="34"/>
  <c r="C7" i="34"/>
  <c r="I7" i="33"/>
  <c r="F59" i="24"/>
  <c r="C7" i="24"/>
  <c r="I7" i="22"/>
  <c r="F59" i="20"/>
  <c r="C7" i="20"/>
  <c r="I7" i="19"/>
  <c r="F59" i="17"/>
  <c r="C7" i="17"/>
  <c r="I7" i="16"/>
  <c r="F59" i="15"/>
  <c r="C7" i="15"/>
  <c r="I7" i="14"/>
  <c r="F59" i="11"/>
  <c r="C7" i="11"/>
  <c r="I7" i="10"/>
  <c r="F59" i="8"/>
  <c r="C7" i="8"/>
  <c r="I7" i="7"/>
  <c r="F59" i="6"/>
  <c r="C7" i="6"/>
  <c r="I7" i="5"/>
  <c r="F59" i="4"/>
  <c r="C7" i="4"/>
  <c r="I11" i="33"/>
  <c r="F61" i="17"/>
  <c r="C9" i="8"/>
  <c r="B6" i="40"/>
  <c r="C12" i="59"/>
  <c r="F58" i="37"/>
  <c r="C6" i="37"/>
  <c r="C12" i="35"/>
  <c r="F58" i="34"/>
  <c r="C6" i="34"/>
  <c r="C12" i="33"/>
  <c r="F58" i="24"/>
  <c r="C6" i="24"/>
  <c r="C12" i="22"/>
  <c r="F58" i="20"/>
  <c r="C6" i="20"/>
  <c r="C12" i="19"/>
  <c r="F58" i="17"/>
  <c r="C6" i="17"/>
  <c r="C12" i="16"/>
  <c r="F58" i="15"/>
  <c r="C6" i="15"/>
  <c r="C12" i="14"/>
  <c r="F58" i="11"/>
  <c r="C6" i="11"/>
  <c r="C12" i="10"/>
  <c r="F58" i="8"/>
  <c r="C6" i="8"/>
  <c r="C12" i="7"/>
  <c r="F58" i="6"/>
  <c r="C6" i="6"/>
  <c r="C12" i="5"/>
  <c r="F58" i="4"/>
  <c r="C6" i="4"/>
  <c r="F61" i="24"/>
  <c r="I11" i="16"/>
  <c r="I11" i="7"/>
  <c r="F63" i="59"/>
  <c r="C11" i="59"/>
  <c r="F57" i="37"/>
  <c r="F63" i="35"/>
  <c r="C11" i="35"/>
  <c r="F57" i="34"/>
  <c r="F63" i="33"/>
  <c r="C11" i="33"/>
  <c r="F57" i="24"/>
  <c r="F63" i="22"/>
  <c r="C11" i="22"/>
  <c r="F57" i="20"/>
  <c r="F63" i="19"/>
  <c r="C11" i="19"/>
  <c r="F57" i="17"/>
  <c r="F63" i="16"/>
  <c r="C11" i="16"/>
  <c r="F57" i="15"/>
  <c r="F63" i="14"/>
  <c r="C11" i="14"/>
  <c r="F57" i="11"/>
  <c r="F63" i="10"/>
  <c r="C11" i="10"/>
  <c r="F57" i="8"/>
  <c r="F63" i="7"/>
  <c r="C11" i="7"/>
  <c r="F57" i="6"/>
  <c r="F63" i="5"/>
  <c r="C11" i="5"/>
  <c r="F57" i="4"/>
  <c r="C9" i="24"/>
  <c r="I11" i="19"/>
  <c r="I11" i="10"/>
  <c r="F62" i="59"/>
  <c r="C10" i="59"/>
  <c r="F56" i="37"/>
  <c r="F62" i="35"/>
  <c r="C10" i="35"/>
  <c r="F56" i="34"/>
  <c r="F62" i="33"/>
  <c r="C10" i="33"/>
  <c r="F56" i="24"/>
  <c r="F62" i="22"/>
  <c r="C10" i="22"/>
  <c r="F56" i="20"/>
  <c r="F62" i="19"/>
  <c r="C10" i="19"/>
  <c r="F56" i="17"/>
  <c r="F62" i="16"/>
  <c r="C10" i="16"/>
  <c r="F56" i="15"/>
  <c r="F62" i="14"/>
  <c r="C10" i="14"/>
  <c r="F56" i="11"/>
  <c r="F62" i="10"/>
  <c r="C10" i="10"/>
  <c r="F56" i="8"/>
  <c r="F62" i="7"/>
  <c r="C10" i="7"/>
  <c r="F56" i="6"/>
  <c r="F62" i="5"/>
  <c r="C10" i="5"/>
  <c r="F56" i="4"/>
  <c r="C9" i="37"/>
  <c r="C9" i="20"/>
  <c r="F61" i="8"/>
  <c r="F61" i="59"/>
  <c r="C9" i="59"/>
  <c r="I11" i="37"/>
  <c r="F61" i="35"/>
  <c r="C9" i="35"/>
  <c r="I11" i="34"/>
  <c r="F61" i="33"/>
  <c r="C9" i="33"/>
  <c r="I11" i="24"/>
  <c r="F61" i="22"/>
  <c r="C9" i="22"/>
  <c r="I11" i="20"/>
  <c r="F61" i="19"/>
  <c r="C9" i="19"/>
  <c r="I11" i="17"/>
  <c r="F61" i="16"/>
  <c r="C9" i="16"/>
  <c r="I11" i="15"/>
  <c r="F61" i="14"/>
  <c r="C9" i="14"/>
  <c r="I11" i="11"/>
  <c r="F61" i="10"/>
  <c r="C9" i="10"/>
  <c r="I11" i="8"/>
  <c r="F61" i="7"/>
  <c r="C9" i="7"/>
  <c r="I11" i="6"/>
  <c r="F61" i="5"/>
  <c r="C9" i="5"/>
  <c r="I11" i="4"/>
  <c r="F61" i="34"/>
  <c r="F61" i="15"/>
  <c r="I11" i="5"/>
  <c r="F60" i="59"/>
  <c r="C8" i="59"/>
  <c r="I9" i="37"/>
  <c r="F60" i="35"/>
  <c r="C8" i="35"/>
  <c r="I9" i="34"/>
  <c r="F60" i="33"/>
  <c r="C8" i="33"/>
  <c r="I9" i="24"/>
  <c r="F60" i="22"/>
  <c r="C8" i="22"/>
  <c r="I9" i="20"/>
  <c r="F60" i="19"/>
  <c r="C8" i="19"/>
  <c r="I9" i="17"/>
  <c r="F60" i="16"/>
  <c r="C8" i="16"/>
  <c r="I9" i="15"/>
  <c r="F60" i="14"/>
  <c r="C8" i="14"/>
  <c r="I9" i="11"/>
  <c r="F60" i="10"/>
  <c r="C8" i="10"/>
  <c r="I9" i="8"/>
  <c r="F60" i="7"/>
  <c r="C8" i="7"/>
  <c r="I9" i="6"/>
  <c r="F60" i="5"/>
  <c r="C8" i="5"/>
  <c r="I9" i="4"/>
  <c r="C9" i="34"/>
  <c r="C9" i="6"/>
  <c r="F59" i="59"/>
  <c r="C7" i="59"/>
  <c r="I7" i="37"/>
  <c r="F59" i="35"/>
  <c r="C7" i="35"/>
  <c r="I7" i="34"/>
  <c r="F59" i="33"/>
  <c r="C7" i="33"/>
  <c r="I7" i="24"/>
  <c r="F59" i="22"/>
  <c r="C7" i="22"/>
  <c r="I7" i="20"/>
  <c r="F59" i="19"/>
  <c r="C7" i="19"/>
  <c r="I7" i="17"/>
  <c r="F59" i="16"/>
  <c r="C7" i="16"/>
  <c r="I7" i="15"/>
  <c r="F59" i="14"/>
  <c r="C7" i="14"/>
  <c r="I7" i="11"/>
  <c r="F59" i="10"/>
  <c r="C7" i="10"/>
  <c r="I7" i="8"/>
  <c r="F59" i="7"/>
  <c r="C7" i="7"/>
  <c r="I7" i="6"/>
  <c r="F59" i="5"/>
  <c r="C7" i="5"/>
  <c r="I7" i="4"/>
  <c r="I11" i="35"/>
  <c r="I11" i="14"/>
  <c r="C9" i="4"/>
  <c r="B126" i="40"/>
  <c r="F58" i="59"/>
  <c r="C6" i="59"/>
  <c r="C12" i="37"/>
  <c r="F58" i="35"/>
  <c r="C6" i="35"/>
  <c r="C12" i="34"/>
  <c r="F58" i="33"/>
  <c r="C6" i="33"/>
  <c r="C12" i="24"/>
  <c r="F58" i="22"/>
  <c r="C6" i="22"/>
  <c r="C12" i="20"/>
  <c r="F58" i="19"/>
  <c r="C6" i="19"/>
  <c r="C12" i="17"/>
  <c r="F58" i="16"/>
  <c r="C6" i="16"/>
  <c r="C12" i="15"/>
  <c r="F58" i="14"/>
  <c r="C6" i="14"/>
  <c r="C12" i="11"/>
  <c r="F58" i="10"/>
  <c r="C6" i="10"/>
  <c r="C12" i="8"/>
  <c r="F58" i="7"/>
  <c r="C6" i="7"/>
  <c r="C12" i="6"/>
  <c r="F58" i="5"/>
  <c r="C6" i="5"/>
  <c r="C12" i="4"/>
  <c r="F61" i="37"/>
  <c r="C9" i="15"/>
  <c r="F61" i="4"/>
  <c r="B106" i="40"/>
  <c r="F57" i="59"/>
  <c r="F63" i="37"/>
  <c r="C11" i="37"/>
  <c r="F57" i="35"/>
  <c r="F63" i="34"/>
  <c r="C11" i="34"/>
  <c r="F57" i="33"/>
  <c r="F63" i="24"/>
  <c r="C11" i="24"/>
  <c r="F57" i="22"/>
  <c r="F63" i="20"/>
  <c r="C11" i="20"/>
  <c r="F57" i="19"/>
  <c r="F63" i="17"/>
  <c r="C11" i="17"/>
  <c r="F57" i="16"/>
  <c r="F63" i="15"/>
  <c r="C11" i="15"/>
  <c r="F57" i="14"/>
  <c r="F63" i="11"/>
  <c r="C11" i="11"/>
  <c r="F57" i="10"/>
  <c r="F63" i="8"/>
  <c r="C11" i="8"/>
  <c r="F57" i="7"/>
  <c r="F63" i="6"/>
  <c r="C11" i="6"/>
  <c r="F57" i="5"/>
  <c r="F63" i="4"/>
  <c r="C11" i="4"/>
  <c r="I11" i="59"/>
  <c r="F61" i="11"/>
  <c r="B86" i="40"/>
  <c r="F56" i="59"/>
  <c r="F62" i="37"/>
  <c r="C10" i="37"/>
  <c r="F56" i="35"/>
  <c r="F62" i="34"/>
  <c r="C10" i="34"/>
  <c r="F56" i="33"/>
  <c r="F62" i="24"/>
  <c r="C10" i="24"/>
  <c r="F56" i="22"/>
  <c r="F62" i="20"/>
  <c r="C10" i="20"/>
  <c r="F56" i="19"/>
  <c r="F62" i="17"/>
  <c r="C10" i="17"/>
  <c r="F56" i="16"/>
  <c r="F62" i="15"/>
  <c r="C10" i="15"/>
  <c r="F56" i="14"/>
  <c r="F62" i="11"/>
  <c r="C10" i="11"/>
  <c r="F56" i="10"/>
  <c r="F62" i="8"/>
  <c r="C10" i="8"/>
  <c r="F56" i="7"/>
  <c r="F62" i="6"/>
  <c r="C10" i="6"/>
  <c r="F56" i="5"/>
  <c r="F62" i="4"/>
  <c r="C10" i="4"/>
  <c r="B66" i="40"/>
  <c r="C9" i="17"/>
  <c r="F61" i="6"/>
  <c r="B46" i="40"/>
  <c r="I9" i="59"/>
  <c r="F60" i="37"/>
  <c r="C8" i="37"/>
  <c r="I9" i="35"/>
  <c r="F60" i="34"/>
  <c r="C8" i="34"/>
  <c r="I9" i="33"/>
  <c r="F60" i="24"/>
  <c r="C8" i="24"/>
  <c r="I9" i="22"/>
  <c r="F60" i="20"/>
  <c r="C8" i="20"/>
  <c r="I9" i="19"/>
  <c r="F60" i="17"/>
  <c r="C8" i="17"/>
  <c r="I9" i="16"/>
  <c r="F60" i="15"/>
  <c r="C8" i="15"/>
  <c r="I9" i="14"/>
  <c r="F60" i="11"/>
  <c r="C8" i="11"/>
  <c r="I9" i="10"/>
  <c r="F60" i="8"/>
  <c r="C8" i="8"/>
  <c r="I9" i="7"/>
  <c r="F60" i="6"/>
  <c r="C8" i="6"/>
  <c r="I9" i="5"/>
  <c r="F60" i="4"/>
  <c r="C8" i="4"/>
  <c r="I11" i="22"/>
  <c r="F61" i="20"/>
  <c r="C9" i="11"/>
  <c r="F20" i="57"/>
  <c r="F4" i="57"/>
  <c r="G10" i="57"/>
  <c r="F21" i="57"/>
  <c r="G2" i="57"/>
  <c r="G5" i="57"/>
  <c r="G21" i="57"/>
  <c r="F19" i="57"/>
  <c r="G7" i="57"/>
  <c r="F7" i="57"/>
  <c r="F5" i="57"/>
  <c r="F2" i="57"/>
  <c r="G20" i="57"/>
  <c r="T24" i="57"/>
  <c r="W24" i="57"/>
  <c r="G4" i="57"/>
  <c r="F10" i="57"/>
  <c r="G19" i="57"/>
  <c r="O2" i="60" l="1"/>
  <c r="O2" i="10"/>
  <c r="S33" i="10" s="1"/>
  <c r="O2" i="14"/>
  <c r="O2" i="33"/>
  <c r="O2" i="5"/>
  <c r="R25" i="5" s="1"/>
  <c r="O2" i="16"/>
  <c r="O2" i="35"/>
  <c r="S23" i="35" s="1"/>
  <c r="O2" i="22"/>
  <c r="S93" i="22" s="1"/>
  <c r="O2" i="6"/>
  <c r="S63" i="6" s="1"/>
  <c r="T35" i="10"/>
  <c r="T115" i="10"/>
  <c r="T45" i="10"/>
  <c r="T55" i="10"/>
  <c r="T85" i="10"/>
  <c r="T65" i="10"/>
  <c r="T135" i="10"/>
  <c r="T95" i="10"/>
  <c r="T125" i="10"/>
  <c r="T75" i="10"/>
  <c r="T25" i="10"/>
  <c r="T105" i="10"/>
  <c r="T65" i="22"/>
  <c r="T45" i="22"/>
  <c r="T25" i="22"/>
  <c r="T105" i="22"/>
  <c r="T35" i="22"/>
  <c r="T125" i="22"/>
  <c r="T95" i="22"/>
  <c r="T85" i="22"/>
  <c r="T115" i="22"/>
  <c r="T55" i="22"/>
  <c r="T135" i="22"/>
  <c r="T75" i="22"/>
  <c r="O129" i="5"/>
  <c r="O29" i="5"/>
  <c r="O89" i="5"/>
  <c r="O119" i="5"/>
  <c r="O39" i="5"/>
  <c r="O79" i="5"/>
  <c r="O99" i="5"/>
  <c r="O109" i="5"/>
  <c r="O19" i="5"/>
  <c r="O49" i="5"/>
  <c r="O69" i="5"/>
  <c r="O59" i="5"/>
  <c r="O49" i="16"/>
  <c r="O109" i="16"/>
  <c r="O29" i="16"/>
  <c r="O89" i="16"/>
  <c r="O99" i="16"/>
  <c r="O59" i="16"/>
  <c r="O79" i="16"/>
  <c r="O39" i="16"/>
  <c r="O19" i="16"/>
  <c r="O129" i="16"/>
  <c r="O119" i="16"/>
  <c r="O69" i="16"/>
  <c r="O129" i="35"/>
  <c r="O39" i="35"/>
  <c r="O49" i="35"/>
  <c r="O69" i="35"/>
  <c r="O19" i="35"/>
  <c r="O119" i="35"/>
  <c r="O109" i="35"/>
  <c r="O89" i="35"/>
  <c r="O99" i="35"/>
  <c r="O59" i="35"/>
  <c r="O79" i="35"/>
  <c r="O29" i="35"/>
  <c r="P99" i="6"/>
  <c r="P79" i="6"/>
  <c r="P109" i="6"/>
  <c r="P19" i="6"/>
  <c r="P89" i="6"/>
  <c r="P49" i="6"/>
  <c r="P69" i="6"/>
  <c r="P29" i="6"/>
  <c r="P119" i="6"/>
  <c r="P59" i="6"/>
  <c r="P129" i="6"/>
  <c r="P39" i="6"/>
  <c r="P59" i="17"/>
  <c r="P39" i="17"/>
  <c r="P29" i="17"/>
  <c r="P89" i="17"/>
  <c r="P49" i="17"/>
  <c r="P79" i="17"/>
  <c r="P19" i="17"/>
  <c r="P129" i="17"/>
  <c r="P119" i="17"/>
  <c r="P69" i="17"/>
  <c r="P109" i="17"/>
  <c r="P99" i="17"/>
  <c r="P29" i="37"/>
  <c r="P99" i="37"/>
  <c r="P39" i="37"/>
  <c r="P69" i="37"/>
  <c r="P49" i="37"/>
  <c r="P19" i="37"/>
  <c r="P59" i="37"/>
  <c r="P109" i="37"/>
  <c r="P89" i="37"/>
  <c r="P129" i="37"/>
  <c r="P119" i="37"/>
  <c r="P79" i="37"/>
  <c r="H29" i="15"/>
  <c r="H20" i="15"/>
  <c r="O2" i="11"/>
  <c r="O2" i="24"/>
  <c r="Q49" i="8"/>
  <c r="Q19" i="8"/>
  <c r="Q69" i="8"/>
  <c r="Q109" i="8"/>
  <c r="Q89" i="8"/>
  <c r="Q59" i="8"/>
  <c r="Q99" i="8"/>
  <c r="Q29" i="8"/>
  <c r="Q119" i="8"/>
  <c r="Q39" i="8"/>
  <c r="Q129" i="8"/>
  <c r="Q79" i="8"/>
  <c r="Q129" i="20"/>
  <c r="Q29" i="20"/>
  <c r="Q39" i="20"/>
  <c r="Q49" i="20"/>
  <c r="Q99" i="20"/>
  <c r="Q119" i="20"/>
  <c r="Q59" i="20"/>
  <c r="Q19" i="20"/>
  <c r="Q79" i="20"/>
  <c r="Q69" i="20"/>
  <c r="Q89" i="20"/>
  <c r="Q109" i="20"/>
  <c r="H20" i="6"/>
  <c r="H29" i="6"/>
  <c r="O2" i="7"/>
  <c r="O2" i="19"/>
  <c r="O2" i="59"/>
  <c r="Q49" i="10"/>
  <c r="Q19" i="10"/>
  <c r="Q99" i="10"/>
  <c r="Q29" i="10"/>
  <c r="Q119" i="10"/>
  <c r="Q69" i="10"/>
  <c r="Q39" i="10"/>
  <c r="Q79" i="10"/>
  <c r="Q129" i="10"/>
  <c r="Q109" i="10"/>
  <c r="Q59" i="10"/>
  <c r="Q89" i="10"/>
  <c r="Q89" i="22"/>
  <c r="Q19" i="22"/>
  <c r="Q59" i="22"/>
  <c r="Q79" i="22"/>
  <c r="Q39" i="22"/>
  <c r="Q29" i="22"/>
  <c r="Q129" i="22"/>
  <c r="Q119" i="22"/>
  <c r="Q69" i="22"/>
  <c r="Q49" i="22"/>
  <c r="Q109" i="22"/>
  <c r="Q99" i="22"/>
  <c r="H27" i="34"/>
  <c r="H17" i="34"/>
  <c r="H20" i="14"/>
  <c r="H29" i="14"/>
  <c r="H27" i="33"/>
  <c r="H17" i="33"/>
  <c r="E72" i="5"/>
  <c r="T29" i="5"/>
  <c r="T89" i="5"/>
  <c r="T69" i="5"/>
  <c r="T109" i="5"/>
  <c r="E68" i="5"/>
  <c r="T49" i="5"/>
  <c r="T129" i="5"/>
  <c r="T19" i="5"/>
  <c r="T119" i="5"/>
  <c r="T59" i="5"/>
  <c r="E70" i="5"/>
  <c r="T79" i="5"/>
  <c r="T99" i="5"/>
  <c r="E69" i="5"/>
  <c r="T39" i="5"/>
  <c r="E71" i="5"/>
  <c r="E70" i="16"/>
  <c r="T129" i="16"/>
  <c r="T79" i="16"/>
  <c r="T119" i="16"/>
  <c r="T19" i="16"/>
  <c r="T29" i="16"/>
  <c r="T39" i="16"/>
  <c r="E68" i="16"/>
  <c r="T99" i="16"/>
  <c r="T109" i="16"/>
  <c r="T49" i="16"/>
  <c r="T89" i="16"/>
  <c r="T69" i="16"/>
  <c r="E69" i="16"/>
  <c r="E71" i="16"/>
  <c r="T59" i="16"/>
  <c r="E72" i="16"/>
  <c r="T29" i="35"/>
  <c r="T19" i="35"/>
  <c r="T69" i="35"/>
  <c r="T39" i="35"/>
  <c r="T129" i="35"/>
  <c r="T119" i="35"/>
  <c r="T99" i="35"/>
  <c r="T109" i="35"/>
  <c r="T59" i="35"/>
  <c r="E71" i="35"/>
  <c r="E69" i="35"/>
  <c r="T49" i="35"/>
  <c r="T79" i="35"/>
  <c r="E70" i="35"/>
  <c r="E72" i="35"/>
  <c r="T89" i="35"/>
  <c r="E68" i="35"/>
  <c r="I14" i="7"/>
  <c r="I51" i="7" s="1"/>
  <c r="N41" i="7"/>
  <c r="N21" i="7"/>
  <c r="N31" i="7"/>
  <c r="N51" i="7"/>
  <c r="N61" i="7"/>
  <c r="N71" i="7"/>
  <c r="N81" i="7"/>
  <c r="N91" i="7"/>
  <c r="N101" i="7"/>
  <c r="N111" i="7"/>
  <c r="N121" i="7"/>
  <c r="N131" i="7"/>
  <c r="I14" i="19"/>
  <c r="I51" i="19" s="1"/>
  <c r="N31" i="19"/>
  <c r="N41" i="19"/>
  <c r="N21" i="19"/>
  <c r="N51" i="19"/>
  <c r="N61" i="19"/>
  <c r="N71" i="19"/>
  <c r="N81" i="19"/>
  <c r="N91" i="19"/>
  <c r="N101" i="19"/>
  <c r="N111" i="19"/>
  <c r="N121" i="19"/>
  <c r="N131" i="19"/>
  <c r="I14" i="59"/>
  <c r="I51" i="59" s="1"/>
  <c r="N31" i="59"/>
  <c r="N21" i="59"/>
  <c r="N41" i="59"/>
  <c r="N51" i="59"/>
  <c r="N61" i="59"/>
  <c r="N71" i="59"/>
  <c r="N81" i="59"/>
  <c r="N91" i="59"/>
  <c r="N101" i="59"/>
  <c r="N111" i="59"/>
  <c r="N121" i="59"/>
  <c r="N131" i="59"/>
  <c r="H29" i="17"/>
  <c r="H20" i="17"/>
  <c r="F14" i="11"/>
  <c r="N22" i="11"/>
  <c r="N32" i="11"/>
  <c r="AO3" i="11"/>
  <c r="N42" i="11"/>
  <c r="N52" i="11"/>
  <c r="N62" i="11"/>
  <c r="N72" i="11"/>
  <c r="N82" i="11"/>
  <c r="N92" i="11"/>
  <c r="N102" i="11"/>
  <c r="N112" i="11"/>
  <c r="N122" i="11"/>
  <c r="N132" i="11"/>
  <c r="F14" i="24"/>
  <c r="N32" i="24"/>
  <c r="N22" i="24"/>
  <c r="AO3" i="24"/>
  <c r="N42" i="24"/>
  <c r="N52" i="24"/>
  <c r="N62" i="24"/>
  <c r="N72" i="24"/>
  <c r="N82" i="24"/>
  <c r="N92" i="24"/>
  <c r="N102" i="24"/>
  <c r="N112" i="24"/>
  <c r="N122" i="24"/>
  <c r="N132" i="24"/>
  <c r="T79" i="11"/>
  <c r="T29" i="11"/>
  <c r="T109" i="11"/>
  <c r="T69" i="11"/>
  <c r="T19" i="11"/>
  <c r="T119" i="11"/>
  <c r="T129" i="11"/>
  <c r="E69" i="11"/>
  <c r="E71" i="11"/>
  <c r="T99" i="11"/>
  <c r="T39" i="11"/>
  <c r="E70" i="11"/>
  <c r="T59" i="11"/>
  <c r="E68" i="11"/>
  <c r="E72" i="11"/>
  <c r="T89" i="11"/>
  <c r="T49" i="11"/>
  <c r="T99" i="24"/>
  <c r="T119" i="24"/>
  <c r="T59" i="24"/>
  <c r="T89" i="24"/>
  <c r="T19" i="24"/>
  <c r="E68" i="24"/>
  <c r="T129" i="24"/>
  <c r="T69" i="24"/>
  <c r="T109" i="24"/>
  <c r="T49" i="24"/>
  <c r="T29" i="24"/>
  <c r="T39" i="24"/>
  <c r="E72" i="24"/>
  <c r="E70" i="24"/>
  <c r="T79" i="24"/>
  <c r="E69" i="24"/>
  <c r="E71" i="24"/>
  <c r="I14" i="4"/>
  <c r="I51" i="4" s="1"/>
  <c r="N41" i="4"/>
  <c r="N21" i="4"/>
  <c r="N31" i="4"/>
  <c r="N51" i="4"/>
  <c r="N61" i="4"/>
  <c r="N71" i="4"/>
  <c r="N81" i="4"/>
  <c r="N91" i="4"/>
  <c r="N101" i="4"/>
  <c r="N111" i="4"/>
  <c r="N121" i="4"/>
  <c r="N131" i="4"/>
  <c r="I14" i="15"/>
  <c r="I51" i="15" s="1"/>
  <c r="N41" i="15"/>
  <c r="N31" i="15"/>
  <c r="N21" i="15"/>
  <c r="N51" i="15"/>
  <c r="N61" i="15"/>
  <c r="N71" i="15"/>
  <c r="N81" i="15"/>
  <c r="N91" i="15"/>
  <c r="N101" i="15"/>
  <c r="N111" i="15"/>
  <c r="N121" i="15"/>
  <c r="N131" i="15"/>
  <c r="I14" i="34"/>
  <c r="I51" i="34" s="1"/>
  <c r="N41" i="34"/>
  <c r="N31" i="34"/>
  <c r="N21" i="34"/>
  <c r="N51" i="34"/>
  <c r="N61" i="34"/>
  <c r="N71" i="34"/>
  <c r="N81" i="34"/>
  <c r="N91" i="34"/>
  <c r="N101" i="34"/>
  <c r="N111" i="34"/>
  <c r="N121" i="34"/>
  <c r="N131" i="34"/>
  <c r="N32" i="7"/>
  <c r="F14" i="7"/>
  <c r="N22" i="7"/>
  <c r="AO3" i="7"/>
  <c r="N42" i="7"/>
  <c r="N52" i="7"/>
  <c r="N62" i="7"/>
  <c r="N72" i="7"/>
  <c r="N82" i="7"/>
  <c r="N92" i="7"/>
  <c r="N102" i="7"/>
  <c r="N112" i="7"/>
  <c r="N122" i="7"/>
  <c r="N132" i="7"/>
  <c r="F14" i="19"/>
  <c r="N22" i="19"/>
  <c r="N32" i="19"/>
  <c r="AO3" i="19"/>
  <c r="N42" i="19"/>
  <c r="N52" i="19"/>
  <c r="N62" i="19"/>
  <c r="N72" i="19"/>
  <c r="N82" i="19"/>
  <c r="N92" i="19"/>
  <c r="N102" i="19"/>
  <c r="N112" i="19"/>
  <c r="N122" i="19"/>
  <c r="N132" i="19"/>
  <c r="F14" i="59"/>
  <c r="N22" i="59"/>
  <c r="N32" i="59"/>
  <c r="AO3" i="59"/>
  <c r="N42" i="59"/>
  <c r="N52" i="59"/>
  <c r="N62" i="59"/>
  <c r="N72" i="59"/>
  <c r="N82" i="59"/>
  <c r="N92" i="59"/>
  <c r="N102" i="59"/>
  <c r="N112" i="59"/>
  <c r="N122" i="59"/>
  <c r="N132" i="59"/>
  <c r="T45" i="6"/>
  <c r="T35" i="6"/>
  <c r="T105" i="6"/>
  <c r="T115" i="6"/>
  <c r="T55" i="6"/>
  <c r="T25" i="6"/>
  <c r="T85" i="6"/>
  <c r="T65" i="6"/>
  <c r="T95" i="6"/>
  <c r="T75" i="6"/>
  <c r="T125" i="6"/>
  <c r="T135" i="6"/>
  <c r="T45" i="17"/>
  <c r="T35" i="17"/>
  <c r="T85" i="17"/>
  <c r="T105" i="17"/>
  <c r="T55" i="17"/>
  <c r="T25" i="17"/>
  <c r="T65" i="17"/>
  <c r="T135" i="17"/>
  <c r="T125" i="17"/>
  <c r="T75" i="17"/>
  <c r="T95" i="17"/>
  <c r="T115" i="17"/>
  <c r="T105" i="37"/>
  <c r="T45" i="37"/>
  <c r="T95" i="37"/>
  <c r="T25" i="37"/>
  <c r="T35" i="37"/>
  <c r="T85" i="37"/>
  <c r="T65" i="37"/>
  <c r="T135" i="37"/>
  <c r="T75" i="37"/>
  <c r="T115" i="37"/>
  <c r="T125" i="37"/>
  <c r="T55" i="37"/>
  <c r="O79" i="11"/>
  <c r="O109" i="11"/>
  <c r="O129" i="11"/>
  <c r="O59" i="11"/>
  <c r="O49" i="11"/>
  <c r="O89" i="11"/>
  <c r="O69" i="11"/>
  <c r="O19" i="11"/>
  <c r="O29" i="11"/>
  <c r="O39" i="11"/>
  <c r="O99" i="11"/>
  <c r="O119" i="11"/>
  <c r="O39" i="24"/>
  <c r="O129" i="24"/>
  <c r="O29" i="24"/>
  <c r="O49" i="24"/>
  <c r="O19" i="24"/>
  <c r="O79" i="24"/>
  <c r="O89" i="24"/>
  <c r="O119" i="24"/>
  <c r="O69" i="24"/>
  <c r="O109" i="24"/>
  <c r="O99" i="24"/>
  <c r="O59" i="24"/>
  <c r="P129" i="14"/>
  <c r="P19" i="14"/>
  <c r="P79" i="14"/>
  <c r="P119" i="14"/>
  <c r="P69" i="14"/>
  <c r="P49" i="14"/>
  <c r="P109" i="14"/>
  <c r="P39" i="14"/>
  <c r="P99" i="14"/>
  <c r="P89" i="14"/>
  <c r="P29" i="14"/>
  <c r="P59" i="14"/>
  <c r="P59" i="33"/>
  <c r="P79" i="33"/>
  <c r="P129" i="33"/>
  <c r="P119" i="33"/>
  <c r="P69" i="33"/>
  <c r="P49" i="33"/>
  <c r="P99" i="33"/>
  <c r="P39" i="33"/>
  <c r="P19" i="33"/>
  <c r="P89" i="33"/>
  <c r="P109" i="33"/>
  <c r="P29" i="33"/>
  <c r="P19" i="60"/>
  <c r="P129" i="60"/>
  <c r="P39" i="60"/>
  <c r="P119" i="60"/>
  <c r="P69" i="60"/>
  <c r="P49" i="60"/>
  <c r="P99" i="60"/>
  <c r="P109" i="60"/>
  <c r="P29" i="60"/>
  <c r="P59" i="60"/>
  <c r="P79" i="60"/>
  <c r="P89" i="60"/>
  <c r="T25" i="14"/>
  <c r="T45" i="14"/>
  <c r="T75" i="14"/>
  <c r="T135" i="14"/>
  <c r="T55" i="14"/>
  <c r="T125" i="14"/>
  <c r="T65" i="14"/>
  <c r="T115" i="14"/>
  <c r="T105" i="14"/>
  <c r="T95" i="14"/>
  <c r="T85" i="14"/>
  <c r="T35" i="14"/>
  <c r="T75" i="33"/>
  <c r="T95" i="33"/>
  <c r="T45" i="33"/>
  <c r="T25" i="33"/>
  <c r="T105" i="33"/>
  <c r="T85" i="33"/>
  <c r="T35" i="33"/>
  <c r="T135" i="33"/>
  <c r="T65" i="33"/>
  <c r="T125" i="33"/>
  <c r="T115" i="33"/>
  <c r="T55" i="33"/>
  <c r="O19" i="7"/>
  <c r="O89" i="7"/>
  <c r="O129" i="7"/>
  <c r="O39" i="7"/>
  <c r="O119" i="7"/>
  <c r="O69" i="7"/>
  <c r="O49" i="7"/>
  <c r="O109" i="7"/>
  <c r="O29" i="7"/>
  <c r="O99" i="7"/>
  <c r="O59" i="7"/>
  <c r="O79" i="7"/>
  <c r="O59" i="19"/>
  <c r="O89" i="19"/>
  <c r="O109" i="19"/>
  <c r="O49" i="19"/>
  <c r="O69" i="19"/>
  <c r="O19" i="19"/>
  <c r="O129" i="19"/>
  <c r="O39" i="19"/>
  <c r="O29" i="19"/>
  <c r="O79" i="19"/>
  <c r="O119" i="19"/>
  <c r="O99" i="19"/>
  <c r="O99" i="59"/>
  <c r="O59" i="59"/>
  <c r="O19" i="59"/>
  <c r="O29" i="59"/>
  <c r="O39" i="59"/>
  <c r="O119" i="59"/>
  <c r="O49" i="59"/>
  <c r="O89" i="59"/>
  <c r="O69" i="59"/>
  <c r="O79" i="59"/>
  <c r="O129" i="59"/>
  <c r="O109" i="59"/>
  <c r="P59" i="8"/>
  <c r="P129" i="8"/>
  <c r="P99" i="8"/>
  <c r="P29" i="8"/>
  <c r="P89" i="8"/>
  <c r="P49" i="8"/>
  <c r="P39" i="8"/>
  <c r="P109" i="8"/>
  <c r="P69" i="8"/>
  <c r="P79" i="8"/>
  <c r="P119" i="8"/>
  <c r="P19" i="8"/>
  <c r="P19" i="20"/>
  <c r="P129" i="20"/>
  <c r="P39" i="20"/>
  <c r="P79" i="20"/>
  <c r="P89" i="20"/>
  <c r="P59" i="20"/>
  <c r="P109" i="20"/>
  <c r="P49" i="20"/>
  <c r="P69" i="20"/>
  <c r="P119" i="20"/>
  <c r="P99" i="20"/>
  <c r="P29" i="20"/>
  <c r="O2" i="4"/>
  <c r="O2" i="15"/>
  <c r="O2" i="34"/>
  <c r="S93" i="60"/>
  <c r="S123" i="60"/>
  <c r="S33" i="60"/>
  <c r="R25" i="60"/>
  <c r="S23" i="60"/>
  <c r="S63" i="60"/>
  <c r="S113" i="60"/>
  <c r="P25" i="60"/>
  <c r="S83" i="60"/>
  <c r="S53" i="60"/>
  <c r="S22" i="60"/>
  <c r="R22" i="60"/>
  <c r="H29" i="20"/>
  <c r="H20" i="20"/>
  <c r="Q119" i="11"/>
  <c r="Q29" i="11"/>
  <c r="Q99" i="11"/>
  <c r="Q129" i="11"/>
  <c r="Q39" i="11"/>
  <c r="Q79" i="11"/>
  <c r="Q59" i="11"/>
  <c r="Q19" i="11"/>
  <c r="Q109" i="11"/>
  <c r="Q49" i="11"/>
  <c r="Q89" i="11"/>
  <c r="Q69" i="11"/>
  <c r="Q39" i="24"/>
  <c r="Q99" i="24"/>
  <c r="Q79" i="24"/>
  <c r="Q119" i="24"/>
  <c r="Q59" i="24"/>
  <c r="Q19" i="24"/>
  <c r="Q129" i="24"/>
  <c r="Q69" i="24"/>
  <c r="Q29" i="24"/>
  <c r="Q49" i="24"/>
  <c r="Q109" i="24"/>
  <c r="Q89" i="24"/>
  <c r="S93" i="10"/>
  <c r="R22" i="22"/>
  <c r="Q29" i="14"/>
  <c r="Q19" i="14"/>
  <c r="Q109" i="14"/>
  <c r="Q99" i="14"/>
  <c r="Q59" i="14"/>
  <c r="Q49" i="14"/>
  <c r="Q89" i="14"/>
  <c r="Q79" i="14"/>
  <c r="Q39" i="14"/>
  <c r="Q129" i="14"/>
  <c r="Q119" i="14"/>
  <c r="Q69" i="14"/>
  <c r="Q79" i="33"/>
  <c r="Q29" i="33"/>
  <c r="Q49" i="33"/>
  <c r="Q89" i="33"/>
  <c r="Q39" i="33"/>
  <c r="Q119" i="33"/>
  <c r="Q129" i="33"/>
  <c r="Q19" i="33"/>
  <c r="Q59" i="33"/>
  <c r="Q69" i="33"/>
  <c r="Q109" i="33"/>
  <c r="Q99" i="33"/>
  <c r="H20" i="5"/>
  <c r="H29" i="5"/>
  <c r="H29" i="16"/>
  <c r="H20" i="16"/>
  <c r="H27" i="35"/>
  <c r="H17" i="35"/>
  <c r="T69" i="7"/>
  <c r="T39" i="7"/>
  <c r="T49" i="7"/>
  <c r="T99" i="7"/>
  <c r="T19" i="7"/>
  <c r="T129" i="7"/>
  <c r="T59" i="7"/>
  <c r="T29" i="7"/>
  <c r="T119" i="7"/>
  <c r="T89" i="7"/>
  <c r="E70" i="7"/>
  <c r="T79" i="7"/>
  <c r="T109" i="7"/>
  <c r="E69" i="7"/>
  <c r="E71" i="7"/>
  <c r="E72" i="7"/>
  <c r="E68" i="7"/>
  <c r="E69" i="19"/>
  <c r="T129" i="19"/>
  <c r="T19" i="19"/>
  <c r="T59" i="19"/>
  <c r="E71" i="19"/>
  <c r="T29" i="19"/>
  <c r="T119" i="19"/>
  <c r="T99" i="19"/>
  <c r="E72" i="19"/>
  <c r="T39" i="19"/>
  <c r="T49" i="19"/>
  <c r="E70" i="19"/>
  <c r="T69" i="19"/>
  <c r="T79" i="19"/>
  <c r="E68" i="19"/>
  <c r="T89" i="19"/>
  <c r="T109" i="19"/>
  <c r="T39" i="59"/>
  <c r="T109" i="59"/>
  <c r="T19" i="59"/>
  <c r="T89" i="59"/>
  <c r="T119" i="59"/>
  <c r="E71" i="59"/>
  <c r="T99" i="59"/>
  <c r="E68" i="59"/>
  <c r="T69" i="59"/>
  <c r="E69" i="59"/>
  <c r="T29" i="59"/>
  <c r="T49" i="59"/>
  <c r="T129" i="59"/>
  <c r="T59" i="59"/>
  <c r="E72" i="59"/>
  <c r="T79" i="59"/>
  <c r="E70" i="59"/>
  <c r="I14" i="10"/>
  <c r="I51" i="10" s="1"/>
  <c r="N41" i="10"/>
  <c r="N31" i="10"/>
  <c r="N21" i="10"/>
  <c r="N51" i="10"/>
  <c r="N61" i="10"/>
  <c r="N71" i="10"/>
  <c r="N81" i="10"/>
  <c r="N91" i="10"/>
  <c r="N101" i="10"/>
  <c r="N111" i="10"/>
  <c r="N121" i="10"/>
  <c r="N131" i="10"/>
  <c r="I14" i="22"/>
  <c r="I51" i="22" s="1"/>
  <c r="N31" i="22"/>
  <c r="N41" i="22"/>
  <c r="N21" i="22"/>
  <c r="N51" i="22"/>
  <c r="N61" i="22"/>
  <c r="N71" i="22"/>
  <c r="N81" i="22"/>
  <c r="N91" i="22"/>
  <c r="N101" i="22"/>
  <c r="N111" i="22"/>
  <c r="N121" i="22"/>
  <c r="N131" i="22"/>
  <c r="H29" i="24"/>
  <c r="H20" i="24"/>
  <c r="F14" i="4"/>
  <c r="N32" i="4"/>
  <c r="AO3" i="4"/>
  <c r="N22" i="4"/>
  <c r="N42" i="4"/>
  <c r="N52" i="4"/>
  <c r="N62" i="4"/>
  <c r="N72" i="4"/>
  <c r="N82" i="4"/>
  <c r="N92" i="4"/>
  <c r="N102" i="4"/>
  <c r="N112" i="4"/>
  <c r="N122" i="4"/>
  <c r="N132" i="4"/>
  <c r="N22" i="15"/>
  <c r="N32" i="15"/>
  <c r="F14" i="15"/>
  <c r="AO3" i="15"/>
  <c r="N42" i="15"/>
  <c r="N52" i="15"/>
  <c r="N62" i="15"/>
  <c r="N72" i="15"/>
  <c r="N82" i="15"/>
  <c r="N92" i="15"/>
  <c r="N102" i="15"/>
  <c r="N112" i="15"/>
  <c r="N122" i="15"/>
  <c r="N132" i="15"/>
  <c r="F14" i="34"/>
  <c r="N32" i="34"/>
  <c r="AO3" i="34"/>
  <c r="N22" i="34"/>
  <c r="N42" i="34"/>
  <c r="N52" i="34"/>
  <c r="N62" i="34"/>
  <c r="N72" i="34"/>
  <c r="N82" i="34"/>
  <c r="N92" i="34"/>
  <c r="N102" i="34"/>
  <c r="N112" i="34"/>
  <c r="N122" i="34"/>
  <c r="N132" i="34"/>
  <c r="I14" i="60"/>
  <c r="I51" i="60" s="1"/>
  <c r="N111" i="60"/>
  <c r="N121" i="60"/>
  <c r="N81" i="60"/>
  <c r="N131" i="60"/>
  <c r="N91" i="60"/>
  <c r="N21" i="60"/>
  <c r="N51" i="60"/>
  <c r="N101" i="60"/>
  <c r="N61" i="60"/>
  <c r="N41" i="60"/>
  <c r="N71" i="60"/>
  <c r="N31" i="60"/>
  <c r="Q129" i="60"/>
  <c r="Q29" i="60"/>
  <c r="Q109" i="60"/>
  <c r="Q59" i="60"/>
  <c r="Q19" i="60"/>
  <c r="Q99" i="60"/>
  <c r="Q49" i="60"/>
  <c r="Q69" i="60"/>
  <c r="Q89" i="60"/>
  <c r="Q39" i="60"/>
  <c r="Q79" i="60"/>
  <c r="Q119" i="60"/>
  <c r="H29" i="60"/>
  <c r="H20" i="60"/>
  <c r="T79" i="4"/>
  <c r="T99" i="4"/>
  <c r="T59" i="4"/>
  <c r="T29" i="4"/>
  <c r="T49" i="4"/>
  <c r="E71" i="4"/>
  <c r="T19" i="4"/>
  <c r="E70" i="4"/>
  <c r="E69" i="4"/>
  <c r="T39" i="4"/>
  <c r="T109" i="4"/>
  <c r="T119" i="4"/>
  <c r="E68" i="4"/>
  <c r="T129" i="4"/>
  <c r="T89" i="4"/>
  <c r="E72" i="4"/>
  <c r="T69" i="4"/>
  <c r="T59" i="15"/>
  <c r="E72" i="15"/>
  <c r="T29" i="15"/>
  <c r="T89" i="15"/>
  <c r="T69" i="15"/>
  <c r="T19" i="15"/>
  <c r="E68" i="15"/>
  <c r="T49" i="15"/>
  <c r="T79" i="15"/>
  <c r="E69" i="15"/>
  <c r="E71" i="15"/>
  <c r="T99" i="15"/>
  <c r="T119" i="15"/>
  <c r="T39" i="15"/>
  <c r="T129" i="15"/>
  <c r="E70" i="15"/>
  <c r="T109" i="15"/>
  <c r="T119" i="34"/>
  <c r="T19" i="34"/>
  <c r="T129" i="34"/>
  <c r="T29" i="34"/>
  <c r="T69" i="34"/>
  <c r="T49" i="34"/>
  <c r="E69" i="34"/>
  <c r="E71" i="34"/>
  <c r="E68" i="34"/>
  <c r="T89" i="34"/>
  <c r="T109" i="34"/>
  <c r="T39" i="34"/>
  <c r="E70" i="34"/>
  <c r="T59" i="34"/>
  <c r="T79" i="34"/>
  <c r="E72" i="34"/>
  <c r="T99" i="34"/>
  <c r="I14" i="6"/>
  <c r="I51" i="6" s="1"/>
  <c r="N31" i="6"/>
  <c r="N41" i="6"/>
  <c r="N21" i="6"/>
  <c r="N51" i="6"/>
  <c r="N61" i="6"/>
  <c r="N71" i="6"/>
  <c r="N81" i="6"/>
  <c r="N91" i="6"/>
  <c r="N101" i="6"/>
  <c r="N111" i="6"/>
  <c r="N121" i="6"/>
  <c r="N131" i="6"/>
  <c r="I14" i="17"/>
  <c r="I51" i="17" s="1"/>
  <c r="N41" i="17"/>
  <c r="N31" i="17"/>
  <c r="N21" i="17"/>
  <c r="N51" i="17"/>
  <c r="N61" i="17"/>
  <c r="N71" i="17"/>
  <c r="N81" i="17"/>
  <c r="N91" i="17"/>
  <c r="N101" i="17"/>
  <c r="N111" i="17"/>
  <c r="N121" i="17"/>
  <c r="N131" i="17"/>
  <c r="I14" i="37"/>
  <c r="I51" i="37" s="1"/>
  <c r="N31" i="37"/>
  <c r="N41" i="37"/>
  <c r="N21" i="37"/>
  <c r="N51" i="37"/>
  <c r="N61" i="37"/>
  <c r="N71" i="37"/>
  <c r="N81" i="37"/>
  <c r="N91" i="37"/>
  <c r="N101" i="37"/>
  <c r="N111" i="37"/>
  <c r="N121" i="37"/>
  <c r="N131" i="37"/>
  <c r="F14" i="10"/>
  <c r="N32" i="10"/>
  <c r="N22" i="10"/>
  <c r="AO3" i="10"/>
  <c r="N42" i="10"/>
  <c r="N52" i="10"/>
  <c r="N62" i="10"/>
  <c r="N72" i="10"/>
  <c r="N82" i="10"/>
  <c r="N92" i="10"/>
  <c r="N102" i="10"/>
  <c r="N112" i="10"/>
  <c r="N122" i="10"/>
  <c r="N132" i="10"/>
  <c r="F14" i="22"/>
  <c r="N22" i="22"/>
  <c r="N32" i="22"/>
  <c r="AO3" i="22"/>
  <c r="N42" i="22"/>
  <c r="N52" i="22"/>
  <c r="N62" i="22"/>
  <c r="N72" i="22"/>
  <c r="N82" i="22"/>
  <c r="N92" i="22"/>
  <c r="N102" i="22"/>
  <c r="N112" i="22"/>
  <c r="N122" i="22"/>
  <c r="N132" i="22"/>
  <c r="T105" i="8"/>
  <c r="T85" i="8"/>
  <c r="T115" i="8"/>
  <c r="T125" i="8"/>
  <c r="T35" i="8"/>
  <c r="T75" i="8"/>
  <c r="T25" i="8"/>
  <c r="T55" i="8"/>
  <c r="T95" i="8"/>
  <c r="T135" i="8"/>
  <c r="T45" i="8"/>
  <c r="T65" i="8"/>
  <c r="T85" i="20"/>
  <c r="T45" i="20"/>
  <c r="T25" i="20"/>
  <c r="T115" i="20"/>
  <c r="T35" i="20"/>
  <c r="T75" i="20"/>
  <c r="T125" i="20"/>
  <c r="T95" i="20"/>
  <c r="T65" i="20"/>
  <c r="T55" i="20"/>
  <c r="T105" i="20"/>
  <c r="T135" i="20"/>
  <c r="O129" i="4"/>
  <c r="O19" i="4"/>
  <c r="O59" i="4"/>
  <c r="O29" i="4"/>
  <c r="O49" i="4"/>
  <c r="O89" i="4"/>
  <c r="O69" i="4"/>
  <c r="O119" i="4"/>
  <c r="O109" i="4"/>
  <c r="O39" i="4"/>
  <c r="O99" i="4"/>
  <c r="O79" i="4"/>
  <c r="O99" i="15"/>
  <c r="O49" i="15"/>
  <c r="O29" i="15"/>
  <c r="O39" i="15"/>
  <c r="O79" i="15"/>
  <c r="O109" i="15"/>
  <c r="O69" i="15"/>
  <c r="O89" i="15"/>
  <c r="O119" i="15"/>
  <c r="O19" i="15"/>
  <c r="O129" i="15"/>
  <c r="O59" i="15"/>
  <c r="O79" i="34"/>
  <c r="O19" i="34"/>
  <c r="O29" i="34"/>
  <c r="O39" i="34"/>
  <c r="O69" i="34"/>
  <c r="O49" i="34"/>
  <c r="O59" i="34"/>
  <c r="O129" i="34"/>
  <c r="O99" i="34"/>
  <c r="O119" i="34"/>
  <c r="O89" i="34"/>
  <c r="O109" i="34"/>
  <c r="P119" i="5"/>
  <c r="P29" i="5"/>
  <c r="P109" i="5"/>
  <c r="P129" i="5"/>
  <c r="P19" i="5"/>
  <c r="P39" i="5"/>
  <c r="P89" i="5"/>
  <c r="P79" i="5"/>
  <c r="P49" i="5"/>
  <c r="P69" i="5"/>
  <c r="P99" i="5"/>
  <c r="P59" i="5"/>
  <c r="P39" i="16"/>
  <c r="P79" i="16"/>
  <c r="P19" i="16"/>
  <c r="P59" i="16"/>
  <c r="P89" i="16"/>
  <c r="P49" i="16"/>
  <c r="P29" i="16"/>
  <c r="P69" i="16"/>
  <c r="P99" i="16"/>
  <c r="P119" i="16"/>
  <c r="P129" i="16"/>
  <c r="P109" i="16"/>
  <c r="P129" i="35"/>
  <c r="P19" i="35"/>
  <c r="P89" i="35"/>
  <c r="P29" i="35"/>
  <c r="P69" i="35"/>
  <c r="P49" i="35"/>
  <c r="P59" i="35"/>
  <c r="P109" i="35"/>
  <c r="P99" i="35"/>
  <c r="P39" i="35"/>
  <c r="P119" i="35"/>
  <c r="P79" i="35"/>
  <c r="T55" i="5"/>
  <c r="T45" i="5"/>
  <c r="T35" i="5"/>
  <c r="T75" i="5"/>
  <c r="T95" i="5"/>
  <c r="T85" i="5"/>
  <c r="T105" i="5"/>
  <c r="T65" i="5"/>
  <c r="T135" i="5"/>
  <c r="T125" i="5"/>
  <c r="T25" i="5"/>
  <c r="T115" i="5"/>
  <c r="T45" i="16"/>
  <c r="T25" i="16"/>
  <c r="T95" i="16"/>
  <c r="T35" i="16"/>
  <c r="T85" i="16"/>
  <c r="T65" i="16"/>
  <c r="T105" i="16"/>
  <c r="T75" i="16"/>
  <c r="T125" i="16"/>
  <c r="T115" i="16"/>
  <c r="T55" i="16"/>
  <c r="T135" i="16"/>
  <c r="T25" i="35"/>
  <c r="T95" i="35"/>
  <c r="T45" i="35"/>
  <c r="T35" i="35"/>
  <c r="T65" i="35"/>
  <c r="T105" i="35"/>
  <c r="T55" i="35"/>
  <c r="T135" i="35"/>
  <c r="T75" i="35"/>
  <c r="T115" i="35"/>
  <c r="T125" i="35"/>
  <c r="T85" i="35"/>
  <c r="O89" i="10"/>
  <c r="O79" i="10"/>
  <c r="O39" i="10"/>
  <c r="O19" i="10"/>
  <c r="O129" i="10"/>
  <c r="O119" i="10"/>
  <c r="O69" i="10"/>
  <c r="O49" i="10"/>
  <c r="O109" i="10"/>
  <c r="O29" i="10"/>
  <c r="O99" i="10"/>
  <c r="O59" i="10"/>
  <c r="O109" i="22"/>
  <c r="O29" i="22"/>
  <c r="O99" i="22"/>
  <c r="O19" i="22"/>
  <c r="O59" i="22"/>
  <c r="O89" i="22"/>
  <c r="O79" i="22"/>
  <c r="O39" i="22"/>
  <c r="O129" i="22"/>
  <c r="O119" i="22"/>
  <c r="O69" i="22"/>
  <c r="O49" i="22"/>
  <c r="P109" i="11"/>
  <c r="P69" i="11"/>
  <c r="P89" i="11"/>
  <c r="P99" i="11"/>
  <c r="P29" i="11"/>
  <c r="P39" i="11"/>
  <c r="P59" i="11"/>
  <c r="P79" i="11"/>
  <c r="P129" i="11"/>
  <c r="P19" i="11"/>
  <c r="P119" i="11"/>
  <c r="P49" i="11"/>
  <c r="P49" i="24"/>
  <c r="P39" i="24"/>
  <c r="P129" i="24"/>
  <c r="P79" i="24"/>
  <c r="P29" i="24"/>
  <c r="P19" i="24"/>
  <c r="P109" i="24"/>
  <c r="P99" i="24"/>
  <c r="P59" i="24"/>
  <c r="P89" i="24"/>
  <c r="P119" i="24"/>
  <c r="P69" i="24"/>
  <c r="P25" i="6"/>
  <c r="R25" i="6"/>
  <c r="R22" i="6"/>
  <c r="O2" i="17"/>
  <c r="O2" i="37"/>
  <c r="Q119" i="4"/>
  <c r="Q49" i="4"/>
  <c r="Q129" i="4"/>
  <c r="Q19" i="4"/>
  <c r="Q39" i="4"/>
  <c r="Q29" i="4"/>
  <c r="Q69" i="4"/>
  <c r="Q79" i="4"/>
  <c r="Q59" i="4"/>
  <c r="Q109" i="4"/>
  <c r="Q99" i="4"/>
  <c r="Q89" i="4"/>
  <c r="Q59" i="15"/>
  <c r="Q99" i="15"/>
  <c r="Q39" i="15"/>
  <c r="Q79" i="15"/>
  <c r="Q109" i="15"/>
  <c r="Q49" i="15"/>
  <c r="Q129" i="15"/>
  <c r="Q69" i="15"/>
  <c r="Q19" i="15"/>
  <c r="Q89" i="15"/>
  <c r="Q119" i="15"/>
  <c r="Q29" i="15"/>
  <c r="Q69" i="34"/>
  <c r="Q49" i="34"/>
  <c r="Q129" i="34"/>
  <c r="Q119" i="34"/>
  <c r="Q29" i="34"/>
  <c r="Q99" i="34"/>
  <c r="Q109" i="34"/>
  <c r="Q59" i="34"/>
  <c r="Q89" i="34"/>
  <c r="Q79" i="34"/>
  <c r="Q19" i="34"/>
  <c r="Q39" i="34"/>
  <c r="S33" i="14"/>
  <c r="R25" i="14"/>
  <c r="P25" i="14"/>
  <c r="S23" i="14"/>
  <c r="S53" i="14"/>
  <c r="R22" i="14"/>
  <c r="S22" i="14"/>
  <c r="S63" i="14"/>
  <c r="S83" i="14"/>
  <c r="S93" i="14"/>
  <c r="S113" i="14"/>
  <c r="S123" i="14"/>
  <c r="S33" i="33"/>
  <c r="S23" i="33"/>
  <c r="R25" i="33"/>
  <c r="P25" i="33"/>
  <c r="S53" i="33"/>
  <c r="R22" i="33"/>
  <c r="S22" i="33"/>
  <c r="S63" i="33"/>
  <c r="S83" i="33"/>
  <c r="S93" i="33"/>
  <c r="S113" i="33"/>
  <c r="S123" i="33"/>
  <c r="Q99" i="5"/>
  <c r="Q59" i="5"/>
  <c r="Q129" i="5"/>
  <c r="Q89" i="5"/>
  <c r="Q29" i="5"/>
  <c r="Q119" i="5"/>
  <c r="Q49" i="5"/>
  <c r="Q19" i="5"/>
  <c r="Q39" i="5"/>
  <c r="Q109" i="5"/>
  <c r="Q69" i="5"/>
  <c r="Q79" i="5"/>
  <c r="Q49" i="16"/>
  <c r="Q39" i="16"/>
  <c r="Q89" i="16"/>
  <c r="Q79" i="16"/>
  <c r="Q129" i="16"/>
  <c r="Q19" i="16"/>
  <c r="Q29" i="16"/>
  <c r="Q69" i="16"/>
  <c r="Q109" i="16"/>
  <c r="Q119" i="16"/>
  <c r="Q99" i="16"/>
  <c r="Q59" i="16"/>
  <c r="Q129" i="35"/>
  <c r="Q19" i="35"/>
  <c r="Q69" i="35"/>
  <c r="Q49" i="35"/>
  <c r="Q89" i="35"/>
  <c r="Q79" i="35"/>
  <c r="Q29" i="35"/>
  <c r="Q59" i="35"/>
  <c r="Q99" i="35"/>
  <c r="Q109" i="35"/>
  <c r="Q119" i="35"/>
  <c r="Q39" i="35"/>
  <c r="H20" i="7"/>
  <c r="H29" i="7"/>
  <c r="H20" i="19"/>
  <c r="H29" i="19"/>
  <c r="H29" i="59"/>
  <c r="H27" i="59"/>
  <c r="L31" i="59" s="1"/>
  <c r="H20" i="59"/>
  <c r="H17" i="59"/>
  <c r="H23" i="59" s="1"/>
  <c r="T49" i="10"/>
  <c r="T19" i="10"/>
  <c r="T109" i="10"/>
  <c r="T89" i="10"/>
  <c r="T59" i="10"/>
  <c r="T29" i="10"/>
  <c r="E72" i="10"/>
  <c r="T69" i="10"/>
  <c r="E71" i="10"/>
  <c r="E68" i="10"/>
  <c r="T119" i="10"/>
  <c r="T99" i="10"/>
  <c r="T129" i="10"/>
  <c r="T39" i="10"/>
  <c r="E70" i="10"/>
  <c r="T79" i="10"/>
  <c r="E69" i="10"/>
  <c r="T79" i="22"/>
  <c r="E71" i="22"/>
  <c r="T59" i="22"/>
  <c r="E72" i="22"/>
  <c r="E70" i="22"/>
  <c r="T39" i="22"/>
  <c r="T49" i="22"/>
  <c r="T69" i="22"/>
  <c r="T99" i="22"/>
  <c r="E68" i="22"/>
  <c r="T119" i="22"/>
  <c r="T89" i="22"/>
  <c r="T129" i="22"/>
  <c r="T19" i="22"/>
  <c r="E69" i="22"/>
  <c r="T29" i="22"/>
  <c r="T109" i="22"/>
  <c r="I14" i="14"/>
  <c r="I51" i="14" s="1"/>
  <c r="N41" i="14"/>
  <c r="N31" i="14"/>
  <c r="N21" i="14"/>
  <c r="N51" i="14"/>
  <c r="N61" i="14"/>
  <c r="N71" i="14"/>
  <c r="N81" i="14"/>
  <c r="N91" i="14"/>
  <c r="N101" i="14"/>
  <c r="N111" i="14"/>
  <c r="N121" i="14"/>
  <c r="N131" i="14"/>
  <c r="I14" i="33"/>
  <c r="I51" i="33" s="1"/>
  <c r="N41" i="33"/>
  <c r="N31" i="33"/>
  <c r="N21" i="33"/>
  <c r="N51" i="33"/>
  <c r="N61" i="33"/>
  <c r="N71" i="33"/>
  <c r="N81" i="33"/>
  <c r="N91" i="33"/>
  <c r="N101" i="33"/>
  <c r="N111" i="33"/>
  <c r="N121" i="33"/>
  <c r="N131" i="33"/>
  <c r="N22" i="6"/>
  <c r="F14" i="6"/>
  <c r="N32" i="6"/>
  <c r="AO3" i="6"/>
  <c r="N42" i="6"/>
  <c r="N52" i="6"/>
  <c r="N62" i="6"/>
  <c r="N72" i="6"/>
  <c r="N82" i="6"/>
  <c r="N92" i="6"/>
  <c r="N102" i="6"/>
  <c r="N112" i="6"/>
  <c r="N122" i="6"/>
  <c r="N132" i="6"/>
  <c r="N32" i="17"/>
  <c r="F14" i="17"/>
  <c r="N22" i="17"/>
  <c r="AO3" i="17"/>
  <c r="N42" i="17"/>
  <c r="N52" i="17"/>
  <c r="N62" i="17"/>
  <c r="N72" i="17"/>
  <c r="N82" i="17"/>
  <c r="N92" i="17"/>
  <c r="N102" i="17"/>
  <c r="N112" i="17"/>
  <c r="N122" i="17"/>
  <c r="N132" i="17"/>
  <c r="N22" i="37"/>
  <c r="F14" i="37"/>
  <c r="N32" i="37"/>
  <c r="AO3" i="37"/>
  <c r="N42" i="37"/>
  <c r="N52" i="37"/>
  <c r="N62" i="37"/>
  <c r="N72" i="37"/>
  <c r="N82" i="37"/>
  <c r="N92" i="37"/>
  <c r="N102" i="37"/>
  <c r="N112" i="37"/>
  <c r="N122" i="37"/>
  <c r="N132" i="37"/>
  <c r="T85" i="60"/>
  <c r="T55" i="60"/>
  <c r="T35" i="60"/>
  <c r="T135" i="60"/>
  <c r="T25" i="60"/>
  <c r="T125" i="60"/>
  <c r="T115" i="60"/>
  <c r="T95" i="60"/>
  <c r="T75" i="60"/>
  <c r="T105" i="60"/>
  <c r="T45" i="60"/>
  <c r="T65" i="60"/>
  <c r="T89" i="6"/>
  <c r="T69" i="6"/>
  <c r="E68" i="6"/>
  <c r="T49" i="6"/>
  <c r="T79" i="6"/>
  <c r="T59" i="6"/>
  <c r="T29" i="6"/>
  <c r="T129" i="6"/>
  <c r="E72" i="6"/>
  <c r="T99" i="6"/>
  <c r="T19" i="6"/>
  <c r="T109" i="6"/>
  <c r="E69" i="6"/>
  <c r="E71" i="6"/>
  <c r="T119" i="6"/>
  <c r="T39" i="6"/>
  <c r="E70" i="6"/>
  <c r="T79" i="17"/>
  <c r="T19" i="17"/>
  <c r="T59" i="17"/>
  <c r="T29" i="17"/>
  <c r="E72" i="17"/>
  <c r="T69" i="17"/>
  <c r="T39" i="17"/>
  <c r="E68" i="17"/>
  <c r="T49" i="17"/>
  <c r="E71" i="17"/>
  <c r="T99" i="17"/>
  <c r="E70" i="17"/>
  <c r="T109" i="17"/>
  <c r="T129" i="17"/>
  <c r="T89" i="17"/>
  <c r="T119" i="17"/>
  <c r="E69" i="17"/>
  <c r="T39" i="37"/>
  <c r="T129" i="37"/>
  <c r="E68" i="37"/>
  <c r="E70" i="37"/>
  <c r="T79" i="37"/>
  <c r="T119" i="37"/>
  <c r="T19" i="37"/>
  <c r="E71" i="37"/>
  <c r="E69" i="37"/>
  <c r="T29" i="37"/>
  <c r="T69" i="37"/>
  <c r="T99" i="37"/>
  <c r="T49" i="37"/>
  <c r="T89" i="37"/>
  <c r="T59" i="37"/>
  <c r="E72" i="37"/>
  <c r="T109" i="37"/>
  <c r="N41" i="8"/>
  <c r="I14" i="8"/>
  <c r="I51" i="8" s="1"/>
  <c r="N31" i="8"/>
  <c r="N21" i="8"/>
  <c r="N51" i="8"/>
  <c r="N61" i="8"/>
  <c r="N71" i="8"/>
  <c r="N81" i="8"/>
  <c r="N91" i="8"/>
  <c r="N101" i="8"/>
  <c r="N111" i="8"/>
  <c r="N121" i="8"/>
  <c r="N131" i="8"/>
  <c r="I14" i="20"/>
  <c r="I51" i="20" s="1"/>
  <c r="N31" i="20"/>
  <c r="N21" i="20"/>
  <c r="N41" i="20"/>
  <c r="N51" i="20"/>
  <c r="N61" i="20"/>
  <c r="N71" i="20"/>
  <c r="N81" i="20"/>
  <c r="N91" i="20"/>
  <c r="N101" i="20"/>
  <c r="N111" i="20"/>
  <c r="N121" i="20"/>
  <c r="N131" i="20"/>
  <c r="H29" i="4"/>
  <c r="H20" i="4"/>
  <c r="F14" i="14"/>
  <c r="N32" i="14"/>
  <c r="N22" i="14"/>
  <c r="AO3" i="14"/>
  <c r="N42" i="14"/>
  <c r="N52" i="14"/>
  <c r="N62" i="14"/>
  <c r="N72" i="14"/>
  <c r="N82" i="14"/>
  <c r="N92" i="14"/>
  <c r="N102" i="14"/>
  <c r="N112" i="14"/>
  <c r="N122" i="14"/>
  <c r="N132" i="14"/>
  <c r="F14" i="33"/>
  <c r="N22" i="33"/>
  <c r="N32" i="33"/>
  <c r="AO3" i="33"/>
  <c r="N42" i="33"/>
  <c r="N52" i="33"/>
  <c r="N62" i="33"/>
  <c r="N72" i="33"/>
  <c r="N82" i="33"/>
  <c r="N92" i="33"/>
  <c r="N102" i="33"/>
  <c r="N112" i="33"/>
  <c r="N122" i="33"/>
  <c r="N132" i="33"/>
  <c r="H29" i="8"/>
  <c r="H20" i="8"/>
  <c r="T65" i="11"/>
  <c r="T45" i="11"/>
  <c r="T35" i="11"/>
  <c r="T115" i="11"/>
  <c r="T55" i="11"/>
  <c r="T85" i="11"/>
  <c r="T95" i="11"/>
  <c r="T25" i="11"/>
  <c r="T135" i="11"/>
  <c r="T125" i="11"/>
  <c r="T75" i="11"/>
  <c r="T105" i="11"/>
  <c r="T45" i="24"/>
  <c r="T25" i="24"/>
  <c r="T85" i="24"/>
  <c r="T95" i="24"/>
  <c r="T35" i="24"/>
  <c r="T75" i="24"/>
  <c r="T55" i="24"/>
  <c r="T125" i="24"/>
  <c r="T65" i="24"/>
  <c r="T115" i="24"/>
  <c r="T105" i="24"/>
  <c r="T135" i="24"/>
  <c r="O109" i="6"/>
  <c r="O69" i="6"/>
  <c r="O99" i="6"/>
  <c r="O29" i="6"/>
  <c r="O119" i="6"/>
  <c r="O59" i="6"/>
  <c r="O129" i="6"/>
  <c r="O39" i="6"/>
  <c r="O79" i="6"/>
  <c r="O19" i="6"/>
  <c r="O49" i="6"/>
  <c r="O89" i="6"/>
  <c r="O79" i="17"/>
  <c r="O109" i="17"/>
  <c r="O39" i="17"/>
  <c r="O29" i="17"/>
  <c r="O99" i="17"/>
  <c r="O49" i="17"/>
  <c r="O59" i="17"/>
  <c r="O19" i="17"/>
  <c r="O89" i="17"/>
  <c r="O129" i="17"/>
  <c r="O119" i="17"/>
  <c r="O69" i="17"/>
  <c r="O89" i="37"/>
  <c r="O79" i="37"/>
  <c r="O39" i="37"/>
  <c r="O69" i="37"/>
  <c r="O19" i="37"/>
  <c r="O29" i="37"/>
  <c r="O99" i="37"/>
  <c r="O109" i="37"/>
  <c r="O59" i="37"/>
  <c r="O119" i="37"/>
  <c r="O129" i="37"/>
  <c r="O49" i="37"/>
  <c r="P49" i="7"/>
  <c r="P109" i="7"/>
  <c r="P19" i="7"/>
  <c r="P29" i="7"/>
  <c r="P99" i="7"/>
  <c r="P59" i="7"/>
  <c r="P89" i="7"/>
  <c r="P39" i="7"/>
  <c r="P79" i="7"/>
  <c r="P69" i="7"/>
  <c r="P129" i="7"/>
  <c r="P119" i="7"/>
  <c r="P89" i="19"/>
  <c r="P29" i="19"/>
  <c r="P109" i="19"/>
  <c r="P79" i="19"/>
  <c r="P99" i="19"/>
  <c r="P19" i="19"/>
  <c r="P59" i="19"/>
  <c r="P129" i="19"/>
  <c r="P119" i="19"/>
  <c r="P49" i="19"/>
  <c r="P69" i="19"/>
  <c r="P39" i="19"/>
  <c r="P109" i="59"/>
  <c r="P39" i="59"/>
  <c r="P99" i="59"/>
  <c r="P89" i="59"/>
  <c r="P29" i="59"/>
  <c r="P19" i="59"/>
  <c r="P129" i="59"/>
  <c r="P59" i="59"/>
  <c r="P79" i="59"/>
  <c r="P119" i="59"/>
  <c r="P69" i="59"/>
  <c r="P49" i="59"/>
  <c r="O89" i="60"/>
  <c r="O39" i="60"/>
  <c r="O129" i="60"/>
  <c r="O119" i="60"/>
  <c r="O69" i="60"/>
  <c r="O99" i="60"/>
  <c r="O79" i="60"/>
  <c r="O19" i="60"/>
  <c r="O49" i="60"/>
  <c r="O29" i="60"/>
  <c r="O109" i="60"/>
  <c r="O59" i="60"/>
  <c r="F14" i="60"/>
  <c r="N92" i="60"/>
  <c r="N122" i="60"/>
  <c r="N112" i="60"/>
  <c r="N42" i="60"/>
  <c r="N72" i="60"/>
  <c r="N82" i="60"/>
  <c r="N52" i="60"/>
  <c r="N102" i="60"/>
  <c r="N62" i="60"/>
  <c r="N22" i="60"/>
  <c r="N32" i="60"/>
  <c r="AO3" i="60"/>
  <c r="N132" i="60"/>
  <c r="T25" i="7"/>
  <c r="T95" i="7"/>
  <c r="T125" i="7"/>
  <c r="T55" i="7"/>
  <c r="T135" i="7"/>
  <c r="T115" i="7"/>
  <c r="T75" i="7"/>
  <c r="T65" i="7"/>
  <c r="T105" i="7"/>
  <c r="T85" i="7"/>
  <c r="T35" i="7"/>
  <c r="T45" i="7"/>
  <c r="T55" i="19"/>
  <c r="T65" i="19"/>
  <c r="T25" i="19"/>
  <c r="T45" i="19"/>
  <c r="T35" i="19"/>
  <c r="T105" i="19"/>
  <c r="T95" i="19"/>
  <c r="T115" i="19"/>
  <c r="T135" i="19"/>
  <c r="T125" i="19"/>
  <c r="T75" i="19"/>
  <c r="T85" i="19"/>
  <c r="T85" i="59"/>
  <c r="T35" i="59"/>
  <c r="T25" i="59"/>
  <c r="T65" i="59"/>
  <c r="T95" i="59"/>
  <c r="T45" i="59"/>
  <c r="T105" i="59"/>
  <c r="T115" i="59"/>
  <c r="T75" i="59"/>
  <c r="T125" i="59"/>
  <c r="T135" i="59"/>
  <c r="T55" i="59"/>
  <c r="O89" i="14"/>
  <c r="O79" i="14"/>
  <c r="O129" i="14"/>
  <c r="O29" i="14"/>
  <c r="O49" i="14"/>
  <c r="O59" i="14"/>
  <c r="O39" i="14"/>
  <c r="O19" i="14"/>
  <c r="O119" i="14"/>
  <c r="O69" i="14"/>
  <c r="O109" i="14"/>
  <c r="O99" i="14"/>
  <c r="O79" i="33"/>
  <c r="O99" i="33"/>
  <c r="O59" i="33"/>
  <c r="O89" i="33"/>
  <c r="O39" i="33"/>
  <c r="O29" i="33"/>
  <c r="O129" i="33"/>
  <c r="O119" i="33"/>
  <c r="O69" i="33"/>
  <c r="O19" i="33"/>
  <c r="O109" i="33"/>
  <c r="O49" i="33"/>
  <c r="P129" i="4"/>
  <c r="P119" i="4"/>
  <c r="P89" i="4"/>
  <c r="P29" i="4"/>
  <c r="P39" i="4"/>
  <c r="P79" i="4"/>
  <c r="P49" i="4"/>
  <c r="P109" i="4"/>
  <c r="P19" i="4"/>
  <c r="P59" i="4"/>
  <c r="P69" i="4"/>
  <c r="P99" i="4"/>
  <c r="P99" i="15"/>
  <c r="P29" i="15"/>
  <c r="P109" i="15"/>
  <c r="P49" i="15"/>
  <c r="P129" i="15"/>
  <c r="P69" i="15"/>
  <c r="P19" i="15"/>
  <c r="P119" i="15"/>
  <c r="P89" i="15"/>
  <c r="P59" i="15"/>
  <c r="P39" i="15"/>
  <c r="P79" i="15"/>
  <c r="P19" i="34"/>
  <c r="P49" i="34"/>
  <c r="P29" i="34"/>
  <c r="P99" i="34"/>
  <c r="P59" i="34"/>
  <c r="P89" i="34"/>
  <c r="P79" i="34"/>
  <c r="P39" i="34"/>
  <c r="P69" i="34"/>
  <c r="P129" i="34"/>
  <c r="P109" i="34"/>
  <c r="P119" i="34"/>
  <c r="O2" i="8"/>
  <c r="O2" i="20"/>
  <c r="Q99" i="6"/>
  <c r="Q59" i="6"/>
  <c r="Q129" i="6"/>
  <c r="Q29" i="6"/>
  <c r="Q39" i="6"/>
  <c r="Q49" i="6"/>
  <c r="Q19" i="6"/>
  <c r="Q89" i="6"/>
  <c r="Q109" i="6"/>
  <c r="Q69" i="6"/>
  <c r="Q119" i="6"/>
  <c r="Q79" i="6"/>
  <c r="Q109" i="17"/>
  <c r="Q99" i="17"/>
  <c r="Q39" i="17"/>
  <c r="Q29" i="17"/>
  <c r="Q49" i="17"/>
  <c r="Q59" i="17"/>
  <c r="Q89" i="17"/>
  <c r="Q79" i="17"/>
  <c r="Q129" i="17"/>
  <c r="Q119" i="17"/>
  <c r="Q69" i="17"/>
  <c r="Q19" i="17"/>
  <c r="Q29" i="37"/>
  <c r="Q49" i="37"/>
  <c r="Q39" i="37"/>
  <c r="Q79" i="37"/>
  <c r="Q129" i="37"/>
  <c r="Q59" i="37"/>
  <c r="Q89" i="37"/>
  <c r="Q19" i="37"/>
  <c r="Q109" i="37"/>
  <c r="Q99" i="37"/>
  <c r="Q69" i="37"/>
  <c r="Q119" i="37"/>
  <c r="H27" i="37"/>
  <c r="H17" i="37"/>
  <c r="S22" i="5"/>
  <c r="S93" i="5"/>
  <c r="S113" i="5"/>
  <c r="S33" i="16"/>
  <c r="R25" i="16"/>
  <c r="P25" i="16"/>
  <c r="S23" i="16"/>
  <c r="S53" i="16"/>
  <c r="S22" i="16"/>
  <c r="R22" i="16"/>
  <c r="S63" i="16"/>
  <c r="S83" i="16"/>
  <c r="S93" i="16"/>
  <c r="S113" i="16"/>
  <c r="S123" i="16"/>
  <c r="Q39" i="7"/>
  <c r="Q49" i="7"/>
  <c r="Q19" i="7"/>
  <c r="Q79" i="7"/>
  <c r="Q109" i="7"/>
  <c r="Q99" i="7"/>
  <c r="Q69" i="7"/>
  <c r="Q59" i="7"/>
  <c r="Q29" i="7"/>
  <c r="Q89" i="7"/>
  <c r="Q119" i="7"/>
  <c r="Q129" i="7"/>
  <c r="Q29" i="19"/>
  <c r="Q39" i="19"/>
  <c r="Q49" i="19"/>
  <c r="Q109" i="19"/>
  <c r="Q19" i="19"/>
  <c r="Q59" i="19"/>
  <c r="Q119" i="19"/>
  <c r="Q129" i="19"/>
  <c r="Q69" i="19"/>
  <c r="Q89" i="19"/>
  <c r="Q79" i="19"/>
  <c r="Q99" i="19"/>
  <c r="Q29" i="59"/>
  <c r="Q79" i="59"/>
  <c r="Q19" i="59"/>
  <c r="Q99" i="59"/>
  <c r="Q39" i="59"/>
  <c r="Q129" i="59"/>
  <c r="Q59" i="59"/>
  <c r="Q89" i="59"/>
  <c r="Q69" i="59"/>
  <c r="Q49" i="59"/>
  <c r="Q119" i="59"/>
  <c r="Q109" i="59"/>
  <c r="H20" i="10"/>
  <c r="H29" i="10"/>
  <c r="H29" i="22"/>
  <c r="H20" i="22"/>
  <c r="E70" i="14"/>
  <c r="T49" i="14"/>
  <c r="T39" i="14"/>
  <c r="E69" i="14"/>
  <c r="T109" i="14"/>
  <c r="T19" i="14"/>
  <c r="T79" i="14"/>
  <c r="T99" i="14"/>
  <c r="T59" i="14"/>
  <c r="T29" i="14"/>
  <c r="E71" i="14"/>
  <c r="E68" i="14"/>
  <c r="T89" i="14"/>
  <c r="T129" i="14"/>
  <c r="T69" i="14"/>
  <c r="T119" i="14"/>
  <c r="E72" i="14"/>
  <c r="T79" i="33"/>
  <c r="E69" i="33"/>
  <c r="T119" i="33"/>
  <c r="T29" i="33"/>
  <c r="T49" i="33"/>
  <c r="T109" i="33"/>
  <c r="T39" i="33"/>
  <c r="E72" i="33"/>
  <c r="T59" i="33"/>
  <c r="T129" i="33"/>
  <c r="E70" i="33"/>
  <c r="E71" i="33"/>
  <c r="T19" i="33"/>
  <c r="T69" i="33"/>
  <c r="T99" i="33"/>
  <c r="E68" i="33"/>
  <c r="T89" i="33"/>
  <c r="I14" i="5"/>
  <c r="I51" i="5" s="1"/>
  <c r="N41" i="5"/>
  <c r="N31" i="5"/>
  <c r="N21" i="5"/>
  <c r="N51" i="5"/>
  <c r="N61" i="5"/>
  <c r="N71" i="5"/>
  <c r="N81" i="5"/>
  <c r="N91" i="5"/>
  <c r="N101" i="5"/>
  <c r="N111" i="5"/>
  <c r="N121" i="5"/>
  <c r="N131" i="5"/>
  <c r="I14" i="16"/>
  <c r="I51" i="16" s="1"/>
  <c r="N31" i="16"/>
  <c r="N21" i="16"/>
  <c r="N41" i="16"/>
  <c r="N51" i="16"/>
  <c r="N61" i="16"/>
  <c r="N71" i="16"/>
  <c r="N81" i="16"/>
  <c r="N91" i="16"/>
  <c r="N101" i="16"/>
  <c r="N111" i="16"/>
  <c r="N121" i="16"/>
  <c r="N131" i="16"/>
  <c r="I14" i="35"/>
  <c r="I51" i="35" s="1"/>
  <c r="N31" i="35"/>
  <c r="N41" i="35"/>
  <c r="N21" i="35"/>
  <c r="N51" i="35"/>
  <c r="N61" i="35"/>
  <c r="N71" i="35"/>
  <c r="N81" i="35"/>
  <c r="N91" i="35"/>
  <c r="N101" i="35"/>
  <c r="N111" i="35"/>
  <c r="N121" i="35"/>
  <c r="N131" i="35"/>
  <c r="N32" i="8"/>
  <c r="N22" i="8"/>
  <c r="F14" i="8"/>
  <c r="AO3" i="8"/>
  <c r="N42" i="8"/>
  <c r="N52" i="8"/>
  <c r="N62" i="8"/>
  <c r="N72" i="8"/>
  <c r="N82" i="8"/>
  <c r="N92" i="8"/>
  <c r="N102" i="8"/>
  <c r="N112" i="8"/>
  <c r="N122" i="8"/>
  <c r="N132" i="8"/>
  <c r="F14" i="20"/>
  <c r="N22" i="20"/>
  <c r="N32" i="20"/>
  <c r="AO3" i="20"/>
  <c r="N42" i="20"/>
  <c r="N52" i="20"/>
  <c r="N62" i="20"/>
  <c r="N72" i="20"/>
  <c r="N82" i="20"/>
  <c r="N92" i="20"/>
  <c r="N102" i="20"/>
  <c r="N112" i="20"/>
  <c r="N122" i="20"/>
  <c r="N132" i="20"/>
  <c r="T79" i="8"/>
  <c r="T29" i="8"/>
  <c r="T99" i="8"/>
  <c r="E69" i="8"/>
  <c r="T119" i="8"/>
  <c r="E71" i="8"/>
  <c r="T59" i="8"/>
  <c r="T109" i="8"/>
  <c r="E72" i="8"/>
  <c r="T39" i="8"/>
  <c r="T129" i="8"/>
  <c r="E70" i="8"/>
  <c r="T49" i="8"/>
  <c r="E68" i="8"/>
  <c r="T69" i="8"/>
  <c r="T19" i="8"/>
  <c r="T89" i="8"/>
  <c r="E69" i="20"/>
  <c r="T29" i="20"/>
  <c r="E68" i="20"/>
  <c r="T49" i="20"/>
  <c r="T19" i="20"/>
  <c r="T109" i="20"/>
  <c r="T119" i="20"/>
  <c r="E71" i="20"/>
  <c r="T89" i="20"/>
  <c r="T69" i="20"/>
  <c r="T39" i="20"/>
  <c r="T59" i="20"/>
  <c r="E72" i="20"/>
  <c r="T129" i="20"/>
  <c r="E70" i="20"/>
  <c r="T79" i="20"/>
  <c r="T99" i="20"/>
  <c r="H29" i="11"/>
  <c r="H20" i="11"/>
  <c r="I14" i="11"/>
  <c r="I51" i="11" s="1"/>
  <c r="N31" i="11"/>
  <c r="N41" i="11"/>
  <c r="N21" i="11"/>
  <c r="N51" i="11"/>
  <c r="N61" i="11"/>
  <c r="N71" i="11"/>
  <c r="N81" i="11"/>
  <c r="N91" i="11"/>
  <c r="N101" i="11"/>
  <c r="N111" i="11"/>
  <c r="N121" i="11"/>
  <c r="N131" i="11"/>
  <c r="I14" i="24"/>
  <c r="I51" i="24" s="1"/>
  <c r="N41" i="24"/>
  <c r="N31" i="24"/>
  <c r="N21" i="24"/>
  <c r="N51" i="24"/>
  <c r="N61" i="24"/>
  <c r="N71" i="24"/>
  <c r="N81" i="24"/>
  <c r="N91" i="24"/>
  <c r="N101" i="24"/>
  <c r="N111" i="24"/>
  <c r="N121" i="24"/>
  <c r="N131" i="24"/>
  <c r="F14" i="5"/>
  <c r="N32" i="5"/>
  <c r="N22" i="5"/>
  <c r="AO3" i="5"/>
  <c r="N42" i="5"/>
  <c r="N52" i="5"/>
  <c r="N62" i="5"/>
  <c r="N72" i="5"/>
  <c r="N82" i="5"/>
  <c r="N92" i="5"/>
  <c r="N102" i="5"/>
  <c r="N112" i="5"/>
  <c r="N122" i="5"/>
  <c r="N132" i="5"/>
  <c r="F14" i="16"/>
  <c r="N22" i="16"/>
  <c r="N32" i="16"/>
  <c r="AO3" i="16"/>
  <c r="N42" i="16"/>
  <c r="N52" i="16"/>
  <c r="N62" i="16"/>
  <c r="N72" i="16"/>
  <c r="N82" i="16"/>
  <c r="N92" i="16"/>
  <c r="N102" i="16"/>
  <c r="N112" i="16"/>
  <c r="N122" i="16"/>
  <c r="N132" i="16"/>
  <c r="F14" i="35"/>
  <c r="N32" i="35"/>
  <c r="N22" i="35"/>
  <c r="AO3" i="35"/>
  <c r="N42" i="35"/>
  <c r="N52" i="35"/>
  <c r="N62" i="35"/>
  <c r="N72" i="35"/>
  <c r="N82" i="35"/>
  <c r="N92" i="35"/>
  <c r="N102" i="35"/>
  <c r="N112" i="35"/>
  <c r="N122" i="35"/>
  <c r="N132" i="35"/>
  <c r="T75" i="4"/>
  <c r="T85" i="4"/>
  <c r="T25" i="4"/>
  <c r="T45" i="4"/>
  <c r="T65" i="4"/>
  <c r="T95" i="4"/>
  <c r="T35" i="4"/>
  <c r="T55" i="4"/>
  <c r="T125" i="4"/>
  <c r="T115" i="4"/>
  <c r="T135" i="4"/>
  <c r="T105" i="4"/>
  <c r="T45" i="15"/>
  <c r="T35" i="15"/>
  <c r="T105" i="15"/>
  <c r="T55" i="15"/>
  <c r="T25" i="15"/>
  <c r="T65" i="15"/>
  <c r="T135" i="15"/>
  <c r="T85" i="15"/>
  <c r="T115" i="15"/>
  <c r="T95" i="15"/>
  <c r="T125" i="15"/>
  <c r="T75" i="15"/>
  <c r="T85" i="34"/>
  <c r="T75" i="34"/>
  <c r="T55" i="34"/>
  <c r="T25" i="34"/>
  <c r="T135" i="34"/>
  <c r="T65" i="34"/>
  <c r="T115" i="34"/>
  <c r="T105" i="34"/>
  <c r="T35" i="34"/>
  <c r="T45" i="34"/>
  <c r="T95" i="34"/>
  <c r="T125" i="34"/>
  <c r="O99" i="8"/>
  <c r="O109" i="8"/>
  <c r="O119" i="8"/>
  <c r="O89" i="8"/>
  <c r="O129" i="8"/>
  <c r="O29" i="8"/>
  <c r="O39" i="8"/>
  <c r="O49" i="8"/>
  <c r="O69" i="8"/>
  <c r="O19" i="8"/>
  <c r="O79" i="8"/>
  <c r="O59" i="8"/>
  <c r="O29" i="20"/>
  <c r="O19" i="20"/>
  <c r="O109" i="20"/>
  <c r="O39" i="20"/>
  <c r="O79" i="20"/>
  <c r="O89" i="20"/>
  <c r="O49" i="20"/>
  <c r="O129" i="20"/>
  <c r="O99" i="20"/>
  <c r="O69" i="20"/>
  <c r="O59" i="20"/>
  <c r="O119" i="20"/>
  <c r="P49" i="10"/>
  <c r="P109" i="10"/>
  <c r="P99" i="10"/>
  <c r="P59" i="10"/>
  <c r="P89" i="10"/>
  <c r="P79" i="10"/>
  <c r="P39" i="10"/>
  <c r="P29" i="10"/>
  <c r="P19" i="10"/>
  <c r="P129" i="10"/>
  <c r="P119" i="10"/>
  <c r="P69" i="10"/>
  <c r="P29" i="22"/>
  <c r="P99" i="22"/>
  <c r="P109" i="22"/>
  <c r="P89" i="22"/>
  <c r="P129" i="22"/>
  <c r="P19" i="22"/>
  <c r="P119" i="22"/>
  <c r="P69" i="22"/>
  <c r="P49" i="22"/>
  <c r="P59" i="22"/>
  <c r="P39" i="22"/>
  <c r="P79" i="22"/>
  <c r="T119" i="60"/>
  <c r="E69" i="60"/>
  <c r="E68" i="60"/>
  <c r="T49" i="60"/>
  <c r="T69" i="60"/>
  <c r="T89" i="60"/>
  <c r="E71" i="60"/>
  <c r="T129" i="60"/>
  <c r="T99" i="60"/>
  <c r="T39" i="60"/>
  <c r="T29" i="60"/>
  <c r="T59" i="60"/>
  <c r="T19" i="60"/>
  <c r="E70" i="60"/>
  <c r="T79" i="60"/>
  <c r="E72" i="60"/>
  <c r="T109" i="60"/>
  <c r="AU3" i="60"/>
  <c r="AB5" i="60"/>
  <c r="AA50" i="60"/>
  <c r="O85" i="10"/>
  <c r="AC131" i="60"/>
  <c r="AS3" i="60"/>
  <c r="Z20" i="60"/>
  <c r="AD40" i="60"/>
  <c r="Z80" i="60"/>
  <c r="AT11" i="60"/>
  <c r="AA32" i="60"/>
  <c r="AB14" i="60"/>
  <c r="O95" i="10"/>
  <c r="AT5" i="60"/>
  <c r="AD61" i="60"/>
  <c r="AT4" i="60"/>
  <c r="AC50" i="60"/>
  <c r="AC32" i="60"/>
  <c r="O55" i="10"/>
  <c r="AY11" i="60"/>
  <c r="Z62" i="60"/>
  <c r="AB15" i="60"/>
  <c r="AD30" i="60"/>
  <c r="AD122" i="60"/>
  <c r="O75" i="10"/>
  <c r="AT9" i="60"/>
  <c r="AY15" i="60"/>
  <c r="Z51" i="60"/>
  <c r="AA120" i="60"/>
  <c r="AX6" i="60"/>
  <c r="AD120" i="60"/>
  <c r="AX12" i="60"/>
  <c r="AC81" i="60"/>
  <c r="AY10" i="60"/>
  <c r="Z42" i="60"/>
  <c r="AY9" i="60"/>
  <c r="BA15" i="60"/>
  <c r="Z130" i="60"/>
  <c r="AC72" i="60"/>
  <c r="AX5" i="60"/>
  <c r="AA52" i="60"/>
  <c r="O126" i="60"/>
  <c r="AD100" i="60"/>
  <c r="AB7" i="60"/>
  <c r="AD21" i="60"/>
  <c r="AC42" i="60"/>
  <c r="AY13" i="60"/>
  <c r="AC70" i="60"/>
  <c r="AB9" i="60"/>
  <c r="AD22" i="60"/>
  <c r="AC22" i="60"/>
  <c r="AD20" i="60"/>
  <c r="O65" i="10"/>
  <c r="AT14" i="60"/>
  <c r="AC51" i="60"/>
  <c r="Z120" i="60"/>
  <c r="AR15" i="60"/>
  <c r="AR14" i="60"/>
  <c r="AA80" i="60"/>
  <c r="AB4" i="60"/>
  <c r="AX15" i="60"/>
  <c r="AA60" i="60"/>
  <c r="AD121" i="60"/>
  <c r="AA90" i="60"/>
  <c r="AX8" i="60"/>
  <c r="AA31" i="60"/>
  <c r="AA71" i="60"/>
  <c r="AC20" i="60"/>
  <c r="AC120" i="60"/>
  <c r="AA92" i="60"/>
  <c r="O36" i="60"/>
  <c r="AC130" i="60"/>
  <c r="AT6" i="60"/>
  <c r="AA22" i="60"/>
  <c r="O135" i="10"/>
  <c r="AA100" i="60"/>
  <c r="Z52" i="60"/>
  <c r="AC102" i="60"/>
  <c r="AC62" i="60"/>
  <c r="AA102" i="60"/>
  <c r="Z72" i="60"/>
  <c r="Z32" i="60"/>
  <c r="AA41" i="60"/>
  <c r="AA30" i="60"/>
  <c r="AX7" i="60"/>
  <c r="AR4" i="60"/>
  <c r="Z61" i="60"/>
  <c r="AY6" i="60"/>
  <c r="Z31" i="60"/>
  <c r="AR9" i="60"/>
  <c r="AC100" i="60"/>
  <c r="AD91" i="60"/>
  <c r="Z110" i="60"/>
  <c r="AT8" i="60"/>
  <c r="AT16" i="60"/>
  <c r="AA122" i="60"/>
  <c r="AD41" i="60"/>
  <c r="O125" i="10"/>
  <c r="AB16" i="60"/>
  <c r="AT13" i="60"/>
  <c r="AA20" i="60"/>
  <c r="AA51" i="60"/>
  <c r="AD70" i="60"/>
  <c r="Z50" i="60"/>
  <c r="Z121" i="60"/>
  <c r="AD92" i="60"/>
  <c r="AX3" i="60"/>
  <c r="Z111" i="60"/>
  <c r="O115" i="10"/>
  <c r="AC41" i="60"/>
  <c r="AA82" i="60"/>
  <c r="AC52" i="60"/>
  <c r="AC82" i="60"/>
  <c r="AR6" i="60"/>
  <c r="Z41" i="60"/>
  <c r="AC30" i="60"/>
  <c r="AC80" i="60"/>
  <c r="AC90" i="60"/>
  <c r="AX4" i="60"/>
  <c r="AR5" i="60"/>
  <c r="AA72" i="60"/>
  <c r="AA121" i="60"/>
  <c r="AC121" i="60"/>
  <c r="AY8" i="60"/>
  <c r="AD60" i="60"/>
  <c r="AD101" i="60"/>
  <c r="AA112" i="60"/>
  <c r="AR8" i="60"/>
  <c r="AA40" i="60"/>
  <c r="Z100" i="60"/>
  <c r="AD42" i="60"/>
  <c r="AP3" i="60"/>
  <c r="AC40" i="60"/>
  <c r="AA70" i="60"/>
  <c r="BA10" i="60"/>
  <c r="BA9" i="60"/>
  <c r="AC92" i="60"/>
  <c r="BA11" i="60"/>
  <c r="AX10" i="60"/>
  <c r="Z112" i="60"/>
  <c r="Z91" i="60"/>
  <c r="AD102" i="60"/>
  <c r="AD80" i="60"/>
  <c r="Z131" i="60"/>
  <c r="Z122" i="60"/>
  <c r="AC21" i="60"/>
  <c r="AX11" i="60"/>
  <c r="BA8" i="60"/>
  <c r="AC110" i="60"/>
  <c r="AC132" i="60"/>
  <c r="BA4" i="60"/>
  <c r="AD51" i="60"/>
  <c r="AC91" i="60"/>
  <c r="BA6" i="60"/>
  <c r="AR3" i="60"/>
  <c r="O105" i="10"/>
  <c r="AC122" i="60"/>
  <c r="AA42" i="60"/>
  <c r="BA7" i="60"/>
  <c r="AT10" i="60"/>
  <c r="AB13" i="60"/>
  <c r="AR13" i="60"/>
  <c r="AC101" i="60"/>
  <c r="AD110" i="60"/>
  <c r="Z132" i="60"/>
  <c r="BA12" i="60"/>
  <c r="AR12" i="60"/>
  <c r="AY7" i="60"/>
  <c r="AC112" i="60"/>
  <c r="BA5" i="60"/>
  <c r="AA81" i="60"/>
  <c r="AD71" i="60"/>
  <c r="AX14" i="60"/>
  <c r="AD81" i="60"/>
  <c r="Z21" i="60"/>
  <c r="AD112" i="60"/>
  <c r="AT12" i="60"/>
  <c r="AC111" i="60"/>
  <c r="AX9" i="60"/>
  <c r="Z30" i="60"/>
  <c r="AX13" i="60"/>
  <c r="AD72" i="60"/>
  <c r="AT15" i="60"/>
  <c r="AD131" i="60"/>
  <c r="AB12" i="60"/>
  <c r="AA111" i="60"/>
  <c r="AR10" i="60"/>
  <c r="AD31" i="60"/>
  <c r="AB8" i="60"/>
  <c r="BA14" i="60"/>
  <c r="Z60" i="60"/>
  <c r="AQ3" i="60"/>
  <c r="AY14" i="60"/>
  <c r="AD132" i="60"/>
  <c r="Z82" i="60"/>
  <c r="AA130" i="60"/>
  <c r="Z92" i="60"/>
  <c r="AD130" i="60"/>
  <c r="AD111" i="60"/>
  <c r="S123" i="5" l="1"/>
  <c r="S83" i="5"/>
  <c r="S63" i="5"/>
  <c r="S53" i="5"/>
  <c r="R22" i="5"/>
  <c r="S23" i="5"/>
  <c r="P25" i="5"/>
  <c r="S33" i="5"/>
  <c r="S22" i="6"/>
  <c r="S53" i="6"/>
  <c r="S23" i="6"/>
  <c r="S93" i="35"/>
  <c r="S33" i="6"/>
  <c r="S83" i="35"/>
  <c r="S123" i="6"/>
  <c r="S113" i="6"/>
  <c r="S93" i="6"/>
  <c r="S83" i="6"/>
  <c r="Y5" i="60"/>
  <c r="R35" i="60" s="1"/>
  <c r="X5" i="60"/>
  <c r="P35" i="60" s="1"/>
  <c r="R122" i="60"/>
  <c r="Y6" i="60"/>
  <c r="R45" i="60" s="1"/>
  <c r="X6" i="60"/>
  <c r="P45" i="60" s="1"/>
  <c r="Q97" i="60"/>
  <c r="R82" i="60"/>
  <c r="Q47" i="60"/>
  <c r="X10" i="60"/>
  <c r="P85" i="60" s="1"/>
  <c r="Y10" i="60"/>
  <c r="R85" i="60" s="1"/>
  <c r="Q37" i="60"/>
  <c r="R131" i="60"/>
  <c r="Q106" i="60"/>
  <c r="Q127" i="60"/>
  <c r="R31" i="60"/>
  <c r="Y11" i="60"/>
  <c r="R95" i="60" s="1"/>
  <c r="X11" i="60"/>
  <c r="P95" i="60" s="1"/>
  <c r="Q116" i="60"/>
  <c r="K18" i="60"/>
  <c r="Q36" i="60"/>
  <c r="Q87" i="60"/>
  <c r="Q77" i="60"/>
  <c r="Y15" i="60"/>
  <c r="R135" i="60" s="1"/>
  <c r="X15" i="60"/>
  <c r="P135" i="60" s="1"/>
  <c r="X7" i="60"/>
  <c r="P55" i="60" s="1"/>
  <c r="Y7" i="60"/>
  <c r="R55" i="60" s="1"/>
  <c r="Y13" i="60"/>
  <c r="R115" i="60" s="1"/>
  <c r="X13" i="60"/>
  <c r="P115" i="60" s="1"/>
  <c r="Q56" i="60"/>
  <c r="Q28" i="60"/>
  <c r="R21" i="60"/>
  <c r="Q137" i="60"/>
  <c r="R91" i="60"/>
  <c r="Q26" i="60"/>
  <c r="Q117" i="60"/>
  <c r="R52" i="60"/>
  <c r="R102" i="60"/>
  <c r="Q126" i="60"/>
  <c r="R62" i="60"/>
  <c r="Q66" i="60"/>
  <c r="R101" i="60"/>
  <c r="R132" i="60"/>
  <c r="Y9" i="60"/>
  <c r="X9" i="60"/>
  <c r="P75" i="60" s="1"/>
  <c r="R92" i="60"/>
  <c r="R61" i="60"/>
  <c r="R51" i="60"/>
  <c r="Y14" i="60"/>
  <c r="R125" i="60" s="1"/>
  <c r="X14" i="60"/>
  <c r="P125" i="60" s="1"/>
  <c r="Q57" i="60"/>
  <c r="Q136" i="60"/>
  <c r="R41" i="60"/>
  <c r="R71" i="60"/>
  <c r="S27" i="60"/>
  <c r="Q76" i="60"/>
  <c r="R72" i="60"/>
  <c r="R81" i="60"/>
  <c r="R121" i="60"/>
  <c r="X12" i="60"/>
  <c r="P105" i="60" s="1"/>
  <c r="Y12" i="60"/>
  <c r="R105" i="60" s="1"/>
  <c r="S64" i="10"/>
  <c r="S83" i="10"/>
  <c r="S134" i="10"/>
  <c r="S54" i="10"/>
  <c r="S124" i="10"/>
  <c r="S63" i="10"/>
  <c r="S114" i="10"/>
  <c r="R22" i="10"/>
  <c r="S104" i="10"/>
  <c r="S22" i="10"/>
  <c r="S94" i="10"/>
  <c r="S53" i="10"/>
  <c r="S123" i="10"/>
  <c r="P25" i="10"/>
  <c r="S84" i="10"/>
  <c r="R25" i="10"/>
  <c r="S113" i="10"/>
  <c r="S23" i="10"/>
  <c r="S74" i="10"/>
  <c r="S33" i="35"/>
  <c r="S83" i="22"/>
  <c r="S123" i="35"/>
  <c r="S63" i="22"/>
  <c r="S113" i="35"/>
  <c r="S22" i="22"/>
  <c r="S63" i="35"/>
  <c r="P25" i="22"/>
  <c r="S25" i="22" s="1"/>
  <c r="S22" i="35"/>
  <c r="S23" i="22"/>
  <c r="S53" i="35"/>
  <c r="R25" i="22"/>
  <c r="R22" i="35"/>
  <c r="S33" i="22"/>
  <c r="S53" i="22"/>
  <c r="R25" i="35"/>
  <c r="S123" i="22"/>
  <c r="P25" i="35"/>
  <c r="S25" i="5"/>
  <c r="S113" i="22"/>
  <c r="S25" i="60"/>
  <c r="G71" i="60"/>
  <c r="F71" i="60"/>
  <c r="H71" i="60"/>
  <c r="H68" i="14"/>
  <c r="G68" i="14"/>
  <c r="F68" i="14"/>
  <c r="S25" i="16"/>
  <c r="H72" i="37"/>
  <c r="G72" i="37"/>
  <c r="F70" i="37"/>
  <c r="H70" i="37"/>
  <c r="G70" i="37"/>
  <c r="H71" i="6"/>
  <c r="G71" i="6"/>
  <c r="F71" i="6"/>
  <c r="G69" i="22"/>
  <c r="H69" i="22"/>
  <c r="F69" i="22"/>
  <c r="S25" i="6"/>
  <c r="G72" i="34"/>
  <c r="H72" i="34"/>
  <c r="H70" i="7"/>
  <c r="G70" i="7"/>
  <c r="F70" i="7"/>
  <c r="F69" i="8"/>
  <c r="H69" i="8"/>
  <c r="G69" i="8"/>
  <c r="F71" i="14"/>
  <c r="H71" i="14"/>
  <c r="G71" i="14"/>
  <c r="H68" i="37"/>
  <c r="G68" i="37"/>
  <c r="F68" i="37"/>
  <c r="F68" i="17"/>
  <c r="H68" i="17"/>
  <c r="G68" i="17"/>
  <c r="H69" i="6"/>
  <c r="G69" i="6"/>
  <c r="F69" i="6"/>
  <c r="F71" i="22"/>
  <c r="G71" i="22"/>
  <c r="H71" i="22"/>
  <c r="G72" i="10"/>
  <c r="H72" i="10"/>
  <c r="H68" i="4"/>
  <c r="G68" i="4"/>
  <c r="F68" i="4"/>
  <c r="H71" i="19"/>
  <c r="G71" i="19"/>
  <c r="F71" i="19"/>
  <c r="H68" i="15"/>
  <c r="F68" i="15"/>
  <c r="G68" i="15"/>
  <c r="H72" i="60"/>
  <c r="G72" i="60"/>
  <c r="H68" i="8"/>
  <c r="G68" i="8"/>
  <c r="F68" i="8"/>
  <c r="H68" i="33"/>
  <c r="G68" i="33"/>
  <c r="F68" i="33"/>
  <c r="H69" i="10"/>
  <c r="F69" i="10"/>
  <c r="G69" i="10"/>
  <c r="H70" i="34"/>
  <c r="G70" i="34"/>
  <c r="F70" i="34"/>
  <c r="H69" i="59"/>
  <c r="G69" i="59"/>
  <c r="F69" i="59"/>
  <c r="G68" i="19"/>
  <c r="F68" i="19"/>
  <c r="H68" i="19"/>
  <c r="F68" i="60"/>
  <c r="H68" i="60"/>
  <c r="G68" i="60"/>
  <c r="G71" i="20"/>
  <c r="H71" i="20"/>
  <c r="F71" i="20"/>
  <c r="G69" i="17"/>
  <c r="F69" i="17"/>
  <c r="H69" i="17"/>
  <c r="H72" i="17"/>
  <c r="G72" i="17"/>
  <c r="H70" i="60"/>
  <c r="G70" i="60"/>
  <c r="F70" i="60"/>
  <c r="F69" i="60"/>
  <c r="H69" i="60"/>
  <c r="G69" i="60"/>
  <c r="H70" i="8"/>
  <c r="G70" i="8"/>
  <c r="F70" i="8"/>
  <c r="F69" i="33"/>
  <c r="H69" i="33"/>
  <c r="G69" i="33"/>
  <c r="S33" i="20"/>
  <c r="P25" i="20"/>
  <c r="S23" i="20"/>
  <c r="R25" i="20"/>
  <c r="S53" i="20"/>
  <c r="R22" i="20"/>
  <c r="S22" i="20"/>
  <c r="S63" i="20"/>
  <c r="S83" i="20"/>
  <c r="S93" i="20"/>
  <c r="S113" i="20"/>
  <c r="S123" i="20"/>
  <c r="H72" i="6"/>
  <c r="G72" i="6"/>
  <c r="G68" i="22"/>
  <c r="F68" i="22"/>
  <c r="H68" i="22"/>
  <c r="G70" i="10"/>
  <c r="F70" i="10"/>
  <c r="H70" i="10"/>
  <c r="S25" i="33"/>
  <c r="S25" i="14"/>
  <c r="F70" i="15"/>
  <c r="G70" i="15"/>
  <c r="H70" i="15"/>
  <c r="H69" i="4"/>
  <c r="G69" i="4"/>
  <c r="F69" i="4"/>
  <c r="H68" i="59"/>
  <c r="F68" i="59"/>
  <c r="G68" i="59"/>
  <c r="H69" i="19"/>
  <c r="G69" i="19"/>
  <c r="F69" i="19"/>
  <c r="S33" i="8"/>
  <c r="R25" i="8"/>
  <c r="P25" i="8"/>
  <c r="S23" i="8"/>
  <c r="S53" i="8"/>
  <c r="R22" i="8"/>
  <c r="S63" i="8"/>
  <c r="S22" i="8"/>
  <c r="S83" i="8"/>
  <c r="S93" i="8"/>
  <c r="S113" i="8"/>
  <c r="S123" i="8"/>
  <c r="H70" i="4"/>
  <c r="G70" i="4"/>
  <c r="F70" i="4"/>
  <c r="H70" i="19"/>
  <c r="G70" i="19"/>
  <c r="F70" i="19"/>
  <c r="H68" i="7"/>
  <c r="G68" i="7"/>
  <c r="F68" i="7"/>
  <c r="F71" i="33"/>
  <c r="H71" i="33"/>
  <c r="G71" i="33"/>
  <c r="H72" i="14"/>
  <c r="G72" i="14"/>
  <c r="H69" i="37"/>
  <c r="F69" i="37"/>
  <c r="G69" i="37"/>
  <c r="H68" i="34"/>
  <c r="G68" i="34"/>
  <c r="F68" i="34"/>
  <c r="H72" i="15"/>
  <c r="G72" i="15"/>
  <c r="H71" i="59"/>
  <c r="G71" i="59"/>
  <c r="F71" i="59"/>
  <c r="H72" i="7"/>
  <c r="G72" i="7"/>
  <c r="H72" i="8"/>
  <c r="G72" i="8"/>
  <c r="G70" i="33"/>
  <c r="F70" i="33"/>
  <c r="H70" i="33"/>
  <c r="G69" i="14"/>
  <c r="F69" i="14"/>
  <c r="H69" i="14"/>
  <c r="H71" i="37"/>
  <c r="F71" i="37"/>
  <c r="G71" i="37"/>
  <c r="H71" i="34"/>
  <c r="G71" i="34"/>
  <c r="F71" i="34"/>
  <c r="H71" i="4"/>
  <c r="F71" i="4"/>
  <c r="G71" i="4"/>
  <c r="H70" i="59"/>
  <c r="G70" i="59"/>
  <c r="F70" i="59"/>
  <c r="H71" i="7"/>
  <c r="G71" i="7"/>
  <c r="F71" i="7"/>
  <c r="F70" i="20"/>
  <c r="H70" i="20"/>
  <c r="G70" i="20"/>
  <c r="H68" i="20"/>
  <c r="F68" i="20"/>
  <c r="G68" i="20"/>
  <c r="F70" i="17"/>
  <c r="H70" i="17"/>
  <c r="G70" i="17"/>
  <c r="G70" i="6"/>
  <c r="F70" i="6"/>
  <c r="H70" i="6"/>
  <c r="H69" i="34"/>
  <c r="G69" i="34"/>
  <c r="F69" i="34"/>
  <c r="H72" i="19"/>
  <c r="G72" i="19"/>
  <c r="H69" i="7"/>
  <c r="G69" i="7"/>
  <c r="F69" i="7"/>
  <c r="F70" i="22"/>
  <c r="H70" i="22"/>
  <c r="G70" i="22"/>
  <c r="H68" i="10"/>
  <c r="G68" i="10"/>
  <c r="F68" i="10"/>
  <c r="S33" i="37"/>
  <c r="R25" i="37"/>
  <c r="P25" i="37"/>
  <c r="S23" i="37"/>
  <c r="S53" i="37"/>
  <c r="S22" i="37"/>
  <c r="R22" i="37"/>
  <c r="S63" i="37"/>
  <c r="S83" i="37"/>
  <c r="S93" i="37"/>
  <c r="S113" i="37"/>
  <c r="S123" i="37"/>
  <c r="G71" i="15"/>
  <c r="F71" i="15"/>
  <c r="H71" i="15"/>
  <c r="G72" i="4"/>
  <c r="H72" i="4"/>
  <c r="H72" i="59"/>
  <c r="G72" i="59"/>
  <c r="G72" i="20"/>
  <c r="H72" i="20"/>
  <c r="G69" i="20"/>
  <c r="H69" i="20"/>
  <c r="F69" i="20"/>
  <c r="H71" i="8"/>
  <c r="G71" i="8"/>
  <c r="F71" i="8"/>
  <c r="H72" i="33"/>
  <c r="G72" i="33"/>
  <c r="H70" i="14"/>
  <c r="G70" i="14"/>
  <c r="F70" i="14"/>
  <c r="G71" i="17"/>
  <c r="F71" i="17"/>
  <c r="H71" i="17"/>
  <c r="H68" i="6"/>
  <c r="G68" i="6"/>
  <c r="F68" i="6"/>
  <c r="H72" i="22"/>
  <c r="G72" i="22"/>
  <c r="H71" i="10"/>
  <c r="G71" i="10"/>
  <c r="F71" i="10"/>
  <c r="S33" i="17"/>
  <c r="R25" i="17"/>
  <c r="P25" i="17"/>
  <c r="S23" i="17"/>
  <c r="S22" i="17"/>
  <c r="R22" i="17"/>
  <c r="S53" i="17"/>
  <c r="S63" i="17"/>
  <c r="S83" i="17"/>
  <c r="S93" i="17"/>
  <c r="S113" i="17"/>
  <c r="S123" i="17"/>
  <c r="H69" i="15"/>
  <c r="G69" i="15"/>
  <c r="F69" i="15"/>
  <c r="H68" i="35"/>
  <c r="F68" i="35"/>
  <c r="G68" i="35"/>
  <c r="H69" i="5"/>
  <c r="G69" i="5"/>
  <c r="F69" i="5"/>
  <c r="S23" i="34"/>
  <c r="P25" i="34"/>
  <c r="S33" i="34"/>
  <c r="R25" i="34"/>
  <c r="S22" i="34"/>
  <c r="R22" i="34"/>
  <c r="S53" i="34"/>
  <c r="S63" i="34"/>
  <c r="S83" i="34"/>
  <c r="S93" i="34"/>
  <c r="S113" i="34"/>
  <c r="S123" i="34"/>
  <c r="F70" i="11"/>
  <c r="H70" i="11"/>
  <c r="G70" i="11"/>
  <c r="S33" i="15"/>
  <c r="R25" i="15"/>
  <c r="P25" i="15"/>
  <c r="S23" i="15"/>
  <c r="S53" i="15"/>
  <c r="S63" i="15"/>
  <c r="R22" i="15"/>
  <c r="S22" i="15"/>
  <c r="S83" i="15"/>
  <c r="S93" i="15"/>
  <c r="S113" i="15"/>
  <c r="S123" i="15"/>
  <c r="G68" i="24"/>
  <c r="F68" i="24"/>
  <c r="H68" i="24"/>
  <c r="H72" i="35"/>
  <c r="G72" i="35"/>
  <c r="H68" i="16"/>
  <c r="G68" i="16"/>
  <c r="F68" i="16"/>
  <c r="H72" i="5"/>
  <c r="G72" i="5"/>
  <c r="S33" i="24"/>
  <c r="S23" i="24"/>
  <c r="P25" i="24"/>
  <c r="R25" i="24"/>
  <c r="S53" i="24"/>
  <c r="S22" i="24"/>
  <c r="R22" i="24"/>
  <c r="S63" i="24"/>
  <c r="S83" i="24"/>
  <c r="S93" i="24"/>
  <c r="S113" i="24"/>
  <c r="S123" i="24"/>
  <c r="S23" i="4"/>
  <c r="P25" i="4"/>
  <c r="R25" i="4"/>
  <c r="S33" i="4"/>
  <c r="S53" i="4"/>
  <c r="S22" i="4"/>
  <c r="R22" i="4"/>
  <c r="S63" i="4"/>
  <c r="S83" i="4"/>
  <c r="S93" i="4"/>
  <c r="S113" i="4"/>
  <c r="S123" i="4"/>
  <c r="F71" i="24"/>
  <c r="H71" i="24"/>
  <c r="G71" i="24"/>
  <c r="H70" i="35"/>
  <c r="G70" i="35"/>
  <c r="F70" i="35"/>
  <c r="F70" i="5"/>
  <c r="H70" i="5"/>
  <c r="G70" i="5"/>
  <c r="S33" i="59"/>
  <c r="S23" i="59"/>
  <c r="P25" i="59"/>
  <c r="R25" i="59"/>
  <c r="S53" i="59"/>
  <c r="S63" i="59"/>
  <c r="R22" i="59"/>
  <c r="S22" i="59"/>
  <c r="S83" i="59"/>
  <c r="S93" i="59"/>
  <c r="S113" i="59"/>
  <c r="S123" i="59"/>
  <c r="S33" i="11"/>
  <c r="R25" i="11"/>
  <c r="P25" i="11"/>
  <c r="S23" i="11"/>
  <c r="S53" i="11"/>
  <c r="S63" i="11"/>
  <c r="R22" i="11"/>
  <c r="S22" i="11"/>
  <c r="S54" i="11"/>
  <c r="S83" i="11"/>
  <c r="S93" i="11"/>
  <c r="S64" i="11"/>
  <c r="S74" i="11"/>
  <c r="S113" i="11"/>
  <c r="S84" i="11"/>
  <c r="S94" i="11"/>
  <c r="S123" i="11"/>
  <c r="S104" i="11"/>
  <c r="S114" i="11"/>
  <c r="S124" i="11"/>
  <c r="S134" i="11"/>
  <c r="F69" i="24"/>
  <c r="G69" i="24"/>
  <c r="H69" i="24"/>
  <c r="G71" i="11"/>
  <c r="F71" i="11"/>
  <c r="H71" i="11"/>
  <c r="S33" i="19"/>
  <c r="S23" i="19"/>
  <c r="R25" i="19"/>
  <c r="P25" i="19"/>
  <c r="S53" i="19"/>
  <c r="S63" i="19"/>
  <c r="S22" i="19"/>
  <c r="R22" i="19"/>
  <c r="S83" i="19"/>
  <c r="S93" i="19"/>
  <c r="S113" i="19"/>
  <c r="S123" i="19"/>
  <c r="G69" i="11"/>
  <c r="F69" i="11"/>
  <c r="H69" i="11"/>
  <c r="H72" i="16"/>
  <c r="G72" i="16"/>
  <c r="R25" i="7"/>
  <c r="P25" i="7"/>
  <c r="S23" i="7"/>
  <c r="S33" i="7"/>
  <c r="R22" i="7"/>
  <c r="S22" i="7"/>
  <c r="S53" i="7"/>
  <c r="S63" i="7"/>
  <c r="S83" i="7"/>
  <c r="S93" i="7"/>
  <c r="S113" i="7"/>
  <c r="S123" i="7"/>
  <c r="H70" i="24"/>
  <c r="F70" i="24"/>
  <c r="G70" i="24"/>
  <c r="H69" i="35"/>
  <c r="F69" i="35"/>
  <c r="G69" i="35"/>
  <c r="G72" i="24"/>
  <c r="H72" i="24"/>
  <c r="F71" i="35"/>
  <c r="G71" i="35"/>
  <c r="H71" i="35"/>
  <c r="H71" i="16"/>
  <c r="G71" i="16"/>
  <c r="F71" i="16"/>
  <c r="H69" i="16"/>
  <c r="G69" i="16"/>
  <c r="F69" i="16"/>
  <c r="H70" i="16"/>
  <c r="G70" i="16"/>
  <c r="F70" i="16"/>
  <c r="H68" i="5"/>
  <c r="F68" i="5"/>
  <c r="G68" i="5"/>
  <c r="H72" i="11"/>
  <c r="G72" i="11"/>
  <c r="G71" i="5"/>
  <c r="F71" i="5"/>
  <c r="H71" i="5"/>
  <c r="H68" i="11"/>
  <c r="G68" i="11"/>
  <c r="F68" i="11"/>
  <c r="O56" i="60"/>
  <c r="AC31" i="60"/>
  <c r="AD90" i="60"/>
  <c r="AB10" i="60"/>
  <c r="AD50" i="60"/>
  <c r="AC60" i="60"/>
  <c r="AD62" i="60"/>
  <c r="AA101" i="60"/>
  <c r="AC71" i="60"/>
  <c r="AC61" i="60"/>
  <c r="AY5" i="60"/>
  <c r="AY4" i="60"/>
  <c r="Z71" i="60"/>
  <c r="O86" i="60"/>
  <c r="AA110" i="60"/>
  <c r="AA131" i="60"/>
  <c r="Z70" i="60"/>
  <c r="Z40" i="60"/>
  <c r="Z22" i="60"/>
  <c r="O106" i="60"/>
  <c r="Z102" i="60"/>
  <c r="AD32" i="60"/>
  <c r="AD82" i="60"/>
  <c r="AB11" i="60"/>
  <c r="AA132" i="60"/>
  <c r="Z90" i="60"/>
  <c r="AA91" i="60"/>
  <c r="O136" i="60"/>
  <c r="AA21" i="60"/>
  <c r="AB6" i="60"/>
  <c r="O46" i="60" s="1"/>
  <c r="AA61" i="60"/>
  <c r="AD52" i="60"/>
  <c r="Z81" i="60"/>
  <c r="Z101" i="60"/>
  <c r="AR7" i="60"/>
  <c r="AR11" i="60"/>
  <c r="BA13" i="60"/>
  <c r="AT7" i="60"/>
  <c r="AA62" i="60"/>
  <c r="AY12" i="60"/>
  <c r="O96" i="60"/>
  <c r="S25" i="11" l="1"/>
  <c r="S25" i="10"/>
  <c r="S25" i="35"/>
  <c r="S25" i="7"/>
  <c r="S135" i="60"/>
  <c r="S115" i="60"/>
  <c r="S125" i="60"/>
  <c r="S35" i="60"/>
  <c r="Q107" i="60"/>
  <c r="R112" i="60"/>
  <c r="Q67" i="60"/>
  <c r="R111" i="60"/>
  <c r="Q86" i="60"/>
  <c r="Q46" i="60"/>
  <c r="R32" i="60"/>
  <c r="AY16" i="60"/>
  <c r="Q96" i="60"/>
  <c r="R42" i="60"/>
  <c r="Y8" i="60"/>
  <c r="R65" i="60" s="1"/>
  <c r="X8" i="60"/>
  <c r="P65" i="60" s="1"/>
  <c r="S25" i="15"/>
  <c r="S45" i="60"/>
  <c r="S105" i="60"/>
  <c r="S85" i="60"/>
  <c r="S95" i="60"/>
  <c r="S55" i="60"/>
  <c r="S25" i="19"/>
  <c r="S25" i="37"/>
  <c r="S25" i="8"/>
  <c r="S25" i="59"/>
  <c r="S25" i="34"/>
  <c r="S25" i="17"/>
  <c r="R6" i="60"/>
  <c r="V5" i="60"/>
  <c r="S34" i="60" s="1"/>
  <c r="S31" i="60"/>
  <c r="T5" i="60"/>
  <c r="AD5" i="60"/>
  <c r="U5" i="60"/>
  <c r="S25" i="4"/>
  <c r="N5" i="60"/>
  <c r="S25" i="24"/>
  <c r="S25" i="20"/>
  <c r="S65" i="60" l="1"/>
  <c r="R75" i="60"/>
  <c r="S75" i="60" s="1"/>
  <c r="Y16" i="60"/>
  <c r="S42" i="60"/>
  <c r="AE5" i="60"/>
  <c r="S36" i="60"/>
  <c r="V6" i="60"/>
  <c r="S44" i="60" s="1"/>
  <c r="R7" i="60"/>
  <c r="AD6" i="60"/>
  <c r="S41" i="60"/>
  <c r="U6" i="60"/>
  <c r="S52" i="60" s="1"/>
  <c r="T6" i="60"/>
  <c r="N6" i="60"/>
  <c r="X16" i="60" l="1"/>
  <c r="V7" i="60"/>
  <c r="R8" i="60"/>
  <c r="AD7" i="60"/>
  <c r="U7" i="60"/>
  <c r="S62" i="60" s="1"/>
  <c r="S51" i="60"/>
  <c r="T7" i="60"/>
  <c r="N7" i="60"/>
  <c r="V33" i="60"/>
  <c r="T33" i="60"/>
  <c r="AE6" i="60"/>
  <c r="S46" i="60"/>
  <c r="AA91" i="14"/>
  <c r="AA130" i="59"/>
  <c r="AD111" i="16"/>
  <c r="AY10" i="16"/>
  <c r="Z100" i="19"/>
  <c r="AC110" i="20"/>
  <c r="AP4" i="59"/>
  <c r="AC32" i="14"/>
  <c r="AC90" i="14"/>
  <c r="AC131" i="14"/>
  <c r="AB16" i="16"/>
  <c r="AC81" i="14"/>
  <c r="AD112" i="33"/>
  <c r="AB15" i="16"/>
  <c r="AA110" i="19"/>
  <c r="BA4" i="7"/>
  <c r="AA32" i="16"/>
  <c r="AD80" i="11"/>
  <c r="AC121" i="34"/>
  <c r="AY13" i="15"/>
  <c r="AY14" i="15"/>
  <c r="BA14" i="37"/>
  <c r="Z22" i="20"/>
  <c r="AD21" i="33"/>
  <c r="Z81" i="33"/>
  <c r="Z30" i="10"/>
  <c r="AR10" i="5"/>
  <c r="AA90" i="34"/>
  <c r="AY14" i="59"/>
  <c r="Z100" i="10"/>
  <c r="AD112" i="10"/>
  <c r="BA10" i="11"/>
  <c r="AC41" i="33"/>
  <c r="AC51" i="5"/>
  <c r="AT4" i="7"/>
  <c r="AC121" i="4"/>
  <c r="AA22" i="33"/>
  <c r="AD72" i="19"/>
  <c r="Z70" i="16"/>
  <c r="Z82" i="19"/>
  <c r="Z71" i="10"/>
  <c r="AD130" i="14"/>
  <c r="AR11" i="14"/>
  <c r="AA130" i="10"/>
  <c r="AD32" i="11"/>
  <c r="AY8" i="7"/>
  <c r="AB9" i="10"/>
  <c r="AD100" i="8"/>
  <c r="Z80" i="33"/>
  <c r="AD101" i="10"/>
  <c r="AR15" i="20"/>
  <c r="Z92" i="7"/>
  <c r="AC120" i="14"/>
  <c r="AY8" i="33"/>
  <c r="AY10" i="59"/>
  <c r="AT7" i="5"/>
  <c r="Z102" i="37"/>
  <c r="AC121" i="19"/>
  <c r="AD52" i="7"/>
  <c r="AY6" i="17"/>
  <c r="AA60" i="10"/>
  <c r="Z130" i="59"/>
  <c r="AB13" i="16"/>
  <c r="AC42" i="10"/>
  <c r="P16" i="59"/>
  <c r="AY11" i="5"/>
  <c r="BA4" i="33"/>
  <c r="AD90" i="33"/>
  <c r="AC122" i="33"/>
  <c r="AT9" i="33"/>
  <c r="AD102" i="59"/>
  <c r="Z52" i="11"/>
  <c r="Z111" i="24"/>
  <c r="AX3" i="4"/>
  <c r="Z130" i="16"/>
  <c r="AT10" i="5"/>
  <c r="AC122" i="7"/>
  <c r="Z120" i="20"/>
  <c r="AC61" i="33"/>
  <c r="AX9" i="10"/>
  <c r="AR13" i="59"/>
  <c r="Z81" i="16"/>
  <c r="AA121" i="33"/>
  <c r="AD90" i="5"/>
  <c r="Z61" i="16"/>
  <c r="AC131" i="16"/>
  <c r="BA10" i="14"/>
  <c r="AS3" i="10"/>
  <c r="Z82" i="14"/>
  <c r="AT6" i="14"/>
  <c r="AD120" i="20"/>
  <c r="AT16" i="4"/>
  <c r="AD60" i="16"/>
  <c r="AB10" i="14"/>
  <c r="AR9" i="15"/>
  <c r="AC82" i="17"/>
  <c r="Z121" i="19"/>
  <c r="AT9" i="16"/>
  <c r="BA6" i="4"/>
  <c r="Z90" i="20"/>
  <c r="AC82" i="16"/>
  <c r="Z40" i="7"/>
  <c r="AD62" i="19"/>
  <c r="AB10" i="11"/>
  <c r="AC50" i="14"/>
  <c r="AA132" i="16"/>
  <c r="BA6" i="11"/>
  <c r="AD121" i="5"/>
  <c r="P5" i="59"/>
  <c r="Z120" i="19"/>
  <c r="AA131" i="5"/>
  <c r="AR4" i="16"/>
  <c r="Z21" i="10"/>
  <c r="Z112" i="14"/>
  <c r="AD102" i="10"/>
  <c r="Z41" i="4"/>
  <c r="Z130" i="24"/>
  <c r="AA91" i="15"/>
  <c r="AX9" i="11"/>
  <c r="AC82" i="34"/>
  <c r="BA14" i="16"/>
  <c r="AA130" i="33"/>
  <c r="AC102" i="34"/>
  <c r="Z21" i="4"/>
  <c r="AB7" i="10"/>
  <c r="AD21" i="10"/>
  <c r="AD130" i="7"/>
  <c r="AX8" i="7"/>
  <c r="AD51" i="10"/>
  <c r="Z122" i="19"/>
  <c r="AD130" i="24"/>
  <c r="AD82" i="10"/>
  <c r="Z40" i="10"/>
  <c r="AD132" i="10"/>
  <c r="Z30" i="16"/>
  <c r="Z62" i="10"/>
  <c r="AA61" i="5"/>
  <c r="AC82" i="19"/>
  <c r="AT12" i="33"/>
  <c r="AC111" i="33"/>
  <c r="Z122" i="33"/>
  <c r="AC131" i="10"/>
  <c r="AX3" i="14"/>
  <c r="BA7" i="10"/>
  <c r="AO13" i="59"/>
  <c r="AD60" i="33"/>
  <c r="AR9" i="4"/>
  <c r="Z71" i="33"/>
  <c r="AX5" i="24"/>
  <c r="Z20" i="11"/>
  <c r="AD21" i="16"/>
  <c r="Z40" i="17"/>
  <c r="AA71" i="4"/>
  <c r="AC32" i="11"/>
  <c r="AX12" i="7"/>
  <c r="AR10" i="24"/>
  <c r="AX7" i="24"/>
  <c r="AD82" i="33"/>
  <c r="BA12" i="14"/>
  <c r="AC130" i="59"/>
  <c r="AD50" i="14"/>
  <c r="BA5" i="19"/>
  <c r="AD22" i="19"/>
  <c r="AA41" i="5"/>
  <c r="AC80" i="7"/>
  <c r="AX11" i="19"/>
  <c r="AD111" i="5"/>
  <c r="BA11" i="10"/>
  <c r="AA111" i="24"/>
  <c r="AA21" i="5"/>
  <c r="U19" i="57"/>
  <c r="AS3" i="14"/>
  <c r="AD81" i="19"/>
  <c r="AC100" i="4"/>
  <c r="Z20" i="16"/>
  <c r="AR13" i="5"/>
  <c r="AT7" i="10"/>
  <c r="AA52" i="24"/>
  <c r="AD32" i="14"/>
  <c r="AR7" i="14"/>
  <c r="AX6" i="19"/>
  <c r="AC51" i="24"/>
  <c r="AY15" i="14"/>
  <c r="AD42" i="5"/>
  <c r="Z51" i="11"/>
  <c r="AX10" i="16"/>
  <c r="AC80" i="16"/>
  <c r="AC40" i="33"/>
  <c r="AD20" i="19"/>
  <c r="AD132" i="5"/>
  <c r="AA72" i="17"/>
  <c r="Z121" i="59"/>
  <c r="AD70" i="4"/>
  <c r="AX11" i="14"/>
  <c r="AD100" i="14"/>
  <c r="AX5" i="59"/>
  <c r="AQ7" i="59"/>
  <c r="Z61" i="11"/>
  <c r="AT4" i="8"/>
  <c r="AA30" i="5"/>
  <c r="AA92" i="10"/>
  <c r="Z112" i="33"/>
  <c r="AB6" i="33"/>
  <c r="AR12" i="24"/>
  <c r="AD92" i="14"/>
  <c r="AR14" i="19"/>
  <c r="AD91" i="59"/>
  <c r="AC130" i="19"/>
  <c r="AA60" i="5"/>
  <c r="L21" i="57"/>
  <c r="AA50" i="4"/>
  <c r="BA13" i="16"/>
  <c r="AC90" i="24"/>
  <c r="AA81" i="10"/>
  <c r="AA72" i="10"/>
  <c r="AB11" i="10"/>
  <c r="AB10" i="10"/>
  <c r="AD90" i="14"/>
  <c r="Z81" i="7"/>
  <c r="AD42" i="10"/>
  <c r="AC82" i="7"/>
  <c r="AC70" i="14"/>
  <c r="AX6" i="14"/>
  <c r="AD40" i="14"/>
  <c r="AB9" i="24"/>
  <c r="Z51" i="33"/>
  <c r="AA71" i="10"/>
  <c r="AA41" i="33"/>
  <c r="AC72" i="5"/>
  <c r="BA6" i="5"/>
  <c r="AD61" i="33"/>
  <c r="AC132" i="14"/>
  <c r="Z132" i="33"/>
  <c r="AY13" i="37"/>
  <c r="AD80" i="33"/>
  <c r="AD61" i="16"/>
  <c r="AD92" i="7"/>
  <c r="AA82" i="16"/>
  <c r="AR9" i="19"/>
  <c r="AX8" i="11"/>
  <c r="Z132" i="24"/>
  <c r="BA9" i="34"/>
  <c r="AX13" i="10"/>
  <c r="Z72" i="16"/>
  <c r="AR14" i="20"/>
  <c r="Z101" i="14"/>
  <c r="Z72" i="19"/>
  <c r="AR5" i="16"/>
  <c r="AC81" i="24"/>
  <c r="Z50" i="4"/>
  <c r="AD122" i="10"/>
  <c r="AY10" i="14"/>
  <c r="AB11" i="4"/>
  <c r="AX9" i="15"/>
  <c r="Z80" i="20"/>
  <c r="Z60" i="33"/>
  <c r="AA131" i="4"/>
  <c r="AD131" i="14"/>
  <c r="Z52" i="19"/>
  <c r="AC121" i="59"/>
  <c r="AB16" i="7"/>
  <c r="Z112" i="7"/>
  <c r="AC52" i="33"/>
  <c r="AU7" i="59"/>
  <c r="P7" i="59"/>
  <c r="AY13" i="14"/>
  <c r="AT8" i="14"/>
  <c r="Z21" i="16"/>
  <c r="Z50" i="8"/>
  <c r="AS3" i="7"/>
  <c r="AC60" i="59"/>
  <c r="AA30" i="14"/>
  <c r="AD52" i="16"/>
  <c r="AT6" i="33"/>
  <c r="AA21" i="33"/>
  <c r="AC62" i="15"/>
  <c r="AA112" i="7"/>
  <c r="AB11" i="33"/>
  <c r="AR7" i="19"/>
  <c r="BA14" i="4"/>
  <c r="Z30" i="15"/>
  <c r="AS11" i="59"/>
  <c r="AX3" i="59"/>
  <c r="AD81" i="10"/>
  <c r="AA51" i="10"/>
  <c r="AC71" i="17"/>
  <c r="AR13" i="14"/>
  <c r="AD31" i="14"/>
  <c r="AA22" i="5"/>
  <c r="AY13" i="16"/>
  <c r="AD90" i="24"/>
  <c r="AR5" i="59"/>
  <c r="AY11" i="33"/>
  <c r="AD72" i="24"/>
  <c r="AT13" i="16"/>
  <c r="AX10" i="10"/>
  <c r="AC120" i="19"/>
  <c r="Z82" i="59"/>
  <c r="Z102" i="11"/>
  <c r="AB15" i="20"/>
  <c r="AY5" i="16"/>
  <c r="AR7" i="59"/>
  <c r="AD71" i="14"/>
  <c r="AC121" i="17"/>
  <c r="AA111" i="10"/>
  <c r="AD121" i="10"/>
  <c r="AD110" i="16"/>
  <c r="Z42" i="7"/>
  <c r="Z91" i="16"/>
  <c r="AY9" i="33"/>
  <c r="AC91" i="33"/>
  <c r="AD22" i="4"/>
  <c r="AO8" i="59"/>
  <c r="AA121" i="10"/>
  <c r="AD90" i="19"/>
  <c r="AC71" i="37"/>
  <c r="AX9" i="19"/>
  <c r="AY10" i="11"/>
  <c r="AD72" i="11"/>
  <c r="AD21" i="17"/>
  <c r="AC82" i="11"/>
  <c r="AC20" i="20"/>
  <c r="AY9" i="8"/>
  <c r="AD110" i="33"/>
  <c r="AT9" i="7"/>
  <c r="AD131" i="16"/>
  <c r="BA10" i="4"/>
  <c r="AA41" i="14"/>
  <c r="AR8" i="14"/>
  <c r="AD32" i="59"/>
  <c r="AC82" i="10"/>
  <c r="AA110" i="14"/>
  <c r="AT14" i="14"/>
  <c r="AD91" i="5"/>
  <c r="AY10" i="10"/>
  <c r="AS13" i="59"/>
  <c r="AX8" i="33"/>
  <c r="BA6" i="34"/>
  <c r="AA42" i="14"/>
  <c r="AA51" i="14"/>
  <c r="AY15" i="7"/>
  <c r="BA5" i="4"/>
  <c r="AD122" i="19"/>
  <c r="AC51" i="19"/>
  <c r="AA70" i="33"/>
  <c r="AD51" i="19"/>
  <c r="AD100" i="4"/>
  <c r="AY4" i="5"/>
  <c r="Z130" i="10"/>
  <c r="AD130" i="10"/>
  <c r="AB8" i="10"/>
  <c r="AX10" i="11"/>
  <c r="AD50" i="5"/>
  <c r="Z132" i="11"/>
  <c r="AC72" i="33"/>
  <c r="AC52" i="14"/>
  <c r="AC121" i="10"/>
  <c r="AA90" i="10"/>
  <c r="AB13" i="14"/>
  <c r="AC120" i="20"/>
  <c r="AT6" i="5"/>
  <c r="Z52" i="5"/>
  <c r="BA8" i="19"/>
  <c r="AT12" i="59"/>
  <c r="AT5" i="10"/>
  <c r="AR11" i="4"/>
  <c r="AY9" i="19"/>
  <c r="AC60" i="17"/>
  <c r="AB12" i="17"/>
  <c r="AX6" i="20"/>
  <c r="L19" i="57"/>
  <c r="AB11" i="14"/>
  <c r="AD112" i="11"/>
  <c r="AC40" i="16"/>
  <c r="AC22" i="16"/>
  <c r="AD52" i="5"/>
  <c r="AB13" i="8"/>
  <c r="AD120" i="10"/>
  <c r="AT10" i="10"/>
  <c r="AY12" i="10"/>
  <c r="AA122" i="11"/>
  <c r="AY5" i="11"/>
  <c r="AD20" i="33"/>
  <c r="AD102" i="33"/>
  <c r="AC71" i="33"/>
  <c r="BA4" i="34"/>
  <c r="AD132" i="17"/>
  <c r="AY12" i="16"/>
  <c r="Z22" i="34"/>
  <c r="AA42" i="59"/>
  <c r="AT12" i="16"/>
  <c r="Z131" i="19"/>
  <c r="AA31" i="10"/>
  <c r="AA41" i="10"/>
  <c r="AD121" i="19"/>
  <c r="BA12" i="7"/>
  <c r="AC81" i="15"/>
  <c r="AA130" i="11"/>
  <c r="AC22" i="7"/>
  <c r="BA6" i="24"/>
  <c r="AY14" i="14"/>
  <c r="AR9" i="7"/>
  <c r="AX14" i="10"/>
  <c r="AR4" i="33"/>
  <c r="AC31" i="33"/>
  <c r="AD100" i="15"/>
  <c r="AT8" i="16"/>
  <c r="AD40" i="4"/>
  <c r="AX7" i="16"/>
  <c r="BA5" i="33"/>
  <c r="AC72" i="10"/>
  <c r="Z132" i="10"/>
  <c r="AT12" i="10"/>
  <c r="AC20" i="10"/>
  <c r="BA13" i="14"/>
  <c r="Z20" i="33"/>
  <c r="Z72" i="14"/>
  <c r="AR12" i="10"/>
  <c r="O85" i="11"/>
  <c r="AX14" i="15"/>
  <c r="Z131" i="7"/>
  <c r="Z120" i="33"/>
  <c r="AA92" i="17"/>
  <c r="AD81" i="15"/>
  <c r="AB4" i="16"/>
  <c r="AX11" i="33"/>
  <c r="O76" i="60"/>
  <c r="Z42" i="19"/>
  <c r="AA62" i="10"/>
  <c r="Z30" i="34"/>
  <c r="Z62" i="11"/>
  <c r="AC21" i="19"/>
  <c r="AR14" i="59"/>
  <c r="AD122" i="5"/>
  <c r="AT15" i="10"/>
  <c r="Z111" i="16"/>
  <c r="AC51" i="14"/>
  <c r="AB12" i="14"/>
  <c r="AQ5" i="59"/>
  <c r="AY6" i="10"/>
  <c r="AB11" i="11"/>
  <c r="AY6" i="20"/>
  <c r="AX8" i="14"/>
  <c r="AR8" i="11"/>
  <c r="AA21" i="11"/>
  <c r="Z92" i="14"/>
  <c r="AD21" i="19"/>
  <c r="AD62" i="14"/>
  <c r="AD51" i="5"/>
  <c r="BA15" i="16"/>
  <c r="AC52" i="37"/>
  <c r="AX13" i="24"/>
  <c r="AD82" i="16"/>
  <c r="AD51" i="33"/>
  <c r="AC62" i="7"/>
  <c r="AC42" i="14"/>
  <c r="AT13" i="10"/>
  <c r="AD92" i="10"/>
  <c r="AT11" i="10"/>
  <c r="AD121" i="14"/>
  <c r="AC120" i="4"/>
  <c r="AA91" i="16"/>
  <c r="Z101" i="33"/>
  <c r="AB10" i="5"/>
  <c r="AX7" i="14"/>
  <c r="AT7" i="33"/>
  <c r="Z112" i="20"/>
  <c r="Z101" i="7"/>
  <c r="Z40" i="11"/>
  <c r="AA131" i="7"/>
  <c r="Z130" i="5"/>
  <c r="AD72" i="20"/>
  <c r="Z50" i="14"/>
  <c r="Z110" i="7"/>
  <c r="AD131" i="11"/>
  <c r="AA61" i="4"/>
  <c r="AA110" i="34"/>
  <c r="AC132" i="16"/>
  <c r="Z32" i="5"/>
  <c r="Z61" i="7"/>
  <c r="AC51" i="16"/>
  <c r="AD80" i="4"/>
  <c r="AA50" i="7"/>
  <c r="AC61" i="24"/>
  <c r="AC132" i="10"/>
  <c r="AB13" i="37"/>
  <c r="AD70" i="10"/>
  <c r="Z62" i="24"/>
  <c r="BA14" i="33"/>
  <c r="Z100" i="33"/>
  <c r="AA70" i="4"/>
  <c r="AR7" i="11"/>
  <c r="AR3" i="59"/>
  <c r="AA42" i="5"/>
  <c r="AA112" i="24"/>
  <c r="AD131" i="24"/>
  <c r="AA41" i="59"/>
  <c r="AD131" i="8"/>
  <c r="BA8" i="16"/>
  <c r="AR13" i="34"/>
  <c r="AT7" i="7"/>
  <c r="AC22" i="4"/>
  <c r="Z22" i="33"/>
  <c r="AC31" i="19"/>
  <c r="Z100" i="5"/>
  <c r="AD50" i="7"/>
  <c r="AD120" i="59"/>
  <c r="AD20" i="10"/>
  <c r="BA8" i="14"/>
  <c r="AA62" i="14"/>
  <c r="AR9" i="33"/>
  <c r="Z52" i="10"/>
  <c r="AD100" i="59"/>
  <c r="AC80" i="10"/>
  <c r="AC60" i="5"/>
  <c r="AA30" i="33"/>
  <c r="BA10" i="19"/>
  <c r="BA4" i="5"/>
  <c r="AC91" i="14"/>
  <c r="Z90" i="5"/>
  <c r="AA21" i="16"/>
  <c r="Z42" i="33"/>
  <c r="AY8" i="5"/>
  <c r="BA6" i="15"/>
  <c r="AD100" i="24"/>
  <c r="Z90" i="4"/>
  <c r="AA122" i="14"/>
  <c r="AC131" i="33"/>
  <c r="AB5" i="16"/>
  <c r="AD110" i="10"/>
  <c r="AA80" i="10"/>
  <c r="P13" i="59"/>
  <c r="Z41" i="33"/>
  <c r="AD60" i="14"/>
  <c r="AA72" i="5"/>
  <c r="BA9" i="7"/>
  <c r="AX15" i="14"/>
  <c r="AC62" i="33"/>
  <c r="Z52" i="24"/>
  <c r="AY9" i="16"/>
  <c r="Z132" i="19"/>
  <c r="AA62" i="24"/>
  <c r="AC60" i="20"/>
  <c r="AA82" i="34"/>
  <c r="AD61" i="59"/>
  <c r="AU10" i="59"/>
  <c r="AY6" i="16"/>
  <c r="Z101" i="10"/>
  <c r="AR9" i="14"/>
  <c r="AR13" i="24"/>
  <c r="Z51" i="34"/>
  <c r="Z21" i="59"/>
  <c r="AT14" i="33"/>
  <c r="AT11" i="33"/>
  <c r="AA50" i="14"/>
  <c r="AB8" i="33"/>
  <c r="AA102" i="33"/>
  <c r="Z60" i="24"/>
  <c r="AA111" i="4"/>
  <c r="AD82" i="7"/>
  <c r="AT8" i="19"/>
  <c r="AX5" i="7"/>
  <c r="AC110" i="10"/>
  <c r="AA72" i="11"/>
  <c r="AA132" i="17"/>
  <c r="AD62" i="59"/>
  <c r="Z70" i="19"/>
  <c r="AC131" i="17"/>
  <c r="AD40" i="10"/>
  <c r="AY7" i="59"/>
  <c r="AY10" i="33"/>
  <c r="AX11" i="37"/>
  <c r="Z22" i="19"/>
  <c r="Z22" i="10"/>
  <c r="AC110" i="33"/>
  <c r="AA70" i="59"/>
  <c r="AA82" i="33"/>
  <c r="AD70" i="11"/>
  <c r="AT15" i="7"/>
  <c r="Z81" i="24"/>
  <c r="AR6" i="33"/>
  <c r="AD90" i="7"/>
  <c r="AR5" i="37"/>
  <c r="AC112" i="59"/>
  <c r="AR12" i="5"/>
  <c r="Z91" i="59"/>
  <c r="AA20" i="5"/>
  <c r="AR11" i="7"/>
  <c r="Z131" i="4"/>
  <c r="AX4" i="4"/>
  <c r="Z91" i="14"/>
  <c r="AB16" i="14"/>
  <c r="AX15" i="33"/>
  <c r="AB12" i="10"/>
  <c r="AD60" i="7"/>
  <c r="Z90" i="10"/>
  <c r="AD61" i="20"/>
  <c r="Z82" i="33"/>
  <c r="Z90" i="14"/>
  <c r="Z40" i="33"/>
  <c r="AA71" i="14"/>
  <c r="AC52" i="7"/>
  <c r="AX12" i="14"/>
  <c r="AD111" i="19"/>
  <c r="AC30" i="7"/>
  <c r="AB4" i="19"/>
  <c r="Z121" i="16"/>
  <c r="AY12" i="14"/>
  <c r="AD131" i="10"/>
  <c r="AT12" i="19"/>
  <c r="AC60" i="37"/>
  <c r="AC30" i="19"/>
  <c r="AX14" i="19"/>
  <c r="AR10" i="59"/>
  <c r="AC130" i="10"/>
  <c r="AA41" i="4"/>
  <c r="AC102" i="15"/>
  <c r="AC50" i="24"/>
  <c r="AP10" i="59"/>
  <c r="Z132" i="59"/>
  <c r="AT13" i="34"/>
  <c r="AY10" i="37"/>
  <c r="AA102" i="14"/>
  <c r="AD100" i="16"/>
  <c r="AA51" i="33"/>
  <c r="AB10" i="7"/>
  <c r="Z130" i="17"/>
  <c r="AX14" i="5"/>
  <c r="Z61" i="14"/>
  <c r="AC110" i="14"/>
  <c r="AY6" i="34"/>
  <c r="AC132" i="5"/>
  <c r="AA92" i="24"/>
  <c r="Z22" i="17"/>
  <c r="AX12" i="11"/>
  <c r="BA8" i="33"/>
  <c r="AA100" i="10"/>
  <c r="AA70" i="10"/>
  <c r="Z41" i="59"/>
  <c r="Z81" i="8"/>
  <c r="AX9" i="34"/>
  <c r="Z112" i="19"/>
  <c r="BA5" i="11"/>
  <c r="AA132" i="33"/>
  <c r="AC32" i="4"/>
  <c r="AR11" i="10"/>
  <c r="AD132" i="33"/>
  <c r="AC110" i="7"/>
  <c r="AR12" i="59"/>
  <c r="AA22" i="7"/>
  <c r="AD92" i="59"/>
  <c r="AA51" i="4"/>
  <c r="Z110" i="5"/>
  <c r="AD80" i="59"/>
  <c r="AR5" i="19"/>
  <c r="Z71" i="16"/>
  <c r="AD52" i="19"/>
  <c r="AR6" i="10"/>
  <c r="AD50" i="16"/>
  <c r="AT16" i="16"/>
  <c r="AC120" i="33"/>
  <c r="AB8" i="11"/>
  <c r="AT8" i="10"/>
  <c r="AC112" i="33"/>
  <c r="BA12" i="11"/>
  <c r="AY4" i="7"/>
  <c r="AD80" i="24"/>
  <c r="AD32" i="16"/>
  <c r="Z111" i="33"/>
  <c r="AC80" i="20"/>
  <c r="AD41" i="7"/>
  <c r="AC101" i="33"/>
  <c r="AA80" i="14"/>
  <c r="AD30" i="16"/>
  <c r="AB16" i="10"/>
  <c r="Z100" i="16"/>
  <c r="AX6" i="24"/>
  <c r="BA13" i="10"/>
  <c r="AC102" i="14"/>
  <c r="AC80" i="14"/>
  <c r="AA112" i="10"/>
  <c r="AA40" i="14"/>
  <c r="AC51" i="33"/>
  <c r="AD111" i="7"/>
  <c r="Z102" i="7"/>
  <c r="AA92" i="19"/>
  <c r="AD92" i="5"/>
  <c r="AD101" i="7"/>
  <c r="AD50" i="33"/>
  <c r="AA80" i="11"/>
  <c r="AA80" i="16"/>
  <c r="AD112" i="17"/>
  <c r="BA5" i="7"/>
  <c r="AY14" i="5"/>
  <c r="AU12" i="59"/>
  <c r="AA101" i="16"/>
  <c r="Z122" i="5"/>
  <c r="AA42" i="37"/>
  <c r="AD70" i="20"/>
  <c r="AD101" i="14"/>
  <c r="AC101" i="10"/>
  <c r="AC71" i="16"/>
  <c r="AD91" i="10"/>
  <c r="AA91" i="10"/>
  <c r="AR11" i="33"/>
  <c r="AC92" i="16"/>
  <c r="Z51" i="14"/>
  <c r="AO7" i="59"/>
  <c r="AC50" i="16"/>
  <c r="AT16" i="15"/>
  <c r="AA112" i="19"/>
  <c r="Z72" i="7"/>
  <c r="AC60" i="33"/>
  <c r="Z132" i="4"/>
  <c r="AC92" i="19"/>
  <c r="Z102" i="19"/>
  <c r="AR4" i="14"/>
  <c r="AR14" i="10"/>
  <c r="AA61" i="7"/>
  <c r="Z50" i="20"/>
  <c r="AY5" i="7"/>
  <c r="AT6" i="10"/>
  <c r="Z42" i="15"/>
  <c r="AC90" i="11"/>
  <c r="AD40" i="11"/>
  <c r="Z131" i="14"/>
  <c r="Z130" i="33"/>
  <c r="AA91" i="33"/>
  <c r="AY9" i="14"/>
  <c r="AR15" i="15"/>
  <c r="Z90" i="7"/>
  <c r="AS3" i="19"/>
  <c r="AC110" i="16"/>
  <c r="Z122" i="10"/>
  <c r="AD92" i="33"/>
  <c r="AD122" i="33"/>
  <c r="AY13" i="10"/>
  <c r="AC42" i="17"/>
  <c r="AC32" i="5"/>
  <c r="AD42" i="19"/>
  <c r="AR10" i="4"/>
  <c r="AA122" i="16"/>
  <c r="Z91" i="33"/>
  <c r="AD110" i="17"/>
  <c r="AC102" i="33"/>
  <c r="AR6" i="24"/>
  <c r="BA15" i="37"/>
  <c r="AD112" i="37"/>
  <c r="AB13" i="11"/>
  <c r="Z42" i="20"/>
  <c r="AD20" i="20"/>
  <c r="AT13" i="19"/>
  <c r="AD112" i="7"/>
  <c r="AR10" i="10"/>
  <c r="Z81" i="14"/>
  <c r="AD41" i="19"/>
  <c r="AR11" i="19"/>
  <c r="AC72" i="11"/>
  <c r="Z122" i="11"/>
  <c r="Z61" i="59"/>
  <c r="AC30" i="34"/>
  <c r="AY4" i="16"/>
  <c r="AS4" i="59"/>
  <c r="Z100" i="24"/>
  <c r="AC102" i="8"/>
  <c r="AX10" i="8"/>
  <c r="AD122" i="16"/>
  <c r="AC40" i="15"/>
  <c r="AC102" i="10"/>
  <c r="AR5" i="24"/>
  <c r="AA21" i="59"/>
  <c r="Z112" i="16"/>
  <c r="AD102" i="14"/>
  <c r="AD41" i="14"/>
  <c r="AC31" i="4"/>
  <c r="AA92" i="16"/>
  <c r="AY6" i="33"/>
  <c r="AC70" i="33"/>
  <c r="AD90" i="11"/>
  <c r="BA4" i="16"/>
  <c r="AC90" i="10"/>
  <c r="Z21" i="7"/>
  <c r="AD81" i="4"/>
  <c r="AD72" i="37"/>
  <c r="AD91" i="11"/>
  <c r="AA41" i="16"/>
  <c r="AT4" i="14"/>
  <c r="AA72" i="19"/>
  <c r="AD61" i="10"/>
  <c r="Z30" i="14"/>
  <c r="AD81" i="33"/>
  <c r="O135" i="11"/>
  <c r="AC111" i="10"/>
  <c r="AB12" i="16"/>
  <c r="AA131" i="14"/>
  <c r="Z60" i="10"/>
  <c r="AC82" i="14"/>
  <c r="AS3" i="33"/>
  <c r="AA60" i="33"/>
  <c r="AR12" i="19"/>
  <c r="AA91" i="37"/>
  <c r="AU6" i="59"/>
  <c r="AC100" i="15"/>
  <c r="Z90" i="24"/>
  <c r="AX7" i="33"/>
  <c r="BA8" i="10"/>
  <c r="AC70" i="19"/>
  <c r="AR4" i="10"/>
  <c r="AR15" i="10"/>
  <c r="AC112" i="7"/>
  <c r="AA60" i="19"/>
  <c r="Z20" i="19"/>
  <c r="AC100" i="33"/>
  <c r="AO15" i="59"/>
  <c r="AA81" i="59"/>
  <c r="AD132" i="59"/>
  <c r="AA41" i="17"/>
  <c r="AC81" i="37"/>
  <c r="AC100" i="10"/>
  <c r="AD111" i="33"/>
  <c r="BA15" i="59"/>
  <c r="Z71" i="59"/>
  <c r="BA10" i="16"/>
  <c r="AX10" i="33"/>
  <c r="AQ3" i="34"/>
  <c r="BA9" i="19"/>
  <c r="AB6" i="16"/>
  <c r="AA111" i="16"/>
  <c r="AA131" i="11"/>
  <c r="AC42" i="59"/>
  <c r="AB5" i="7"/>
  <c r="AD100" i="11"/>
  <c r="AD120" i="33"/>
  <c r="AT13" i="14"/>
  <c r="Z20" i="14"/>
  <c r="Z92" i="33"/>
  <c r="AB13" i="33"/>
  <c r="AY10" i="19"/>
  <c r="Z62" i="33"/>
  <c r="AC52" i="4"/>
  <c r="Z82" i="16"/>
  <c r="AD101" i="19"/>
  <c r="Z92" i="34"/>
  <c r="AR14" i="7"/>
  <c r="Z131" i="33"/>
  <c r="Z40" i="15"/>
  <c r="AY8" i="4"/>
  <c r="BA9" i="59"/>
  <c r="AT11" i="14"/>
  <c r="AD32" i="5"/>
  <c r="BA12" i="59"/>
  <c r="AD72" i="10"/>
  <c r="AC71" i="59"/>
  <c r="AC60" i="7"/>
  <c r="AT9" i="14"/>
  <c r="AD111" i="14"/>
  <c r="Z71" i="24"/>
  <c r="Z70" i="33"/>
  <c r="AX10" i="15"/>
  <c r="AA92" i="11"/>
  <c r="AR14" i="14"/>
  <c r="AR14" i="5"/>
  <c r="AA61" i="14"/>
  <c r="AA52" i="7"/>
  <c r="AB16" i="19"/>
  <c r="AC131" i="24"/>
  <c r="AY13" i="34"/>
  <c r="AB15" i="14"/>
  <c r="BA11" i="37"/>
  <c r="AC72" i="24"/>
  <c r="AD62" i="17"/>
  <c r="AC70" i="7"/>
  <c r="Z72" i="8"/>
  <c r="AD112" i="59"/>
  <c r="AA100" i="15"/>
  <c r="AB12" i="7"/>
  <c r="AD40" i="37"/>
  <c r="AD100" i="5"/>
  <c r="AA32" i="8"/>
  <c r="AA132" i="24"/>
  <c r="AC61" i="14"/>
  <c r="BA13" i="33"/>
  <c r="AA32" i="19"/>
  <c r="Z22" i="14"/>
  <c r="AD52" i="33"/>
  <c r="AB8" i="5"/>
  <c r="AT7" i="20"/>
  <c r="AC62" i="10"/>
  <c r="AC91" i="59"/>
  <c r="AA22" i="14"/>
  <c r="AR13" i="16"/>
  <c r="AD130" i="16"/>
  <c r="AA90" i="19"/>
  <c r="AD72" i="33"/>
  <c r="Z120" i="4"/>
  <c r="AT16" i="10"/>
  <c r="AA102" i="10"/>
  <c r="AD112" i="5"/>
  <c r="Z130" i="19"/>
  <c r="AC42" i="15"/>
  <c r="AC41" i="7"/>
  <c r="AR5" i="5"/>
  <c r="AC72" i="14"/>
  <c r="AD60" i="5"/>
  <c r="AD22" i="33"/>
  <c r="AA80" i="33"/>
  <c r="Z41" i="11"/>
  <c r="AA21" i="19"/>
  <c r="AC112" i="14"/>
  <c r="AD61" i="17"/>
  <c r="AD132" i="19"/>
  <c r="AC70" i="10"/>
  <c r="AT6" i="59"/>
  <c r="AT12" i="24"/>
  <c r="BA5" i="10"/>
  <c r="AY6" i="14"/>
  <c r="Z80" i="19"/>
  <c r="AD22" i="8"/>
  <c r="AC90" i="7"/>
  <c r="AC112" i="5"/>
  <c r="AX4" i="16"/>
  <c r="AD111" i="10"/>
  <c r="AA130" i="14"/>
  <c r="AA20" i="14"/>
  <c r="AB13" i="19"/>
  <c r="Z42" i="10"/>
  <c r="AT11" i="16"/>
  <c r="Z42" i="4"/>
  <c r="Z130" i="15"/>
  <c r="BA13" i="19"/>
  <c r="AB16" i="34"/>
  <c r="AT8" i="33"/>
  <c r="AX8" i="19"/>
  <c r="AA80" i="59"/>
  <c r="AC52" i="19"/>
  <c r="BA15" i="15"/>
  <c r="AD31" i="10"/>
  <c r="AA60" i="14"/>
  <c r="AA40" i="5"/>
  <c r="Z71" i="5"/>
  <c r="AR15" i="5"/>
  <c r="AD91" i="33"/>
  <c r="AA90" i="59"/>
  <c r="AY15" i="19"/>
  <c r="Z21" i="14"/>
  <c r="AX11" i="11"/>
  <c r="BA8" i="11"/>
  <c r="AA21" i="37"/>
  <c r="AR8" i="33"/>
  <c r="AX4" i="7"/>
  <c r="AA30" i="10"/>
  <c r="Z91" i="11"/>
  <c r="AP6" i="59"/>
  <c r="AT5" i="24"/>
  <c r="Z30" i="5"/>
  <c r="AC42" i="19"/>
  <c r="Z21" i="15"/>
  <c r="AX3" i="16"/>
  <c r="Z111" i="10"/>
  <c r="AA101" i="10"/>
  <c r="AP7" i="59"/>
  <c r="BA8" i="17"/>
  <c r="AR5" i="8"/>
  <c r="AT14" i="15"/>
  <c r="AU9" i="59"/>
  <c r="AA112" i="16"/>
  <c r="AD131" i="33"/>
  <c r="AR7" i="33"/>
  <c r="AC102" i="16"/>
  <c r="AC50" i="33"/>
  <c r="AC30" i="14"/>
  <c r="AB15" i="19"/>
  <c r="AA71" i="59"/>
  <c r="AD70" i="14"/>
  <c r="AB10" i="16"/>
  <c r="Z112" i="5"/>
  <c r="Z111" i="14"/>
  <c r="AT8" i="5"/>
  <c r="Z101" i="16"/>
  <c r="AC92" i="10"/>
  <c r="AB11" i="5"/>
  <c r="AA22" i="10"/>
  <c r="BA5" i="14"/>
  <c r="BA11" i="16"/>
  <c r="AR6" i="5"/>
  <c r="AA80" i="19"/>
  <c r="Z41" i="19"/>
  <c r="Z80" i="10"/>
  <c r="AC30" i="10"/>
  <c r="AB14" i="33"/>
  <c r="Z121" i="5"/>
  <c r="AR12" i="15"/>
  <c r="Z102" i="5"/>
  <c r="AC122" i="14"/>
  <c r="AA70" i="14"/>
  <c r="AA111" i="17"/>
  <c r="Z121" i="8"/>
  <c r="Z100" i="17"/>
  <c r="AD72" i="16"/>
  <c r="AA31" i="33"/>
  <c r="AC122" i="19"/>
  <c r="AX8" i="17"/>
  <c r="AD22" i="14"/>
  <c r="AC62" i="11"/>
  <c r="AD71" i="15"/>
  <c r="AC130" i="5"/>
  <c r="AA132" i="59"/>
  <c r="AA82" i="5"/>
  <c r="AX4" i="33"/>
  <c r="AX3" i="11"/>
  <c r="AB10" i="34"/>
  <c r="AA100" i="14"/>
  <c r="AD32" i="33"/>
  <c r="AY15" i="33"/>
  <c r="BA11" i="14"/>
  <c r="AD110" i="59"/>
  <c r="AC62" i="4"/>
  <c r="AX9" i="16"/>
  <c r="AA51" i="7"/>
  <c r="Z110" i="19"/>
  <c r="AD50" i="24"/>
  <c r="Z61" i="10"/>
  <c r="AD91" i="16"/>
  <c r="AC111" i="19"/>
  <c r="AD72" i="4"/>
  <c r="BA4" i="24"/>
  <c r="Z120" i="10"/>
  <c r="AY4" i="33"/>
  <c r="Z31" i="14"/>
  <c r="AA120" i="14"/>
  <c r="AC92" i="33"/>
  <c r="AY10" i="4"/>
  <c r="AP3" i="59"/>
  <c r="AA42" i="10"/>
  <c r="Z61" i="19"/>
  <c r="AD130" i="11"/>
  <c r="AA90" i="33"/>
  <c r="AC110" i="19"/>
  <c r="AD20" i="5"/>
  <c r="Z41" i="10"/>
  <c r="AT7" i="19"/>
  <c r="BA8" i="7"/>
  <c r="AA20" i="10"/>
  <c r="AA52" i="10"/>
  <c r="AC120" i="16"/>
  <c r="AT10" i="14"/>
  <c r="AC91" i="10"/>
  <c r="Z120" i="14"/>
  <c r="AD40" i="33"/>
  <c r="AX3" i="5"/>
  <c r="Z72" i="10"/>
  <c r="AX14" i="59"/>
  <c r="AA111" i="15"/>
  <c r="BA9" i="24"/>
  <c r="AD82" i="37"/>
  <c r="AA70" i="8"/>
  <c r="AA130" i="20"/>
  <c r="Z60" i="8"/>
  <c r="AD20" i="14"/>
  <c r="BA7" i="16"/>
  <c r="AB13" i="15"/>
  <c r="AC41" i="10"/>
  <c r="Z71" i="20"/>
  <c r="AA112" i="4"/>
  <c r="O116" i="60"/>
  <c r="AC100" i="59"/>
  <c r="BA6" i="33"/>
  <c r="Z22" i="4"/>
  <c r="AA42" i="19"/>
  <c r="AD120" i="11"/>
  <c r="AB14" i="59"/>
  <c r="AB5" i="14"/>
  <c r="AC40" i="10"/>
  <c r="AA121" i="14"/>
  <c r="Z131" i="16"/>
  <c r="BA7" i="33"/>
  <c r="Z30" i="4"/>
  <c r="AX5" i="33"/>
  <c r="AC40" i="14"/>
  <c r="AD51" i="16"/>
  <c r="AB9" i="14"/>
  <c r="AC20" i="14"/>
  <c r="AA72" i="20"/>
  <c r="AD22" i="59"/>
  <c r="AA81" i="14"/>
  <c r="AC30" i="15"/>
  <c r="Z132" i="14"/>
  <c r="AX11" i="7"/>
  <c r="Z51" i="10"/>
  <c r="AB12" i="34"/>
  <c r="AA62" i="33"/>
  <c r="AY13" i="24"/>
  <c r="AQ4" i="59"/>
  <c r="Z31" i="10"/>
  <c r="AD72" i="17"/>
  <c r="AD101" i="33"/>
  <c r="AY9" i="10"/>
  <c r="AA70" i="11"/>
  <c r="AB7" i="33"/>
  <c r="AY6" i="19"/>
  <c r="AB5" i="4"/>
  <c r="AD60" i="8"/>
  <c r="AD41" i="34"/>
  <c r="AC60" i="8"/>
  <c r="AA40" i="20"/>
  <c r="AX12" i="4"/>
  <c r="AC41" i="17"/>
  <c r="Z62" i="8"/>
  <c r="Z121" i="17"/>
  <c r="AC32" i="17"/>
  <c r="AD121" i="15"/>
  <c r="AS6" i="59"/>
  <c r="AR12" i="6"/>
  <c r="AT16" i="37"/>
  <c r="AX13" i="22"/>
  <c r="BA4" i="35"/>
  <c r="Z30" i="22"/>
  <c r="AC42" i="22"/>
  <c r="AX13" i="11"/>
  <c r="AC80" i="33"/>
  <c r="BA5" i="35"/>
  <c r="Z130" i="11"/>
  <c r="AA21" i="17"/>
  <c r="Z41" i="24"/>
  <c r="AX15" i="24"/>
  <c r="AT6" i="11"/>
  <c r="AD90" i="16"/>
  <c r="O96" i="4"/>
  <c r="AD121" i="16"/>
  <c r="AA52" i="20"/>
  <c r="Z22" i="16"/>
  <c r="AA51" i="20"/>
  <c r="AD42" i="37"/>
  <c r="AC42" i="34"/>
  <c r="AA91" i="4"/>
  <c r="AD30" i="59"/>
  <c r="Z80" i="59"/>
  <c r="AY6" i="6"/>
  <c r="AD51" i="35"/>
  <c r="AD130" i="4"/>
  <c r="AD20" i="24"/>
  <c r="BA5" i="59"/>
  <c r="AD91" i="17"/>
  <c r="Z80" i="17"/>
  <c r="AD70" i="7"/>
  <c r="AC20" i="15"/>
  <c r="AR8" i="15"/>
  <c r="AC111" i="11"/>
  <c r="AB4" i="20"/>
  <c r="AD121" i="20"/>
  <c r="AC61" i="8"/>
  <c r="AC71" i="7"/>
  <c r="Z32" i="35"/>
  <c r="Z132" i="20"/>
  <c r="AB4" i="35"/>
  <c r="AC81" i="33"/>
  <c r="AT10" i="24"/>
  <c r="AC50" i="7"/>
  <c r="AX15" i="8"/>
  <c r="Z30" i="20"/>
  <c r="AC121" i="16"/>
  <c r="Z30" i="19"/>
  <c r="AB9" i="37"/>
  <c r="Z100" i="8"/>
  <c r="Z91" i="37"/>
  <c r="AD90" i="15"/>
  <c r="Z132" i="34"/>
  <c r="BA8" i="22"/>
  <c r="BA10" i="22"/>
  <c r="Z51" i="59"/>
  <c r="AD71" i="11"/>
  <c r="BA11" i="17"/>
  <c r="AA81" i="6"/>
  <c r="AD100" i="20"/>
  <c r="AR15" i="24"/>
  <c r="Z131" i="11"/>
  <c r="AY13" i="8"/>
  <c r="AD110" i="15"/>
  <c r="AD122" i="17"/>
  <c r="AC81" i="8"/>
  <c r="AA121" i="4"/>
  <c r="AA100" i="59"/>
  <c r="AD20" i="11"/>
  <c r="BA11" i="34"/>
  <c r="AB13" i="17"/>
  <c r="AC52" i="20"/>
  <c r="AR6" i="37"/>
  <c r="Z121" i="22"/>
  <c r="AC22" i="8"/>
  <c r="AT14" i="7"/>
  <c r="AA100" i="5"/>
  <c r="Z61" i="33"/>
  <c r="AY7" i="33"/>
  <c r="AC132" i="11"/>
  <c r="AD131" i="19"/>
  <c r="AA20" i="16"/>
  <c r="AD41" i="10"/>
  <c r="AD120" i="14"/>
  <c r="AY5" i="33"/>
  <c r="AB13" i="20"/>
  <c r="AC62" i="14"/>
  <c r="AC32" i="7"/>
  <c r="AA20" i="19"/>
  <c r="AA52" i="33"/>
  <c r="AT5" i="7"/>
  <c r="AY12" i="7"/>
  <c r="AD130" i="33"/>
  <c r="AX6" i="10"/>
  <c r="AZ4" i="59"/>
  <c r="Z112" i="24"/>
  <c r="AC51" i="37"/>
  <c r="Z92" i="15"/>
  <c r="AD80" i="10"/>
  <c r="AA21" i="14"/>
  <c r="AC100" i="5"/>
  <c r="Z120" i="7"/>
  <c r="AT15" i="4"/>
  <c r="AB15" i="33"/>
  <c r="Z110" i="24"/>
  <c r="AX14" i="4"/>
  <c r="Z102" i="8"/>
  <c r="AD102" i="20"/>
  <c r="Z60" i="19"/>
  <c r="Z32" i="7"/>
  <c r="AA92" i="4"/>
  <c r="AD22" i="15"/>
  <c r="AY11" i="14"/>
  <c r="AQ3" i="7"/>
  <c r="Z71" i="4"/>
  <c r="AD40" i="59"/>
  <c r="AS3" i="20"/>
  <c r="AA130" i="19"/>
  <c r="AU13" i="59"/>
  <c r="O35" i="60"/>
  <c r="AD60" i="35"/>
  <c r="AB6" i="15"/>
  <c r="AA72" i="59"/>
  <c r="AY11" i="37"/>
  <c r="AB6" i="6"/>
  <c r="P14" i="59"/>
  <c r="Z72" i="35"/>
  <c r="AB15" i="11"/>
  <c r="AT7" i="4"/>
  <c r="AB12" i="4"/>
  <c r="AC130" i="20"/>
  <c r="AD120" i="37"/>
  <c r="AB5" i="11"/>
  <c r="AY12" i="19"/>
  <c r="AX5" i="5"/>
  <c r="Z52" i="8"/>
  <c r="AC111" i="37"/>
  <c r="Z70" i="20"/>
  <c r="Z82" i="8"/>
  <c r="AD21" i="24"/>
  <c r="AD30" i="17"/>
  <c r="AD51" i="11"/>
  <c r="AA21" i="34"/>
  <c r="AD90" i="8"/>
  <c r="AA130" i="8"/>
  <c r="AA70" i="6"/>
  <c r="AD92" i="37"/>
  <c r="Z101" i="22"/>
  <c r="AB15" i="5"/>
  <c r="AB7" i="37"/>
  <c r="BA7" i="19"/>
  <c r="AD60" i="4"/>
  <c r="AX13" i="59"/>
  <c r="BA5" i="37"/>
  <c r="AA82" i="37"/>
  <c r="AD32" i="20"/>
  <c r="AY10" i="5"/>
  <c r="AC70" i="11"/>
  <c r="AA121" i="35"/>
  <c r="AX9" i="22"/>
  <c r="AC111" i="20"/>
  <c r="AT9" i="17"/>
  <c r="AY13" i="33"/>
  <c r="AC131" i="8"/>
  <c r="Z51" i="20"/>
  <c r="AA120" i="17"/>
  <c r="AA100" i="33"/>
  <c r="AT5" i="5"/>
  <c r="AX7" i="15"/>
  <c r="AC100" i="17"/>
  <c r="AC62" i="19"/>
  <c r="AX5" i="17"/>
  <c r="AD92" i="15"/>
  <c r="AD62" i="5"/>
  <c r="AX14" i="33"/>
  <c r="Z72" i="6"/>
  <c r="AD61" i="8"/>
  <c r="Z132" i="22"/>
  <c r="Z101" i="11"/>
  <c r="AT13" i="37"/>
  <c r="AD131" i="6"/>
  <c r="AD62" i="37"/>
  <c r="P8" i="59"/>
  <c r="AA131" i="59"/>
  <c r="AD101" i="11"/>
  <c r="AC20" i="8"/>
  <c r="AA30" i="20"/>
  <c r="AS9" i="59"/>
  <c r="Z102" i="59"/>
  <c r="AB14" i="19"/>
  <c r="AB12" i="19"/>
  <c r="AC22" i="14"/>
  <c r="AD121" i="7"/>
  <c r="AA101" i="14"/>
  <c r="AY9" i="59"/>
  <c r="AA110" i="4"/>
  <c r="AC50" i="19"/>
  <c r="AA32" i="5"/>
  <c r="AT14" i="10"/>
  <c r="AY8" i="14"/>
  <c r="AC111" i="14"/>
  <c r="AC130" i="15"/>
  <c r="AY4" i="15"/>
  <c r="AX8" i="5"/>
  <c r="AC112" i="16"/>
  <c r="O115" i="11"/>
  <c r="AA81" i="19"/>
  <c r="Z102" i="10"/>
  <c r="AA102" i="19"/>
  <c r="AB8" i="16"/>
  <c r="AX11" i="10"/>
  <c r="Z71" i="14"/>
  <c r="BA11" i="11"/>
  <c r="AA40" i="10"/>
  <c r="AA50" i="10"/>
  <c r="Z91" i="7"/>
  <c r="AX7" i="59"/>
  <c r="AR14" i="16"/>
  <c r="AD81" i="11"/>
  <c r="Z51" i="19"/>
  <c r="Z60" i="16"/>
  <c r="AB9" i="33"/>
  <c r="AR13" i="19"/>
  <c r="AR9" i="37"/>
  <c r="AC22" i="5"/>
  <c r="Z31" i="4"/>
  <c r="AD21" i="20"/>
  <c r="AQ11" i="59"/>
  <c r="O55" i="11"/>
  <c r="AY8" i="59"/>
  <c r="AB14" i="8"/>
  <c r="AC52" i="5"/>
  <c r="AD52" i="10"/>
  <c r="AB9" i="19"/>
  <c r="AT11" i="22"/>
  <c r="AO14" i="59"/>
  <c r="AA101" i="15"/>
  <c r="Z70" i="37"/>
  <c r="AR8" i="8"/>
  <c r="AR10" i="37"/>
  <c r="AB4" i="7"/>
  <c r="AD32" i="6"/>
  <c r="AD42" i="34"/>
  <c r="AC20" i="59"/>
  <c r="AS16" i="59"/>
  <c r="AA30" i="59"/>
  <c r="AR13" i="7"/>
  <c r="AD72" i="5"/>
  <c r="AA81" i="20"/>
  <c r="AB4" i="15"/>
  <c r="AC122" i="4"/>
  <c r="AX15" i="15"/>
  <c r="AD110" i="4"/>
  <c r="AB16" i="37"/>
  <c r="AT9" i="34"/>
  <c r="AC62" i="6"/>
  <c r="AD52" i="35"/>
  <c r="AC62" i="35"/>
  <c r="AD81" i="59"/>
  <c r="Z112" i="6"/>
  <c r="BA8" i="6"/>
  <c r="AD50" i="59"/>
  <c r="AC40" i="20"/>
  <c r="AY4" i="6"/>
  <c r="AC130" i="14"/>
  <c r="AA20" i="15"/>
  <c r="AR4" i="4"/>
  <c r="AD32" i="10"/>
  <c r="Z32" i="16"/>
  <c r="AX5" i="8"/>
  <c r="AY7" i="19"/>
  <c r="AD61" i="7"/>
  <c r="AD111" i="34"/>
  <c r="AR12" i="14"/>
  <c r="AD21" i="5"/>
  <c r="Z82" i="6"/>
  <c r="AX9" i="6"/>
  <c r="AD130" i="22"/>
  <c r="AR11" i="5"/>
  <c r="AC40" i="24"/>
  <c r="AA31" i="17"/>
  <c r="Z90" i="37"/>
  <c r="AR11" i="34"/>
  <c r="AD91" i="8"/>
  <c r="AC100" i="7"/>
  <c r="AR15" i="14"/>
  <c r="AD60" i="10"/>
  <c r="AD112" i="16"/>
  <c r="Z32" i="34"/>
  <c r="AC91" i="7"/>
  <c r="AC21" i="37"/>
  <c r="AA61" i="37"/>
  <c r="AT10" i="17"/>
  <c r="BA11" i="20"/>
  <c r="Z112" i="11"/>
  <c r="AA20" i="8"/>
  <c r="AC20" i="24"/>
  <c r="AB14" i="17"/>
  <c r="O66" i="33"/>
  <c r="AB7" i="6"/>
  <c r="AD72" i="14"/>
  <c r="Z50" i="24"/>
  <c r="AR14" i="17"/>
  <c r="AD71" i="19"/>
  <c r="AD50" i="19"/>
  <c r="AC110" i="4"/>
  <c r="AD131" i="15"/>
  <c r="AT13" i="7"/>
  <c r="AY14" i="37"/>
  <c r="BA8" i="8"/>
  <c r="BA14" i="19"/>
  <c r="AA72" i="34"/>
  <c r="Z52" i="22"/>
  <c r="AC110" i="24"/>
  <c r="AA120" i="7"/>
  <c r="AS15" i="59"/>
  <c r="AT16" i="5"/>
  <c r="AB13" i="5"/>
  <c r="Z51" i="16"/>
  <c r="AA122" i="5"/>
  <c r="AA51" i="16"/>
  <c r="Z110" i="10"/>
  <c r="Z72" i="11"/>
  <c r="AA81" i="16"/>
  <c r="AR10" i="16"/>
  <c r="Z31" i="33"/>
  <c r="AB4" i="10"/>
  <c r="AD82" i="19"/>
  <c r="Z111" i="20"/>
  <c r="AC121" i="14"/>
  <c r="AB16" i="33"/>
  <c r="AA121" i="16"/>
  <c r="Z122" i="7"/>
  <c r="AB10" i="19"/>
  <c r="AC71" i="10"/>
  <c r="BA9" i="8"/>
  <c r="BA4" i="14"/>
  <c r="AA30" i="4"/>
  <c r="AR14" i="33"/>
  <c r="AB9" i="11"/>
  <c r="AA91" i="11"/>
  <c r="Z32" i="10"/>
  <c r="AA81" i="33"/>
  <c r="AX9" i="5"/>
  <c r="AB16" i="24"/>
  <c r="Z121" i="33"/>
  <c r="Z120" i="11"/>
  <c r="AX12" i="33"/>
  <c r="Z50" i="17"/>
  <c r="Z82" i="10"/>
  <c r="AC91" i="11"/>
  <c r="AA100" i="16"/>
  <c r="AY15" i="5"/>
  <c r="BA9" i="17"/>
  <c r="Z20" i="17"/>
  <c r="AA70" i="17"/>
  <c r="AC81" i="59"/>
  <c r="AA101" i="17"/>
  <c r="AD72" i="8"/>
  <c r="AR9" i="35"/>
  <c r="AX5" i="11"/>
  <c r="AR12" i="8"/>
  <c r="AT12" i="8"/>
  <c r="AA30" i="37"/>
  <c r="AC22" i="34"/>
  <c r="Z112" i="37"/>
  <c r="AY7" i="20"/>
  <c r="AY11" i="34"/>
  <c r="AA20" i="6"/>
  <c r="AY4" i="10"/>
  <c r="AC30" i="20"/>
  <c r="AX13" i="4"/>
  <c r="AA81" i="5"/>
  <c r="AQ15" i="59"/>
  <c r="BA15" i="20"/>
  <c r="Z61" i="15"/>
  <c r="AD21" i="34"/>
  <c r="AS3" i="5"/>
  <c r="AX9" i="7"/>
  <c r="AA110" i="33"/>
  <c r="AA110" i="5"/>
  <c r="AC130" i="22"/>
  <c r="AD31" i="22"/>
  <c r="Z121" i="6"/>
  <c r="AB12" i="24"/>
  <c r="AC92" i="35"/>
  <c r="AQ3" i="22"/>
  <c r="AC102" i="19"/>
  <c r="Z131" i="35"/>
  <c r="AA92" i="5"/>
  <c r="AD30" i="33"/>
  <c r="AB15" i="4"/>
  <c r="Z72" i="20"/>
  <c r="Z70" i="4"/>
  <c r="Z130" i="37"/>
  <c r="BA4" i="59"/>
  <c r="AA41" i="24"/>
  <c r="AC40" i="8"/>
  <c r="AD70" i="59"/>
  <c r="AD50" i="34"/>
  <c r="AR8" i="16"/>
  <c r="Z80" i="35"/>
  <c r="AA70" i="22"/>
  <c r="BA9" i="6"/>
  <c r="AD92" i="8"/>
  <c r="AA80" i="7"/>
  <c r="AC90" i="8"/>
  <c r="AX4" i="24"/>
  <c r="AA120" i="5"/>
  <c r="AP13" i="59"/>
  <c r="AA40" i="59"/>
  <c r="AD111" i="17"/>
  <c r="AA51" i="59"/>
  <c r="AD22" i="34"/>
  <c r="AA42" i="8"/>
  <c r="Q7" i="57"/>
  <c r="AA112" i="8"/>
  <c r="AX12" i="17"/>
  <c r="AT6" i="22"/>
  <c r="O106" i="34"/>
  <c r="AD91" i="37"/>
  <c r="AS3" i="35"/>
  <c r="Z102" i="35"/>
  <c r="AY4" i="34"/>
  <c r="AA70" i="37"/>
  <c r="AB5" i="20"/>
  <c r="Z111" i="19"/>
  <c r="AY11" i="16"/>
  <c r="AC50" i="17"/>
  <c r="AX14" i="17"/>
  <c r="AD40" i="5"/>
  <c r="AC130" i="4"/>
  <c r="AX7" i="8"/>
  <c r="AR9" i="8"/>
  <c r="AT12" i="37"/>
  <c r="AQ3" i="20"/>
  <c r="AB8" i="8"/>
  <c r="Z91" i="4"/>
  <c r="AX8" i="22"/>
  <c r="AR15" i="6"/>
  <c r="AC32" i="59"/>
  <c r="Z90" i="34"/>
  <c r="AY15" i="16"/>
  <c r="AD122" i="20"/>
  <c r="AC121" i="5"/>
  <c r="AA22" i="19"/>
  <c r="AX6" i="5"/>
  <c r="BA6" i="37"/>
  <c r="AR13" i="33"/>
  <c r="Z30" i="7"/>
  <c r="Z122" i="16"/>
  <c r="BA14" i="10"/>
  <c r="AT8" i="20"/>
  <c r="AY7" i="5"/>
  <c r="Z130" i="4"/>
  <c r="Z42" i="14"/>
  <c r="AR5" i="14"/>
  <c r="AU14" i="59"/>
  <c r="BA5" i="20"/>
  <c r="AX13" i="16"/>
  <c r="Z51" i="5"/>
  <c r="AT4" i="16"/>
  <c r="Z131" i="10"/>
  <c r="AD61" i="5"/>
  <c r="AC120" i="10"/>
  <c r="O65" i="11"/>
  <c r="AD71" i="33"/>
  <c r="AT15" i="16"/>
  <c r="AX5" i="10"/>
  <c r="Z31" i="59"/>
  <c r="AY8" i="8"/>
  <c r="BA12" i="10"/>
  <c r="AA132" i="14"/>
  <c r="AA82" i="10"/>
  <c r="AD41" i="16"/>
  <c r="AT6" i="16"/>
  <c r="AD52" i="11"/>
  <c r="AA50" i="8"/>
  <c r="AX10" i="59"/>
  <c r="BA12" i="17"/>
  <c r="Z91" i="24"/>
  <c r="AA51" i="34"/>
  <c r="Z110" i="59"/>
  <c r="AD82" i="8"/>
  <c r="AT7" i="16"/>
  <c r="AD31" i="37"/>
  <c r="AR11" i="22"/>
  <c r="Z22" i="35"/>
  <c r="AS12" i="59"/>
  <c r="AY8" i="6"/>
  <c r="AA112" i="35"/>
  <c r="AC101" i="6"/>
  <c r="AY8" i="37"/>
  <c r="AR6" i="20"/>
  <c r="AC82" i="15"/>
  <c r="AT16" i="33"/>
  <c r="AA100" i="4"/>
  <c r="AD100" i="34"/>
  <c r="Z60" i="14"/>
  <c r="AY10" i="24"/>
  <c r="BA9" i="20"/>
  <c r="AC40" i="7"/>
  <c r="BA6" i="10"/>
  <c r="AA42" i="7"/>
  <c r="AT16" i="17"/>
  <c r="Z60" i="15"/>
  <c r="AC121" i="8"/>
  <c r="BA12" i="8"/>
  <c r="AR7" i="34"/>
  <c r="Z112" i="34"/>
  <c r="AX12" i="59"/>
  <c r="AD130" i="17"/>
  <c r="Z50" i="22"/>
  <c r="AY15" i="37"/>
  <c r="AD111" i="6"/>
  <c r="AC31" i="17"/>
  <c r="AR10" i="19"/>
  <c r="Z91" i="10"/>
  <c r="Z112" i="8"/>
  <c r="AX8" i="24"/>
  <c r="BA15" i="24"/>
  <c r="AY14" i="7"/>
  <c r="AC101" i="37"/>
  <c r="AA31" i="16"/>
  <c r="Z120" i="37"/>
  <c r="AA22" i="20"/>
  <c r="AX4" i="8"/>
  <c r="AB15" i="15"/>
  <c r="AY12" i="24"/>
  <c r="AD60" i="24"/>
  <c r="AC40" i="4"/>
  <c r="AC51" i="34"/>
  <c r="AA132" i="37"/>
  <c r="BA13" i="34"/>
  <c r="AY9" i="11"/>
  <c r="AR9" i="5"/>
  <c r="AD51" i="34"/>
  <c r="AT5" i="59"/>
  <c r="AR15" i="34"/>
  <c r="AB7" i="5"/>
  <c r="AB10" i="8"/>
  <c r="AD91" i="6"/>
  <c r="AA122" i="7"/>
  <c r="BA7" i="4"/>
  <c r="Z32" i="17"/>
  <c r="Z21" i="34"/>
  <c r="AS3" i="8"/>
  <c r="Z112" i="22"/>
  <c r="AA71" i="22"/>
  <c r="AD80" i="35"/>
  <c r="AP8" i="59"/>
  <c r="AC51" i="22"/>
  <c r="AB13" i="24"/>
  <c r="AB15" i="24"/>
  <c r="AC41" i="11"/>
  <c r="AB9" i="17"/>
  <c r="BA14" i="15"/>
  <c r="AA41" i="7"/>
  <c r="AC21" i="10"/>
  <c r="AC31" i="24"/>
  <c r="AX8" i="59"/>
  <c r="Z51" i="37"/>
  <c r="O76" i="11"/>
  <c r="AA122" i="17"/>
  <c r="AT16" i="24"/>
  <c r="AC40" i="35"/>
  <c r="AC72" i="8"/>
  <c r="AY7" i="11"/>
  <c r="AB6" i="5"/>
  <c r="Z60" i="7"/>
  <c r="AD82" i="14"/>
  <c r="AA92" i="14"/>
  <c r="AA90" i="5"/>
  <c r="AC92" i="14"/>
  <c r="AD122" i="14"/>
  <c r="Z132" i="5"/>
  <c r="AC131" i="59"/>
  <c r="Z81" i="19"/>
  <c r="AB14" i="10"/>
  <c r="BA7" i="14"/>
  <c r="BA10" i="59"/>
  <c r="AR6" i="34"/>
  <c r="Z70" i="7"/>
  <c r="AC22" i="10"/>
  <c r="AX5" i="16"/>
  <c r="AC62" i="5"/>
  <c r="AC21" i="14"/>
  <c r="AC100" i="11"/>
  <c r="AR10" i="33"/>
  <c r="AC70" i="8"/>
  <c r="AT12" i="17"/>
  <c r="AA71" i="24"/>
  <c r="AR11" i="16"/>
  <c r="Z92" i="10"/>
  <c r="AA112" i="14"/>
  <c r="AC32" i="10"/>
  <c r="AA110" i="7"/>
  <c r="AD82" i="11"/>
  <c r="AD90" i="10"/>
  <c r="AT15" i="15"/>
  <c r="Z41" i="16"/>
  <c r="AX12" i="24"/>
  <c r="AX15" i="7"/>
  <c r="AT7" i="24"/>
  <c r="AA30" i="17"/>
  <c r="AA80" i="15"/>
  <c r="Z32" i="19"/>
  <c r="O36" i="4"/>
  <c r="BA7" i="17"/>
  <c r="AC51" i="10"/>
  <c r="AA120" i="11"/>
  <c r="AD60" i="19"/>
  <c r="Z51" i="4"/>
  <c r="AD132" i="20"/>
  <c r="AA92" i="15"/>
  <c r="AT15" i="34"/>
  <c r="Z80" i="22"/>
  <c r="AC20" i="5"/>
  <c r="Z21" i="20"/>
  <c r="AA132" i="5"/>
  <c r="Z92" i="17"/>
  <c r="AA51" i="35"/>
  <c r="BA10" i="15"/>
  <c r="AA60" i="59"/>
  <c r="AA100" i="34"/>
  <c r="AD101" i="16"/>
  <c r="AT14" i="16"/>
  <c r="AY10" i="15"/>
  <c r="Z111" i="34"/>
  <c r="AR10" i="20"/>
  <c r="AT10" i="19"/>
  <c r="Z30" i="17"/>
  <c r="AD42" i="14"/>
  <c r="AA71" i="35"/>
  <c r="AC110" i="15"/>
  <c r="AD92" i="6"/>
  <c r="AD82" i="24"/>
  <c r="Z90" i="22"/>
  <c r="Z102" i="34"/>
  <c r="AR7" i="16"/>
  <c r="AX8" i="20"/>
  <c r="AC102" i="22"/>
  <c r="AD32" i="35"/>
  <c r="AS14" i="59"/>
  <c r="BA12" i="20"/>
  <c r="Z91" i="15"/>
  <c r="AT5" i="20"/>
  <c r="AA100" i="20"/>
  <c r="AR4" i="17"/>
  <c r="AA52" i="59"/>
  <c r="BA12" i="37"/>
  <c r="AD62" i="7"/>
  <c r="Z82" i="15"/>
  <c r="AC50" i="37"/>
  <c r="AD60" i="6"/>
  <c r="AD51" i="8"/>
  <c r="Z22" i="11"/>
  <c r="AB6" i="19"/>
  <c r="AA62" i="11"/>
  <c r="AA132" i="4"/>
  <c r="AY4" i="14"/>
  <c r="AY13" i="7"/>
  <c r="Z21" i="17"/>
  <c r="AA90" i="37"/>
  <c r="AA91" i="17"/>
  <c r="AA30" i="15"/>
  <c r="AA111" i="14"/>
  <c r="AA82" i="59"/>
  <c r="AD22" i="6"/>
  <c r="Z40" i="19"/>
  <c r="BA10" i="8"/>
  <c r="AB14" i="11"/>
  <c r="AA20" i="17"/>
  <c r="AA80" i="6"/>
  <c r="AQ3" i="6"/>
  <c r="Z121" i="11"/>
  <c r="Z131" i="59"/>
  <c r="AT9" i="37"/>
  <c r="AQ13" i="59"/>
  <c r="AA132" i="34"/>
  <c r="AD81" i="37"/>
  <c r="AT16" i="14"/>
  <c r="L20" i="57"/>
  <c r="AC31" i="7"/>
  <c r="AX14" i="20"/>
  <c r="AX6" i="37"/>
  <c r="AY10" i="17"/>
  <c r="AC92" i="5"/>
  <c r="AR7" i="20"/>
  <c r="AT15" i="20"/>
  <c r="AB15" i="22"/>
  <c r="AT16" i="59"/>
  <c r="AC121" i="15"/>
  <c r="AA101" i="59"/>
  <c r="Z52" i="34"/>
  <c r="AD22" i="10"/>
  <c r="AX9" i="14"/>
  <c r="AC101" i="5"/>
  <c r="AA40" i="33"/>
  <c r="AC70" i="17"/>
  <c r="AA32" i="33"/>
  <c r="AR7" i="10"/>
  <c r="AA40" i="16"/>
  <c r="AT11" i="5"/>
  <c r="AD71" i="10"/>
  <c r="AC122" i="34"/>
  <c r="BA15" i="33"/>
  <c r="AA122" i="8"/>
  <c r="AC60" i="11"/>
  <c r="AC100" i="16"/>
  <c r="AR6" i="11"/>
  <c r="BA9" i="10"/>
  <c r="AX3" i="19"/>
  <c r="AT11" i="15"/>
  <c r="AT9" i="59"/>
  <c r="AC122" i="16"/>
  <c r="Z50" i="33"/>
  <c r="AA61" i="33"/>
  <c r="AA41" i="11"/>
  <c r="AA92" i="33"/>
  <c r="AX7" i="4"/>
  <c r="Z120" i="16"/>
  <c r="AD32" i="15"/>
  <c r="AB13" i="10"/>
  <c r="Z40" i="16"/>
  <c r="Z90" i="33"/>
  <c r="O26" i="16"/>
  <c r="AY15" i="11"/>
  <c r="AD81" i="20"/>
  <c r="AD21" i="37"/>
  <c r="BA5" i="34"/>
  <c r="Z20" i="37"/>
  <c r="AA62" i="34"/>
  <c r="AB7" i="20"/>
  <c r="AC131" i="5"/>
  <c r="AD100" i="10"/>
  <c r="AX11" i="24"/>
  <c r="AC122" i="20"/>
  <c r="AS3" i="22"/>
  <c r="AY4" i="37"/>
  <c r="AB15" i="10"/>
  <c r="AD111" i="4"/>
  <c r="AD31" i="8"/>
  <c r="AD120" i="34"/>
  <c r="AY8" i="24"/>
  <c r="AB16" i="17"/>
  <c r="AR4" i="6"/>
  <c r="AA22" i="22"/>
  <c r="AD82" i="5"/>
  <c r="AC70" i="16"/>
  <c r="Z30" i="33"/>
  <c r="Z101" i="5"/>
  <c r="AC92" i="37"/>
  <c r="AB11" i="24"/>
  <c r="AT10" i="59"/>
  <c r="Z110" i="20"/>
  <c r="Z121" i="37"/>
  <c r="AC51" i="4"/>
  <c r="AD40" i="24"/>
  <c r="AX11" i="35"/>
  <c r="BA4" i="37"/>
  <c r="AA31" i="35"/>
  <c r="AC82" i="59"/>
  <c r="AR14" i="22"/>
  <c r="AC61" i="15"/>
  <c r="AC41" i="8"/>
  <c r="AS3" i="6"/>
  <c r="Z52" i="17"/>
  <c r="AD122" i="7"/>
  <c r="AD51" i="4"/>
  <c r="Z60" i="20"/>
  <c r="AX9" i="17"/>
  <c r="Z81" i="59"/>
  <c r="AD22" i="24"/>
  <c r="AC50" i="10"/>
  <c r="Z21" i="33"/>
  <c r="AC32" i="37"/>
  <c r="AA31" i="34"/>
  <c r="AQ8" i="59"/>
  <c r="AD31" i="33"/>
  <c r="O86" i="34"/>
  <c r="AB7" i="22"/>
  <c r="AY11" i="10"/>
  <c r="AD132" i="37"/>
  <c r="AC51" i="11"/>
  <c r="AA81" i="7"/>
  <c r="BA15" i="11"/>
  <c r="AX10" i="24"/>
  <c r="AR8" i="34"/>
  <c r="Z92" i="4"/>
  <c r="AA101" i="37"/>
  <c r="AD30" i="37"/>
  <c r="AA101" i="7"/>
  <c r="Z131" i="24"/>
  <c r="Z21" i="37"/>
  <c r="AD70" i="35"/>
  <c r="AA32" i="35"/>
  <c r="BA13" i="11"/>
  <c r="AD30" i="7"/>
  <c r="AD42" i="35"/>
  <c r="AC72" i="17"/>
  <c r="AA31" i="7"/>
  <c r="AA120" i="8"/>
  <c r="Z110" i="4"/>
  <c r="Z72" i="17"/>
  <c r="AC91" i="37"/>
  <c r="BA13" i="7"/>
  <c r="AD102" i="11"/>
  <c r="AB4" i="5"/>
  <c r="AY9" i="24"/>
  <c r="AR9" i="20"/>
  <c r="AC70" i="20"/>
  <c r="AA102" i="5"/>
  <c r="AC60" i="4"/>
  <c r="AA120" i="6"/>
  <c r="AR9" i="22"/>
  <c r="AD70" i="22"/>
  <c r="AA40" i="24"/>
  <c r="AC60" i="14"/>
  <c r="AA82" i="4"/>
  <c r="AS8" i="59"/>
  <c r="AA62" i="5"/>
  <c r="BA15" i="14"/>
  <c r="AO12" i="59"/>
  <c r="Z122" i="14"/>
  <c r="AR9" i="10"/>
  <c r="AC102" i="17"/>
  <c r="AD51" i="14"/>
  <c r="AC132" i="7"/>
  <c r="AC100" i="19"/>
  <c r="AR14" i="24"/>
  <c r="AA111" i="11"/>
  <c r="AA32" i="10"/>
  <c r="AC52" i="10"/>
  <c r="AC20" i="16"/>
  <c r="AD41" i="5"/>
  <c r="AD130" i="5"/>
  <c r="AD130" i="37"/>
  <c r="AT5" i="34"/>
  <c r="AA122" i="34"/>
  <c r="AC50" i="8"/>
  <c r="AC61" i="16"/>
  <c r="AB8" i="14"/>
  <c r="AA71" i="33"/>
  <c r="AX9" i="59"/>
  <c r="Z62" i="4"/>
  <c r="AD52" i="20"/>
  <c r="AC100" i="14"/>
  <c r="AQ3" i="19"/>
  <c r="AC21" i="7"/>
  <c r="AT6" i="7"/>
  <c r="AB14" i="14"/>
  <c r="Z42" i="8"/>
  <c r="BA9" i="33"/>
  <c r="AR5" i="7"/>
  <c r="AT8" i="7"/>
  <c r="AY6" i="24"/>
  <c r="BA12" i="34"/>
  <c r="AY4" i="20"/>
  <c r="AO11" i="59"/>
  <c r="AB15" i="59"/>
  <c r="AT13" i="33"/>
  <c r="AA61" i="8"/>
  <c r="AC22" i="20"/>
  <c r="AD112" i="20"/>
  <c r="Z111" i="7"/>
  <c r="Z40" i="22"/>
  <c r="AC132" i="35"/>
  <c r="AC31" i="8"/>
  <c r="O136" i="20"/>
  <c r="BA9" i="35"/>
  <c r="AD120" i="17"/>
  <c r="AA121" i="8"/>
  <c r="AC22" i="22"/>
  <c r="AA111" i="33"/>
  <c r="AD41" i="8"/>
  <c r="Z102" i="14"/>
  <c r="AR4" i="37"/>
  <c r="AB5" i="59"/>
  <c r="AT11" i="8"/>
  <c r="BA12" i="24"/>
  <c r="AT11" i="4"/>
  <c r="AR15" i="8"/>
  <c r="AC92" i="24"/>
  <c r="AQ14" i="59"/>
  <c r="BA8" i="24"/>
  <c r="O36" i="16"/>
  <c r="AB7" i="8"/>
  <c r="AA22" i="6"/>
  <c r="AA60" i="8"/>
  <c r="AT11" i="37"/>
  <c r="AX15" i="22"/>
  <c r="AB5" i="35"/>
  <c r="AA52" i="15"/>
  <c r="AA81" i="8"/>
  <c r="AC81" i="5"/>
  <c r="AC61" i="17"/>
  <c r="Z72" i="24"/>
  <c r="AC112" i="17"/>
  <c r="AA111" i="37"/>
  <c r="Z50" i="59"/>
  <c r="Z30" i="59"/>
  <c r="AU16" i="59"/>
  <c r="AR14" i="37"/>
  <c r="AC112" i="11"/>
  <c r="AA101" i="34"/>
  <c r="AQ3" i="17"/>
  <c r="O56" i="20"/>
  <c r="AX11" i="22"/>
  <c r="AD122" i="24"/>
  <c r="AC81" i="10"/>
  <c r="AC42" i="24"/>
  <c r="AY4" i="19"/>
  <c r="Z112" i="4"/>
  <c r="AC61" i="37"/>
  <c r="AB4" i="24"/>
  <c r="AX14" i="34"/>
  <c r="AZ12" i="59"/>
  <c r="AY5" i="24"/>
  <c r="Z111" i="35"/>
  <c r="Z32" i="11"/>
  <c r="AA131" i="19"/>
  <c r="Z52" i="35"/>
  <c r="AD50" i="15"/>
  <c r="AY11" i="19"/>
  <c r="AA50" i="15"/>
  <c r="AA102" i="24"/>
  <c r="AD22" i="35"/>
  <c r="BA10" i="17"/>
  <c r="AB5" i="34"/>
  <c r="AC112" i="4"/>
  <c r="AB4" i="11"/>
  <c r="AD40" i="8"/>
  <c r="AD132" i="11"/>
  <c r="Z81" i="37"/>
  <c r="Z40" i="8"/>
  <c r="AC131" i="11"/>
  <c r="AD111" i="8"/>
  <c r="AC110" i="5"/>
  <c r="AD71" i="17"/>
  <c r="Z71" i="37"/>
  <c r="AC31" i="6"/>
  <c r="AD40" i="19"/>
  <c r="AB5" i="5"/>
  <c r="AD21" i="14"/>
  <c r="AD80" i="16"/>
  <c r="AD91" i="34"/>
  <c r="AA20" i="34"/>
  <c r="AR5" i="33"/>
  <c r="AD21" i="7"/>
  <c r="BA11" i="33"/>
  <c r="AD20" i="16"/>
  <c r="AC132" i="33"/>
  <c r="AQ3" i="11"/>
  <c r="AC20" i="33"/>
  <c r="BA15" i="5"/>
  <c r="AD120" i="15"/>
  <c r="Z52" i="37"/>
  <c r="AY13" i="6"/>
  <c r="AC32" i="20"/>
  <c r="Z42" i="59"/>
  <c r="AA112" i="33"/>
  <c r="AC110" i="59"/>
  <c r="AY12" i="20"/>
  <c r="AX8" i="16"/>
  <c r="AA61" i="34"/>
  <c r="AA31" i="6"/>
  <c r="Z42" i="37"/>
  <c r="AC40" i="37"/>
  <c r="AB7" i="34"/>
  <c r="Z20" i="20"/>
  <c r="AD31" i="11"/>
  <c r="BA10" i="10"/>
  <c r="AC40" i="22"/>
  <c r="AR5" i="4"/>
  <c r="AC122" i="17"/>
  <c r="AT5" i="11"/>
  <c r="AA40" i="8"/>
  <c r="AX3" i="24"/>
  <c r="Z42" i="11"/>
  <c r="AR4" i="11"/>
  <c r="AD71" i="37"/>
  <c r="AD102" i="22"/>
  <c r="AD120" i="16"/>
  <c r="AT9" i="19"/>
  <c r="Z132" i="37"/>
  <c r="AA31" i="15"/>
  <c r="AA60" i="4"/>
  <c r="BA14" i="7"/>
  <c r="AD110" i="34"/>
  <c r="Z92" i="19"/>
  <c r="AC81" i="17"/>
  <c r="AU4" i="59"/>
  <c r="AB14" i="35"/>
  <c r="Z92" i="20"/>
  <c r="AA51" i="5"/>
  <c r="AR5" i="6"/>
  <c r="AD60" i="22"/>
  <c r="AD31" i="34"/>
  <c r="AD62" i="20"/>
  <c r="AA91" i="35"/>
  <c r="AA71" i="5"/>
  <c r="BA9" i="14"/>
  <c r="AR7" i="24"/>
  <c r="O125" i="11"/>
  <c r="AC132" i="15"/>
  <c r="AT16" i="34"/>
  <c r="AA40" i="15"/>
  <c r="AA130" i="15"/>
  <c r="AA22" i="34"/>
  <c r="AD80" i="15"/>
  <c r="AT10" i="7"/>
  <c r="AB8" i="37"/>
  <c r="AX6" i="17"/>
  <c r="Q10" i="57"/>
  <c r="Z30" i="37"/>
  <c r="Z71" i="17"/>
  <c r="AQ3" i="37"/>
  <c r="Z40" i="35"/>
  <c r="AA22" i="8"/>
  <c r="AR15" i="37"/>
  <c r="AC100" i="35"/>
  <c r="AX6" i="11"/>
  <c r="AY6" i="5"/>
  <c r="AA130" i="16"/>
  <c r="AA82" i="17"/>
  <c r="AX13" i="34"/>
  <c r="AA130" i="17"/>
  <c r="AA80" i="20"/>
  <c r="AT8" i="8"/>
  <c r="AD91" i="19"/>
  <c r="Z31" i="19"/>
  <c r="AT12" i="22"/>
  <c r="Z32" i="59"/>
  <c r="O26" i="60"/>
  <c r="AA31" i="20"/>
  <c r="AA100" i="37"/>
  <c r="AD72" i="22"/>
  <c r="BA13" i="37"/>
  <c r="AZ14" i="59"/>
  <c r="AD30" i="8"/>
  <c r="AA42" i="20"/>
  <c r="AR4" i="19"/>
  <c r="AT15" i="14"/>
  <c r="Z60" i="59"/>
  <c r="AT9" i="8"/>
  <c r="AY11" i="8"/>
  <c r="AA62" i="19"/>
  <c r="AR6" i="17"/>
  <c r="AC102" i="7"/>
  <c r="AC71" i="5"/>
  <c r="BA10" i="37"/>
  <c r="AB5" i="6"/>
  <c r="AC32" i="24"/>
  <c r="AY5" i="17"/>
  <c r="O96" i="5"/>
  <c r="AA61" i="24"/>
  <c r="O116" i="8"/>
  <c r="AA51" i="6"/>
  <c r="AT8" i="22"/>
  <c r="AB11" i="20"/>
  <c r="AA32" i="7"/>
  <c r="AD111" i="59"/>
  <c r="AC90" i="59"/>
  <c r="AR4" i="24"/>
  <c r="Z110" i="34"/>
  <c r="AZ5" i="59"/>
  <c r="O26" i="19"/>
  <c r="AC72" i="37"/>
  <c r="AB13" i="35"/>
  <c r="O106" i="24"/>
  <c r="AR10" i="6"/>
  <c r="O116" i="17"/>
  <c r="Z31" i="22"/>
  <c r="P11" i="59"/>
  <c r="AA30" i="11"/>
  <c r="AX3" i="20"/>
  <c r="AA42" i="22"/>
  <c r="AB12" i="35"/>
  <c r="BA6" i="35"/>
  <c r="AC80" i="22"/>
  <c r="AD131" i="35"/>
  <c r="Z20" i="6"/>
  <c r="AR7" i="6"/>
  <c r="AD122" i="11"/>
  <c r="AX14" i="7"/>
  <c r="AO4" i="59"/>
  <c r="AX7" i="5"/>
  <c r="AD80" i="19"/>
  <c r="AT14" i="4"/>
  <c r="AB9" i="59"/>
  <c r="AQ3" i="33"/>
  <c r="AT5" i="33"/>
  <c r="Z52" i="33"/>
  <c r="AC20" i="7"/>
  <c r="Z70" i="14"/>
  <c r="AC130" i="33"/>
  <c r="AD112" i="14"/>
  <c r="AX4" i="10"/>
  <c r="AC91" i="4"/>
  <c r="AT14" i="19"/>
  <c r="AC91" i="15"/>
  <c r="AD50" i="37"/>
  <c r="Z110" i="6"/>
  <c r="AS3" i="17"/>
  <c r="AC60" i="34"/>
  <c r="AD61" i="19"/>
  <c r="AC21" i="24"/>
  <c r="AC91" i="24"/>
  <c r="AR6" i="15"/>
  <c r="AC41" i="37"/>
  <c r="AB16" i="15"/>
  <c r="Z102" i="22"/>
  <c r="AC51" i="17"/>
  <c r="AB4" i="33"/>
  <c r="AA72" i="7"/>
  <c r="AD31" i="59"/>
  <c r="AA102" i="22"/>
  <c r="AA130" i="7"/>
  <c r="AC120" i="11"/>
  <c r="AT15" i="37"/>
  <c r="AA132" i="35"/>
  <c r="AB15" i="7"/>
  <c r="AC51" i="59"/>
  <c r="AD122" i="22"/>
  <c r="AD30" i="20"/>
  <c r="BA13" i="24"/>
  <c r="AC31" i="11"/>
  <c r="AA132" i="20"/>
  <c r="AC121" i="35"/>
  <c r="AD32" i="19"/>
  <c r="AB16" i="11"/>
  <c r="BA9" i="16"/>
  <c r="AR8" i="5"/>
  <c r="AR7" i="8"/>
  <c r="AQ12" i="59"/>
  <c r="Z61" i="4"/>
  <c r="AX10" i="4"/>
  <c r="AD111" i="37"/>
  <c r="AX4" i="15"/>
  <c r="AY7" i="37"/>
  <c r="AA81" i="37"/>
  <c r="Z101" i="24"/>
  <c r="AD92" i="22"/>
  <c r="AC70" i="22"/>
  <c r="AT8" i="15"/>
  <c r="AD20" i="34"/>
  <c r="AY15" i="6"/>
  <c r="AY12" i="35"/>
  <c r="AC80" i="11"/>
  <c r="AA71" i="34"/>
  <c r="AC50" i="20"/>
  <c r="AC52" i="15"/>
  <c r="AC102" i="5"/>
  <c r="AX15" i="5"/>
  <c r="AA102" i="17"/>
  <c r="AX3" i="15"/>
  <c r="AC21" i="33"/>
  <c r="AD120" i="19"/>
  <c r="AC120" i="37"/>
  <c r="Z102" i="16"/>
  <c r="AC120" i="22"/>
  <c r="U21" i="57"/>
  <c r="AA102" i="4"/>
  <c r="BA10" i="35"/>
  <c r="Z131" i="5"/>
  <c r="AA22" i="11"/>
  <c r="Z22" i="15"/>
  <c r="AY4" i="35"/>
  <c r="AY4" i="11"/>
  <c r="Q5" i="57"/>
  <c r="AX12" i="10"/>
  <c r="AA122" i="10"/>
  <c r="AT7" i="37"/>
  <c r="AY13" i="17"/>
  <c r="AR15" i="17"/>
  <c r="AB12" i="5"/>
  <c r="AC101" i="19"/>
  <c r="AA120" i="10"/>
  <c r="AX7" i="19"/>
  <c r="AX13" i="35"/>
  <c r="AC120" i="6"/>
  <c r="AR13" i="17"/>
  <c r="BA9" i="5"/>
  <c r="BA13" i="22"/>
  <c r="AC50" i="22"/>
  <c r="AX15" i="34"/>
  <c r="BA12" i="33"/>
  <c r="AA112" i="5"/>
  <c r="AD62" i="22"/>
  <c r="AA72" i="14"/>
  <c r="Z50" i="11"/>
  <c r="AA61" i="10"/>
  <c r="BA12" i="19"/>
  <c r="AB13" i="59"/>
  <c r="AD21" i="4"/>
  <c r="AA60" i="20"/>
  <c r="Z130" i="8"/>
  <c r="AY7" i="14"/>
  <c r="AB13" i="7"/>
  <c r="P4" i="59"/>
  <c r="AA121" i="6"/>
  <c r="AC71" i="35"/>
  <c r="Z110" i="17"/>
  <c r="AB10" i="4"/>
  <c r="Z101" i="6"/>
  <c r="AA122" i="6"/>
  <c r="Z100" i="20"/>
  <c r="AC110" i="17"/>
  <c r="AA30" i="34"/>
  <c r="AT6" i="34"/>
  <c r="AT10" i="8"/>
  <c r="BA15" i="7"/>
  <c r="AD52" i="22"/>
  <c r="AA21" i="24"/>
  <c r="AA130" i="35"/>
  <c r="AX14" i="6"/>
  <c r="AY14" i="16"/>
  <c r="BA6" i="16"/>
  <c r="AA50" i="22"/>
  <c r="AX9" i="37"/>
  <c r="AC21" i="5"/>
  <c r="AT4" i="59"/>
  <c r="AA112" i="34"/>
  <c r="AD52" i="8"/>
  <c r="AR14" i="8"/>
  <c r="AR10" i="35"/>
  <c r="AA32" i="6"/>
  <c r="AC32" i="22"/>
  <c r="O96" i="33"/>
  <c r="AA90" i="11"/>
  <c r="AR7" i="22"/>
  <c r="AX4" i="6"/>
  <c r="Z41" i="5"/>
  <c r="AT13" i="11"/>
  <c r="AY14" i="11"/>
  <c r="AB11" i="8"/>
  <c r="Z20" i="10"/>
  <c r="Z122" i="59"/>
  <c r="AY13" i="5"/>
  <c r="AA132" i="15"/>
  <c r="AY12" i="33"/>
  <c r="AD110" i="14"/>
  <c r="Z22" i="7"/>
  <c r="Z131" i="37"/>
  <c r="AX13" i="14"/>
  <c r="AA31" i="19"/>
  <c r="AD70" i="8"/>
  <c r="AB16" i="5"/>
  <c r="AC80" i="37"/>
  <c r="AD41" i="17"/>
  <c r="AC122" i="35"/>
  <c r="AY14" i="34"/>
  <c r="AD50" i="22"/>
  <c r="AD80" i="20"/>
  <c r="AA51" i="11"/>
  <c r="AD22" i="37"/>
  <c r="AC30" i="11"/>
  <c r="AD101" i="24"/>
  <c r="AY14" i="22"/>
  <c r="AC30" i="5"/>
  <c r="AU8" i="59"/>
  <c r="AC40" i="5"/>
  <c r="O136" i="5"/>
  <c r="AT8" i="11"/>
  <c r="AT9" i="11"/>
  <c r="AC31" i="20"/>
  <c r="AD130" i="15"/>
  <c r="AD32" i="37"/>
  <c r="BA15" i="6"/>
  <c r="AX6" i="8"/>
  <c r="AB5" i="19"/>
  <c r="BA15" i="35"/>
  <c r="AC132" i="19"/>
  <c r="BA10" i="24"/>
  <c r="BA7" i="11"/>
  <c r="Z101" i="15"/>
  <c r="AT11" i="11"/>
  <c r="O66" i="60"/>
  <c r="AA111" i="7"/>
  <c r="AC80" i="34"/>
  <c r="AS3" i="16"/>
  <c r="AX4" i="37"/>
  <c r="AC61" i="20"/>
  <c r="BA15" i="10"/>
  <c r="AA110" i="24"/>
  <c r="AT15" i="59"/>
  <c r="AC52" i="24"/>
  <c r="AD61" i="14"/>
  <c r="AC111" i="59"/>
  <c r="AC42" i="11"/>
  <c r="AB7" i="59"/>
  <c r="AC20" i="35"/>
  <c r="Z132" i="7"/>
  <c r="AB7" i="24"/>
  <c r="AD42" i="4"/>
  <c r="AD122" i="35"/>
  <c r="Z20" i="34"/>
  <c r="Z31" i="35"/>
  <c r="AX6" i="33"/>
  <c r="AC20" i="11"/>
  <c r="BA14" i="14"/>
  <c r="AA131" i="16"/>
  <c r="AX14" i="24"/>
  <c r="AU11" i="59"/>
  <c r="AT8" i="34"/>
  <c r="AY7" i="16"/>
  <c r="Z92" i="16"/>
  <c r="Z41" i="15"/>
  <c r="Z72" i="34"/>
  <c r="AD102" i="35"/>
  <c r="AC30" i="33"/>
  <c r="BA8" i="34"/>
  <c r="AC52" i="11"/>
  <c r="AA32" i="37"/>
  <c r="AY4" i="22"/>
  <c r="AD50" i="4"/>
  <c r="AA52" i="4"/>
  <c r="AD112" i="34"/>
  <c r="Z70" i="22"/>
  <c r="AR5" i="10"/>
  <c r="AA122" i="24"/>
  <c r="AX4" i="5"/>
  <c r="Z22" i="59"/>
  <c r="AT15" i="19"/>
  <c r="AD62" i="34"/>
  <c r="Z62" i="7"/>
  <c r="AA121" i="7"/>
  <c r="AC41" i="24"/>
  <c r="AS3" i="59"/>
  <c r="AA31" i="24"/>
  <c r="Z72" i="5"/>
  <c r="AD132" i="15"/>
  <c r="AC71" i="24"/>
  <c r="AD130" i="20"/>
  <c r="AY12" i="6"/>
  <c r="BA12" i="22"/>
  <c r="AA100" i="8"/>
  <c r="AT10" i="16"/>
  <c r="AC30" i="37"/>
  <c r="AA122" i="35"/>
  <c r="AX10" i="14"/>
  <c r="Z100" i="7"/>
  <c r="AD131" i="20"/>
  <c r="AC110" i="34"/>
  <c r="AD60" i="17"/>
  <c r="AA61" i="20"/>
  <c r="AA32" i="15"/>
  <c r="AD31" i="16"/>
  <c r="AB10" i="15"/>
  <c r="AT9" i="24"/>
  <c r="AX10" i="17"/>
  <c r="AA131" i="22"/>
  <c r="AA72" i="22"/>
  <c r="AY11" i="20"/>
  <c r="AA121" i="19"/>
  <c r="AD30" i="6"/>
  <c r="Z110" i="22"/>
  <c r="AT5" i="17"/>
  <c r="AD122" i="34"/>
  <c r="AA80" i="22"/>
  <c r="AD80" i="7"/>
  <c r="AY6" i="4"/>
  <c r="AA32" i="20"/>
  <c r="BA7" i="24"/>
  <c r="AT6" i="15"/>
  <c r="O126" i="33"/>
  <c r="AA110" i="6"/>
  <c r="AD90" i="35"/>
  <c r="AA21" i="22"/>
  <c r="Z22" i="22"/>
  <c r="AD101" i="34"/>
  <c r="AX9" i="20"/>
  <c r="O36" i="7"/>
  <c r="AX12" i="37"/>
  <c r="AT11" i="20"/>
  <c r="AD62" i="6"/>
  <c r="Z111" i="17"/>
  <c r="AC32" i="35"/>
  <c r="AD80" i="34"/>
  <c r="AB5" i="24"/>
  <c r="AT12" i="35"/>
  <c r="AY15" i="22"/>
  <c r="AA110" i="8"/>
  <c r="AC32" i="33"/>
  <c r="AT12" i="34"/>
  <c r="AA120" i="37"/>
  <c r="AC40" i="59"/>
  <c r="Z102" i="33"/>
  <c r="Z52" i="59"/>
  <c r="AC101" i="16"/>
  <c r="AD42" i="33"/>
  <c r="Z32" i="14"/>
  <c r="AX4" i="14"/>
  <c r="AD61" i="24"/>
  <c r="Z70" i="10"/>
  <c r="Z82" i="34"/>
  <c r="AC41" i="5"/>
  <c r="AA40" i="7"/>
  <c r="AD31" i="7"/>
  <c r="O126" i="19"/>
  <c r="Z130" i="34"/>
  <c r="AY8" i="22"/>
  <c r="AC90" i="22"/>
  <c r="AY15" i="34"/>
  <c r="AD112" i="4"/>
  <c r="AC101" i="59"/>
  <c r="AA52" i="8"/>
  <c r="Z90" i="17"/>
  <c r="AA92" i="22"/>
  <c r="AC50" i="15"/>
  <c r="AA50" i="17"/>
  <c r="AD92" i="16"/>
  <c r="AY5" i="19"/>
  <c r="AX12" i="15"/>
  <c r="Z31" i="34"/>
  <c r="Z72" i="22"/>
  <c r="AA70" i="16"/>
  <c r="AZ13" i="59"/>
  <c r="AT4" i="11"/>
  <c r="O36" i="11"/>
  <c r="AB5" i="22"/>
  <c r="AC92" i="17"/>
  <c r="AR15" i="35"/>
  <c r="AA60" i="16"/>
  <c r="Z122" i="4"/>
  <c r="AX13" i="17"/>
  <c r="AC92" i="8"/>
  <c r="AU5" i="59"/>
  <c r="AB16" i="4"/>
  <c r="AB8" i="59"/>
  <c r="AC41" i="34"/>
  <c r="AC91" i="20"/>
  <c r="AB6" i="7"/>
  <c r="AC120" i="24"/>
  <c r="AD22" i="11"/>
  <c r="Z70" i="59"/>
  <c r="AA60" i="34"/>
  <c r="AD50" i="20"/>
  <c r="Z101" i="59"/>
  <c r="AA130" i="34"/>
  <c r="AY8" i="34"/>
  <c r="AA90" i="6"/>
  <c r="Z91" i="5"/>
  <c r="AX5" i="22"/>
  <c r="AA30" i="24"/>
  <c r="AD102" i="16"/>
  <c r="AA60" i="11"/>
  <c r="AB11" i="59"/>
  <c r="AC42" i="37"/>
  <c r="Z50" i="35"/>
  <c r="Z80" i="4"/>
  <c r="AT7" i="11"/>
  <c r="AB13" i="34"/>
  <c r="AA71" i="37"/>
  <c r="AD132" i="24"/>
  <c r="AX15" i="17"/>
  <c r="AC92" i="4"/>
  <c r="AY15" i="15"/>
  <c r="AA121" i="15"/>
  <c r="AX7" i="17"/>
  <c r="Z51" i="17"/>
  <c r="AC50" i="11"/>
  <c r="AA40" i="17"/>
  <c r="AA31" i="11"/>
  <c r="AD131" i="37"/>
  <c r="AT11" i="59"/>
  <c r="AT8" i="35"/>
  <c r="AA121" i="11"/>
  <c r="AT14" i="24"/>
  <c r="AX10" i="37"/>
  <c r="AP14" i="59"/>
  <c r="AC80" i="19"/>
  <c r="AB10" i="59"/>
  <c r="Z30" i="24"/>
  <c r="AA131" i="24"/>
  <c r="BA7" i="37"/>
  <c r="Z121" i="4"/>
  <c r="AS7" i="59"/>
  <c r="AC91" i="19"/>
  <c r="AD71" i="4"/>
  <c r="AC82" i="24"/>
  <c r="AC22" i="59"/>
  <c r="Z70" i="34"/>
  <c r="AY12" i="37"/>
  <c r="AD91" i="15"/>
  <c r="AT5" i="35"/>
  <c r="AX6" i="34"/>
  <c r="AB8" i="22"/>
  <c r="AC80" i="17"/>
  <c r="AB7" i="35"/>
  <c r="Z91" i="34"/>
  <c r="BA12" i="35"/>
  <c r="AD41" i="4"/>
  <c r="AA130" i="5"/>
  <c r="AR11" i="8"/>
  <c r="AC61" i="7"/>
  <c r="AA132" i="8"/>
  <c r="AC111" i="24"/>
  <c r="AX4" i="59"/>
  <c r="AX7" i="10"/>
  <c r="AC30" i="4"/>
  <c r="AB8" i="34"/>
  <c r="Z41" i="17"/>
  <c r="AA81" i="17"/>
  <c r="AX3" i="6"/>
  <c r="AY12" i="15"/>
  <c r="AD51" i="6"/>
  <c r="O116" i="20"/>
  <c r="AT9" i="35"/>
  <c r="AD50" i="8"/>
  <c r="AA41" i="37"/>
  <c r="AA110" i="59"/>
  <c r="AB10" i="22"/>
  <c r="Z90" i="16"/>
  <c r="Z61" i="37"/>
  <c r="Z60" i="6"/>
  <c r="AC120" i="35"/>
  <c r="AA132" i="6"/>
  <c r="AO10" i="59"/>
  <c r="AD20" i="35"/>
  <c r="AB16" i="20"/>
  <c r="AD82" i="20"/>
  <c r="AR6" i="22"/>
  <c r="AD32" i="22"/>
  <c r="BA8" i="5"/>
  <c r="AY6" i="59"/>
  <c r="AA111" i="35"/>
  <c r="AA62" i="37"/>
  <c r="AC82" i="6"/>
  <c r="AC101" i="15"/>
  <c r="AB10" i="35"/>
  <c r="AD122" i="6"/>
  <c r="AY4" i="8"/>
  <c r="AA60" i="15"/>
  <c r="Z120" i="17"/>
  <c r="AC72" i="20"/>
  <c r="AD121" i="8"/>
  <c r="AY11" i="7"/>
  <c r="AA101" i="33"/>
  <c r="AA90" i="7"/>
  <c r="AR6" i="4"/>
  <c r="AO16" i="59"/>
  <c r="AC111" i="17"/>
  <c r="AA72" i="33"/>
  <c r="AX8" i="10"/>
  <c r="BA12" i="15"/>
  <c r="AC130" i="11"/>
  <c r="AA52" i="14"/>
  <c r="AA42" i="4"/>
  <c r="AR4" i="8"/>
  <c r="AY12" i="17"/>
  <c r="AC92" i="7"/>
  <c r="AT4" i="37"/>
  <c r="AB10" i="17"/>
  <c r="AR10" i="15"/>
  <c r="AX6" i="15"/>
  <c r="AY14" i="20"/>
  <c r="AB15" i="37"/>
  <c r="AC72" i="19"/>
  <c r="AR9" i="6"/>
  <c r="AB4" i="8"/>
  <c r="Z50" i="15"/>
  <c r="AA62" i="35"/>
  <c r="AD62" i="33"/>
  <c r="AD81" i="16"/>
  <c r="Z62" i="19"/>
  <c r="AR12" i="7"/>
  <c r="AT12" i="14"/>
  <c r="AY10" i="7"/>
  <c r="AR6" i="7"/>
  <c r="AR15" i="16"/>
  <c r="AD101" i="4"/>
  <c r="AD112" i="24"/>
  <c r="Z20" i="35"/>
  <c r="Z121" i="10"/>
  <c r="AX12" i="34"/>
  <c r="AY9" i="15"/>
  <c r="AD80" i="5"/>
  <c r="AD71" i="59"/>
  <c r="AB6" i="8"/>
  <c r="AA60" i="37"/>
  <c r="AD61" i="15"/>
  <c r="AY15" i="10"/>
  <c r="AC112" i="34"/>
  <c r="AY8" i="16"/>
  <c r="AA61" i="16"/>
  <c r="Z50" i="7"/>
  <c r="AX13" i="33"/>
  <c r="AC131" i="4"/>
  <c r="BA4" i="15"/>
  <c r="Z51" i="15"/>
  <c r="AC121" i="33"/>
  <c r="AB6" i="34"/>
  <c r="AD111" i="35"/>
  <c r="AC20" i="37"/>
  <c r="Z21" i="22"/>
  <c r="AT11" i="7"/>
  <c r="AQ3" i="16"/>
  <c r="AD110" i="8"/>
  <c r="Z71" i="35"/>
  <c r="Z81" i="17"/>
  <c r="AX15" i="11"/>
  <c r="BA6" i="59"/>
  <c r="AY13" i="20"/>
  <c r="AA92" i="20"/>
  <c r="AA72" i="15"/>
  <c r="AD110" i="7"/>
  <c r="BA10" i="5"/>
  <c r="AD50" i="11"/>
  <c r="AB7" i="15"/>
  <c r="AC70" i="34"/>
  <c r="AD32" i="7"/>
  <c r="AR14" i="34"/>
  <c r="AX15" i="19"/>
  <c r="AC131" i="19"/>
  <c r="AX14" i="8"/>
  <c r="Z111" i="6"/>
  <c r="AB9" i="34"/>
  <c r="AY11" i="24"/>
  <c r="AA62" i="4"/>
  <c r="Z111" i="22"/>
  <c r="AY11" i="17"/>
  <c r="AY11" i="15"/>
  <c r="AD41" i="33"/>
  <c r="BA11" i="19"/>
  <c r="AD110" i="37"/>
  <c r="AA121" i="37"/>
  <c r="AX5" i="14"/>
  <c r="AA50" i="11"/>
  <c r="AA62" i="15"/>
  <c r="AT5" i="19"/>
  <c r="AX13" i="37"/>
  <c r="AC121" i="37"/>
  <c r="AC110" i="11"/>
  <c r="AD71" i="22"/>
  <c r="AA112" i="37"/>
  <c r="O96" i="11"/>
  <c r="AD40" i="6"/>
  <c r="AD112" i="19"/>
  <c r="AC112" i="37"/>
  <c r="O66" i="16"/>
  <c r="BA7" i="22"/>
  <c r="AY12" i="8"/>
  <c r="AC20" i="6"/>
  <c r="AT6" i="17"/>
  <c r="BA15" i="17"/>
  <c r="AC62" i="59"/>
  <c r="AA102" i="37"/>
  <c r="AB14" i="4"/>
  <c r="O116" i="5"/>
  <c r="Z82" i="7"/>
  <c r="Z81" i="10"/>
  <c r="AX11" i="15"/>
  <c r="AD130" i="59"/>
  <c r="AY9" i="37"/>
  <c r="AD21" i="22"/>
  <c r="AD60" i="15"/>
  <c r="Z100" i="37"/>
  <c r="AX6" i="35"/>
  <c r="AB15" i="35"/>
  <c r="AC111" i="34"/>
  <c r="AR9" i="59"/>
  <c r="AT15" i="35"/>
  <c r="AX13" i="5"/>
  <c r="AT13" i="20"/>
  <c r="AC100" i="37"/>
  <c r="AD120" i="5"/>
  <c r="AY10" i="35"/>
  <c r="AA101" i="24"/>
  <c r="AC50" i="6"/>
  <c r="AT14" i="6"/>
  <c r="O36" i="59"/>
  <c r="AD50" i="10"/>
  <c r="Z70" i="5"/>
  <c r="AB10" i="33"/>
  <c r="AD100" i="7"/>
  <c r="AT6" i="20"/>
  <c r="Z32" i="22"/>
  <c r="AX12" i="6"/>
  <c r="AD52" i="6"/>
  <c r="AX14" i="37"/>
  <c r="Z110" i="15"/>
  <c r="Z61" i="6"/>
  <c r="AB8" i="17"/>
  <c r="AC42" i="20"/>
  <c r="AC102" i="4"/>
  <c r="AD41" i="59"/>
  <c r="AC120" i="17"/>
  <c r="AA61" i="59"/>
  <c r="AA131" i="33"/>
  <c r="AD70" i="19"/>
  <c r="Z71" i="11"/>
  <c r="AR13" i="10"/>
  <c r="AB6" i="10"/>
  <c r="AB14" i="7"/>
  <c r="AB8" i="24"/>
  <c r="P10" i="59"/>
  <c r="Z32" i="33"/>
  <c r="AR7" i="15"/>
  <c r="AC71" i="34"/>
  <c r="Z52" i="4"/>
  <c r="AB11" i="7"/>
  <c r="BA12" i="5"/>
  <c r="AB11" i="17"/>
  <c r="AY15" i="8"/>
  <c r="BA5" i="22"/>
  <c r="AA120" i="33"/>
  <c r="AY14" i="19"/>
  <c r="AX15" i="20"/>
  <c r="AR12" i="16"/>
  <c r="AC121" i="22"/>
  <c r="Z42" i="5"/>
  <c r="AC82" i="35"/>
  <c r="AR7" i="7"/>
  <c r="AR4" i="15"/>
  <c r="AC41" i="14"/>
  <c r="AR13" i="37"/>
  <c r="AA82" i="14"/>
  <c r="AY10" i="34"/>
  <c r="AC60" i="15"/>
  <c r="AD51" i="17"/>
  <c r="AC22" i="24"/>
  <c r="AR6" i="6"/>
  <c r="AT7" i="17"/>
  <c r="Z72" i="4"/>
  <c r="AS3" i="24"/>
  <c r="O66" i="11"/>
  <c r="AA72" i="4"/>
  <c r="AR8" i="6"/>
  <c r="AB6" i="37"/>
  <c r="BA12" i="4"/>
  <c r="Z71" i="8"/>
  <c r="AA131" i="15"/>
  <c r="Z51" i="7"/>
  <c r="AC80" i="59"/>
  <c r="AA121" i="17"/>
  <c r="AC102" i="37"/>
  <c r="AC50" i="34"/>
  <c r="AD72" i="7"/>
  <c r="AA90" i="15"/>
  <c r="AA32" i="24"/>
  <c r="Z60" i="4"/>
  <c r="AC91" i="6"/>
  <c r="Z72" i="15"/>
  <c r="AC101" i="35"/>
  <c r="Z110" i="11"/>
  <c r="AC102" i="59"/>
  <c r="AT15" i="22"/>
  <c r="AX13" i="6"/>
  <c r="AC131" i="34"/>
  <c r="Z130" i="20"/>
  <c r="AX7" i="35"/>
  <c r="Z51" i="24"/>
  <c r="AA42" i="17"/>
  <c r="AA20" i="59"/>
  <c r="Z122" i="37"/>
  <c r="AC22" i="15"/>
  <c r="AA90" i="8"/>
  <c r="Z110" i="33"/>
  <c r="AQ10" i="59"/>
  <c r="AS3" i="34"/>
  <c r="Z81" i="20"/>
  <c r="Z122" i="15"/>
  <c r="AD90" i="37"/>
  <c r="Z101" i="35"/>
  <c r="AA112" i="17"/>
  <c r="AR8" i="7"/>
  <c r="BA13" i="8"/>
  <c r="O36" i="34"/>
  <c r="AC60" i="22"/>
  <c r="AT4" i="6"/>
  <c r="AD110" i="11"/>
  <c r="AD92" i="34"/>
  <c r="AT8" i="4"/>
  <c r="AC30" i="8"/>
  <c r="AC82" i="8"/>
  <c r="AA122" i="33"/>
  <c r="AA80" i="8"/>
  <c r="AA72" i="37"/>
  <c r="BA11" i="8"/>
  <c r="AD41" i="37"/>
  <c r="AA101" i="8"/>
  <c r="AC31" i="10"/>
  <c r="BA9" i="4"/>
  <c r="AD132" i="6"/>
  <c r="Z20" i="4"/>
  <c r="AX3" i="37"/>
  <c r="AT9" i="15"/>
  <c r="Z110" i="37"/>
  <c r="AT12" i="15"/>
  <c r="AD82" i="35"/>
  <c r="Z71" i="6"/>
  <c r="AD132" i="14"/>
  <c r="BA4" i="11"/>
  <c r="AR9" i="24"/>
  <c r="AA130" i="24"/>
  <c r="Z20" i="15"/>
  <c r="AR8" i="20"/>
  <c r="AD52" i="4"/>
  <c r="AA130" i="37"/>
  <c r="AR4" i="20"/>
  <c r="AY6" i="15"/>
  <c r="Z41" i="20"/>
  <c r="AD90" i="34"/>
  <c r="O116" i="11"/>
  <c r="AA82" i="22"/>
  <c r="AY9" i="5"/>
  <c r="AT14" i="8"/>
  <c r="Z51" i="35"/>
  <c r="AA32" i="17"/>
  <c r="AC51" i="35"/>
  <c r="AC22" i="17"/>
  <c r="AY15" i="24"/>
  <c r="Z122" i="20"/>
  <c r="AC22" i="37"/>
  <c r="AR13" i="15"/>
  <c r="AA31" i="59"/>
  <c r="Z102" i="20"/>
  <c r="AC30" i="6"/>
  <c r="AD22" i="20"/>
  <c r="AB10" i="37"/>
  <c r="AA121" i="34"/>
  <c r="AT7" i="15"/>
  <c r="AZ7" i="59"/>
  <c r="AC90" i="19"/>
  <c r="AA90" i="17"/>
  <c r="BA13" i="20"/>
  <c r="AD110" i="6"/>
  <c r="O36" i="14"/>
  <c r="O45" i="60"/>
  <c r="O66" i="34"/>
  <c r="O116" i="33"/>
  <c r="O66" i="14"/>
  <c r="AA92" i="8"/>
  <c r="BA10" i="7"/>
  <c r="AB9" i="5"/>
  <c r="AD30" i="14"/>
  <c r="Z62" i="37"/>
  <c r="AA21" i="4"/>
  <c r="Z31" i="15"/>
  <c r="AT4" i="33"/>
  <c r="Z80" i="7"/>
  <c r="O75" i="11"/>
  <c r="AA122" i="19"/>
  <c r="AD81" i="14"/>
  <c r="AA32" i="14"/>
  <c r="AY12" i="5"/>
  <c r="Z102" i="15"/>
  <c r="Z130" i="7"/>
  <c r="AA90" i="24"/>
  <c r="AD71" i="20"/>
  <c r="AD120" i="6"/>
  <c r="AD80" i="17"/>
  <c r="AD61" i="35"/>
  <c r="AA91" i="7"/>
  <c r="AC62" i="8"/>
  <c r="AC20" i="19"/>
  <c r="AB12" i="6"/>
  <c r="AC130" i="8"/>
  <c r="AD112" i="8"/>
  <c r="AD92" i="24"/>
  <c r="AC122" i="5"/>
  <c r="AB9" i="7"/>
  <c r="AY5" i="15"/>
  <c r="AC52" i="17"/>
  <c r="AD121" i="33"/>
  <c r="AD40" i="17"/>
  <c r="AA41" i="34"/>
  <c r="AX7" i="37"/>
  <c r="Z71" i="7"/>
  <c r="AT4" i="19"/>
  <c r="AX11" i="6"/>
  <c r="AD31" i="4"/>
  <c r="AA92" i="37"/>
  <c r="Z70" i="8"/>
  <c r="AP9" i="59"/>
  <c r="Z120" i="35"/>
  <c r="AA112" i="59"/>
  <c r="AA50" i="33"/>
  <c r="AD130" i="19"/>
  <c r="AR11" i="24"/>
  <c r="AB7" i="14"/>
  <c r="AD52" i="17"/>
  <c r="AA31" i="14"/>
  <c r="AD102" i="15"/>
  <c r="AC90" i="4"/>
  <c r="AR7" i="5"/>
  <c r="AB6" i="14"/>
  <c r="O105" i="11"/>
  <c r="Z71" i="22"/>
  <c r="AA41" i="35"/>
  <c r="AA42" i="35"/>
  <c r="AD41" i="22"/>
  <c r="BA8" i="37"/>
  <c r="O86" i="16"/>
  <c r="AB9" i="8"/>
  <c r="AA70" i="35"/>
  <c r="AD72" i="35"/>
  <c r="AT8" i="59"/>
  <c r="AA30" i="16"/>
  <c r="AC101" i="17"/>
  <c r="AB12" i="11"/>
  <c r="AA131" i="20"/>
  <c r="AA62" i="20"/>
  <c r="AD22" i="7"/>
  <c r="AA42" i="16"/>
  <c r="BA14" i="5"/>
  <c r="AD91" i="24"/>
  <c r="AC111" i="15"/>
  <c r="AA122" i="20"/>
  <c r="AC90" i="17"/>
  <c r="AB15" i="17"/>
  <c r="AY8" i="11"/>
  <c r="AA60" i="22"/>
  <c r="AD30" i="34"/>
  <c r="AT10" i="15"/>
  <c r="AA91" i="6"/>
  <c r="AC112" i="24"/>
  <c r="AD91" i="20"/>
  <c r="AR12" i="37"/>
  <c r="AA101" i="4"/>
  <c r="AS3" i="15"/>
  <c r="AC130" i="7"/>
  <c r="AC42" i="4"/>
  <c r="AD30" i="24"/>
  <c r="AR8" i="24"/>
  <c r="BA11" i="24"/>
  <c r="AD31" i="17"/>
  <c r="BA7" i="8"/>
  <c r="AC52" i="59"/>
  <c r="AA70" i="19"/>
  <c r="Z21" i="5"/>
  <c r="Z80" i="6"/>
  <c r="AY9" i="34"/>
  <c r="Z62" i="6"/>
  <c r="AD122" i="59"/>
  <c r="AB11" i="19"/>
  <c r="AR4" i="22"/>
  <c r="Z91" i="35"/>
  <c r="AR14" i="11"/>
  <c r="Z51" i="22"/>
  <c r="AB4" i="6"/>
  <c r="AC42" i="5"/>
  <c r="Z42" i="24"/>
  <c r="AB14" i="34"/>
  <c r="AY14" i="4"/>
  <c r="AA121" i="59"/>
  <c r="AY13" i="11"/>
  <c r="AX14" i="14"/>
  <c r="AD51" i="20"/>
  <c r="Z80" i="14"/>
  <c r="AC41" i="16"/>
  <c r="AD41" i="20"/>
  <c r="AA40" i="19"/>
  <c r="AC130" i="17"/>
  <c r="AA92" i="35"/>
  <c r="AC41" i="22"/>
  <c r="AA50" i="5"/>
  <c r="AC21" i="11"/>
  <c r="AD62" i="35"/>
  <c r="AC100" i="34"/>
  <c r="BA15" i="4"/>
  <c r="AC112" i="19"/>
  <c r="AC42" i="16"/>
  <c r="Z92" i="5"/>
  <c r="AC101" i="4"/>
  <c r="Z81" i="35"/>
  <c r="AY13" i="59"/>
  <c r="AT9" i="22"/>
  <c r="AD112" i="6"/>
  <c r="AA42" i="34"/>
  <c r="Z41" i="37"/>
  <c r="AD121" i="24"/>
  <c r="AD111" i="11"/>
  <c r="AB7" i="17"/>
  <c r="AC101" i="24"/>
  <c r="Z52" i="20"/>
  <c r="AD41" i="24"/>
  <c r="Z120" i="34"/>
  <c r="Z32" i="6"/>
  <c r="Z32" i="8"/>
  <c r="AD92" i="35"/>
  <c r="AB6" i="22"/>
  <c r="AD111" i="22"/>
  <c r="AD110" i="22"/>
  <c r="AA82" i="7"/>
  <c r="AC120" i="5"/>
  <c r="AA90" i="14"/>
  <c r="Z40" i="14"/>
  <c r="Z50" i="10"/>
  <c r="AB12" i="33"/>
  <c r="Z31" i="5"/>
  <c r="AB8" i="19"/>
  <c r="AC121" i="7"/>
  <c r="AC130" i="24"/>
  <c r="Z100" i="14"/>
  <c r="AC21" i="16"/>
  <c r="Z42" i="16"/>
  <c r="AT11" i="24"/>
  <c r="AA32" i="11"/>
  <c r="BA7" i="15"/>
  <c r="AD21" i="11"/>
  <c r="O126" i="14"/>
  <c r="AA82" i="15"/>
  <c r="AT14" i="17"/>
  <c r="Z30" i="11"/>
  <c r="Z32" i="37"/>
  <c r="AR11" i="17"/>
  <c r="BA10" i="20"/>
  <c r="AC80" i="5"/>
  <c r="AY8" i="35"/>
  <c r="AD131" i="34"/>
  <c r="AX3" i="10"/>
  <c r="Z121" i="15"/>
  <c r="AD111" i="15"/>
  <c r="AR5" i="17"/>
  <c r="AT8" i="6"/>
  <c r="Z82" i="4"/>
  <c r="AC100" i="24"/>
  <c r="AB10" i="24"/>
  <c r="AY15" i="20"/>
  <c r="AT6" i="35"/>
  <c r="AC62" i="24"/>
  <c r="AC112" i="8"/>
  <c r="AA100" i="17"/>
  <c r="O46" i="19"/>
  <c r="Z92" i="24"/>
  <c r="AY4" i="24"/>
  <c r="AC92" i="15"/>
  <c r="AC82" i="33"/>
  <c r="Z112" i="59"/>
  <c r="AD132" i="16"/>
  <c r="Z111" i="5"/>
  <c r="AX9" i="33"/>
  <c r="AA131" i="10"/>
  <c r="AC92" i="34"/>
  <c r="AX8" i="34"/>
  <c r="BA5" i="16"/>
  <c r="AD71" i="16"/>
  <c r="AX15" i="4"/>
  <c r="AX11" i="8"/>
  <c r="AC42" i="35"/>
  <c r="AC61" i="6"/>
  <c r="AC21" i="34"/>
  <c r="Z80" i="15"/>
  <c r="Z100" i="35"/>
  <c r="AD70" i="37"/>
  <c r="Z132" i="6"/>
  <c r="AC30" i="22"/>
  <c r="AC32" i="8"/>
  <c r="AB12" i="37"/>
  <c r="AQ3" i="10"/>
  <c r="AT10" i="37"/>
  <c r="BA4" i="19"/>
  <c r="AD100" i="17"/>
  <c r="AD40" i="15"/>
  <c r="AY15" i="17"/>
  <c r="AA120" i="34"/>
  <c r="AB14" i="15"/>
  <c r="Z60" i="17"/>
  <c r="AD131" i="17"/>
  <c r="AB7" i="4"/>
  <c r="Z81" i="6"/>
  <c r="AR8" i="37"/>
  <c r="AA52" i="35"/>
  <c r="Z110" i="16"/>
  <c r="AT7" i="6"/>
  <c r="AC101" i="20"/>
  <c r="Z81" i="4"/>
  <c r="AZ8" i="59"/>
  <c r="AT11" i="17"/>
  <c r="P6" i="59"/>
  <c r="AS5" i="59"/>
  <c r="AC102" i="24"/>
  <c r="AC21" i="20"/>
  <c r="AR4" i="5"/>
  <c r="AX13" i="19"/>
  <c r="AC52" i="34"/>
  <c r="AT7" i="14"/>
  <c r="AX3" i="17"/>
  <c r="AC110" i="22"/>
  <c r="AA80" i="37"/>
  <c r="AD40" i="35"/>
  <c r="AC72" i="6"/>
  <c r="AX15" i="35"/>
  <c r="AR7" i="4"/>
  <c r="AY5" i="6"/>
  <c r="Z81" i="22"/>
  <c r="AC130" i="37"/>
  <c r="AA131" i="35"/>
  <c r="AD80" i="14"/>
  <c r="AA62" i="7"/>
  <c r="AA102" i="59"/>
  <c r="AT14" i="20"/>
  <c r="Z70" i="15"/>
  <c r="AT4" i="24"/>
  <c r="AD52" i="24"/>
  <c r="Z50" i="5"/>
  <c r="AA92" i="7"/>
  <c r="AZ11" i="59"/>
  <c r="AY12" i="34"/>
  <c r="Z121" i="20"/>
  <c r="AC61" i="22"/>
  <c r="AT14" i="35"/>
  <c r="AR5" i="22"/>
  <c r="AC90" i="5"/>
  <c r="AC30" i="16"/>
  <c r="AC122" i="6"/>
  <c r="AB14" i="6"/>
  <c r="AT14" i="59"/>
  <c r="AD30" i="19"/>
  <c r="AA81" i="4"/>
  <c r="Z32" i="24"/>
  <c r="AA41" i="6"/>
  <c r="AY12" i="22"/>
  <c r="AX9" i="24"/>
  <c r="AR6" i="8"/>
  <c r="AX7" i="6"/>
  <c r="O136" i="17"/>
  <c r="AD90" i="20"/>
  <c r="AA30" i="6"/>
  <c r="AC130" i="35"/>
  <c r="Z131" i="20"/>
  <c r="AD110" i="5"/>
  <c r="BA4" i="17"/>
  <c r="AY6" i="8"/>
  <c r="AX11" i="16"/>
  <c r="AT4" i="15"/>
  <c r="AD40" i="20"/>
  <c r="AA91" i="34"/>
  <c r="O126" i="10"/>
  <c r="O96" i="20"/>
  <c r="Z82" i="5"/>
  <c r="AA62" i="22"/>
  <c r="AR15" i="33"/>
  <c r="AA100" i="24"/>
  <c r="AA132" i="10"/>
  <c r="AC20" i="34"/>
  <c r="AQ16" i="59"/>
  <c r="AT4" i="10"/>
  <c r="AC61" i="4"/>
  <c r="AD31" i="5"/>
  <c r="AA20" i="7"/>
  <c r="Z62" i="59"/>
  <c r="AY14" i="33"/>
  <c r="AY9" i="7"/>
  <c r="Q2" i="57"/>
  <c r="AA30" i="7"/>
  <c r="AA131" i="17"/>
  <c r="O116" i="15"/>
  <c r="AA91" i="8"/>
  <c r="AR11" i="20"/>
  <c r="Z120" i="24"/>
  <c r="AC22" i="35"/>
  <c r="AC30" i="59"/>
  <c r="Z72" i="59"/>
  <c r="AD62" i="10"/>
  <c r="AB8" i="15"/>
  <c r="AY10" i="22"/>
  <c r="U20" i="57"/>
  <c r="AD20" i="6"/>
  <c r="AU3" i="59"/>
  <c r="AY11" i="59"/>
  <c r="Z122" i="8"/>
  <c r="AY11" i="22"/>
  <c r="AD51" i="7"/>
  <c r="AA32" i="59"/>
  <c r="AD30" i="4"/>
  <c r="AA40" i="4"/>
  <c r="AC101" i="7"/>
  <c r="AC42" i="7"/>
  <c r="AR15" i="59"/>
  <c r="AB14" i="20"/>
  <c r="AC72" i="7"/>
  <c r="AC90" i="34"/>
  <c r="AD72" i="59"/>
  <c r="AC120" i="34"/>
  <c r="AX8" i="4"/>
  <c r="P15" i="59"/>
  <c r="AX5" i="4"/>
  <c r="Z62" i="5"/>
  <c r="AC31" i="5"/>
  <c r="AC62" i="34"/>
  <c r="BA10" i="34"/>
  <c r="BA15" i="8"/>
  <c r="AD122" i="8"/>
  <c r="AT14" i="11"/>
  <c r="AD111" i="20"/>
  <c r="Z100" i="4"/>
  <c r="O86" i="5"/>
  <c r="AD101" i="17"/>
  <c r="AC52" i="6"/>
  <c r="AC91" i="34"/>
  <c r="O46" i="8"/>
  <c r="AY11" i="6"/>
  <c r="BA5" i="5"/>
  <c r="AA90" i="20"/>
  <c r="AY4" i="59"/>
  <c r="AY14" i="8"/>
  <c r="AD42" i="59"/>
  <c r="Z131" i="15"/>
  <c r="AD81" i="17"/>
  <c r="AD20" i="4"/>
  <c r="AC130" i="16"/>
  <c r="Z120" i="5"/>
  <c r="AX5" i="15"/>
  <c r="Z81" i="34"/>
  <c r="AC71" i="8"/>
  <c r="AR6" i="14"/>
  <c r="AY11" i="4"/>
  <c r="AC41" i="35"/>
  <c r="AD30" i="22"/>
  <c r="AT16" i="11"/>
  <c r="AA20" i="33"/>
  <c r="AC120" i="8"/>
  <c r="AA112" i="6"/>
  <c r="AC101" i="11"/>
  <c r="AA120" i="15"/>
  <c r="AT13" i="22"/>
  <c r="AD81" i="24"/>
  <c r="AB7" i="7"/>
  <c r="AT7" i="8"/>
  <c r="AC61" i="34"/>
  <c r="AT5" i="16"/>
  <c r="AT9" i="5"/>
  <c r="AA91" i="59"/>
  <c r="O126" i="7"/>
  <c r="AD62" i="4"/>
  <c r="AR13" i="20"/>
  <c r="AC41" i="4"/>
  <c r="Z111" i="8"/>
  <c r="Z20" i="24"/>
  <c r="AC130" i="6"/>
  <c r="AA20" i="35"/>
  <c r="AD91" i="4"/>
  <c r="AX7" i="11"/>
  <c r="AY9" i="35"/>
  <c r="AT13" i="24"/>
  <c r="AA100" i="6"/>
  <c r="AA40" i="22"/>
  <c r="AA50" i="16"/>
  <c r="AX8" i="6"/>
  <c r="Z112" i="10"/>
  <c r="Z62" i="17"/>
  <c r="AR12" i="11"/>
  <c r="AR15" i="7"/>
  <c r="Z70" i="24"/>
  <c r="AC80" i="15"/>
  <c r="AC91" i="5"/>
  <c r="BA15" i="19"/>
  <c r="AB12" i="15"/>
  <c r="AB11" i="16"/>
  <c r="Z132" i="15"/>
  <c r="AR11" i="15"/>
  <c r="AC112" i="6"/>
  <c r="Z111" i="15"/>
  <c r="AD120" i="8"/>
  <c r="Z121" i="35"/>
  <c r="AT15" i="17"/>
  <c r="AD81" i="35"/>
  <c r="BA13" i="35"/>
  <c r="AD121" i="22"/>
  <c r="AC42" i="33"/>
  <c r="Z40" i="5"/>
  <c r="AC21" i="59"/>
  <c r="AD71" i="34"/>
  <c r="BA6" i="22"/>
  <c r="AA120" i="19"/>
  <c r="Z71" i="19"/>
  <c r="AX7" i="20"/>
  <c r="AB6" i="59"/>
  <c r="AX12" i="19"/>
  <c r="AA131" i="6"/>
  <c r="AY10" i="8"/>
  <c r="AD30" i="15"/>
  <c r="AA111" i="5"/>
  <c r="AA90" i="4"/>
  <c r="Z92" i="8"/>
  <c r="AB5" i="37"/>
  <c r="AR10" i="14"/>
  <c r="AC91" i="16"/>
  <c r="AB4" i="17"/>
  <c r="AX8" i="15"/>
  <c r="AA102" i="34"/>
  <c r="AD52" i="59"/>
  <c r="AC52" i="16"/>
  <c r="Z42" i="22"/>
  <c r="AC102" i="6"/>
  <c r="Z50" i="37"/>
  <c r="AC91" i="17"/>
  <c r="AY5" i="20"/>
  <c r="AR4" i="59"/>
  <c r="AC22" i="19"/>
  <c r="AD30" i="5"/>
  <c r="AD101" i="6"/>
  <c r="AA81" i="22"/>
  <c r="AX10" i="22"/>
  <c r="AC82" i="4"/>
  <c r="O136" i="33"/>
  <c r="AA32" i="34"/>
  <c r="O76" i="59"/>
  <c r="AR15" i="11"/>
  <c r="AT11" i="6"/>
  <c r="Z131" i="8"/>
  <c r="O136" i="11"/>
  <c r="AD61" i="22"/>
  <c r="AB4" i="22"/>
  <c r="AC51" i="20"/>
  <c r="AA51" i="19"/>
  <c r="AC90" i="16"/>
  <c r="AA50" i="19"/>
  <c r="O46" i="7"/>
  <c r="AC122" i="22"/>
  <c r="AD101" i="35"/>
  <c r="AC20" i="22"/>
  <c r="Z61" i="22"/>
  <c r="AR13" i="22"/>
  <c r="O76" i="34"/>
  <c r="AD71" i="7"/>
  <c r="AX10" i="6"/>
  <c r="AB5" i="10"/>
  <c r="AT5" i="37"/>
  <c r="Z52" i="7"/>
  <c r="AC20" i="17"/>
  <c r="AC122" i="59"/>
  <c r="AD51" i="24"/>
  <c r="Z110" i="8"/>
  <c r="Z60" i="11"/>
  <c r="AD100" i="6"/>
  <c r="AC90" i="37"/>
  <c r="AD51" i="15"/>
  <c r="BA10" i="33"/>
  <c r="AY5" i="5"/>
  <c r="Z62" i="35"/>
  <c r="AD131" i="4"/>
  <c r="AD102" i="34"/>
  <c r="AR5" i="20"/>
  <c r="AR5" i="15"/>
  <c r="O76" i="17"/>
  <c r="O26" i="8"/>
  <c r="AD21" i="6"/>
  <c r="AX8" i="37"/>
  <c r="O66" i="5"/>
  <c r="AC60" i="19"/>
  <c r="BA14" i="34"/>
  <c r="AA30" i="35"/>
  <c r="AD100" i="19"/>
  <c r="AD121" i="35"/>
  <c r="AC90" i="35"/>
  <c r="BA4" i="6"/>
  <c r="Z90" i="59"/>
  <c r="AC70" i="15"/>
  <c r="O86" i="59"/>
  <c r="O26" i="24"/>
  <c r="AA72" i="16"/>
  <c r="Z80" i="8"/>
  <c r="AX5" i="6"/>
  <c r="AA110" i="17"/>
  <c r="O126" i="34"/>
  <c r="AA60" i="6"/>
  <c r="AY15" i="35"/>
  <c r="AB6" i="20"/>
  <c r="AY6" i="7"/>
  <c r="AC121" i="24"/>
  <c r="AC71" i="6"/>
  <c r="Z82" i="11"/>
  <c r="AA112" i="15"/>
  <c r="Z120" i="59"/>
  <c r="AD101" i="15"/>
  <c r="AR4" i="35"/>
  <c r="AR13" i="35"/>
  <c r="Z52" i="6"/>
  <c r="AC51" i="8"/>
  <c r="AD112" i="22"/>
  <c r="AA121" i="22"/>
  <c r="O36" i="5"/>
  <c r="O126" i="35"/>
  <c r="AT16" i="22"/>
  <c r="AR6" i="35"/>
  <c r="BA14" i="20"/>
  <c r="Z91" i="17"/>
  <c r="AC80" i="6"/>
  <c r="AX11" i="17"/>
  <c r="Z41" i="35"/>
  <c r="AD82" i="17"/>
  <c r="AB8" i="35"/>
  <c r="Z91" i="22"/>
  <c r="AQ3" i="35"/>
  <c r="AD122" i="15"/>
  <c r="AD71" i="8"/>
  <c r="AD92" i="19"/>
  <c r="AD32" i="34"/>
  <c r="AX5" i="19"/>
  <c r="AT14" i="5"/>
  <c r="Z22" i="37"/>
  <c r="Z91" i="20"/>
  <c r="AD131" i="7"/>
  <c r="AA52" i="16"/>
  <c r="Z90" i="6"/>
  <c r="AX15" i="37"/>
  <c r="AC41" i="15"/>
  <c r="Z41" i="8"/>
  <c r="AT5" i="14"/>
  <c r="AC40" i="17"/>
  <c r="AX15" i="16"/>
  <c r="AD121" i="37"/>
  <c r="AD92" i="4"/>
  <c r="AD130" i="8"/>
  <c r="AD120" i="7"/>
  <c r="AC131" i="37"/>
  <c r="AT16" i="6"/>
  <c r="AA90" i="22"/>
  <c r="AA110" i="16"/>
  <c r="AX12" i="5"/>
  <c r="AQ3" i="14"/>
  <c r="AY8" i="15"/>
  <c r="AY5" i="8"/>
  <c r="AD82" i="34"/>
  <c r="AB14" i="16"/>
  <c r="AB5" i="8"/>
  <c r="AT14" i="34"/>
  <c r="AA20" i="37"/>
  <c r="AT15" i="11"/>
  <c r="AP12" i="59"/>
  <c r="AB8" i="7"/>
  <c r="O126" i="17"/>
  <c r="AR11" i="37"/>
  <c r="AA110" i="20"/>
  <c r="AD70" i="15"/>
  <c r="O116" i="35"/>
  <c r="O136" i="15"/>
  <c r="AD101" i="37"/>
  <c r="AY5" i="35"/>
  <c r="AD121" i="11"/>
  <c r="BA14" i="6"/>
  <c r="AY13" i="35"/>
  <c r="AX11" i="20"/>
  <c r="AD22" i="22"/>
  <c r="AD50" i="17"/>
  <c r="Z102" i="17"/>
  <c r="AX10" i="34"/>
  <c r="Z52" i="15"/>
  <c r="AD31" i="6"/>
  <c r="Z41" i="6"/>
  <c r="AR9" i="16"/>
  <c r="AD80" i="37"/>
  <c r="AC61" i="11"/>
  <c r="AA40" i="11"/>
  <c r="AD131" i="22"/>
  <c r="AC102" i="20"/>
  <c r="AX6" i="7"/>
  <c r="AA81" i="11"/>
  <c r="AA100" i="11"/>
  <c r="AA120" i="16"/>
  <c r="Z101" i="4"/>
  <c r="BA5" i="17"/>
  <c r="AO9" i="59"/>
  <c r="AT4" i="34"/>
  <c r="AC90" i="20"/>
  <c r="AA42" i="15"/>
  <c r="Z81" i="11"/>
  <c r="AA111" i="19"/>
  <c r="AD60" i="59"/>
  <c r="AR13" i="8"/>
  <c r="AD52" i="34"/>
  <c r="P12" i="59"/>
  <c r="Z22" i="24"/>
  <c r="BA13" i="59"/>
  <c r="AA52" i="6"/>
  <c r="AC122" i="15"/>
  <c r="AC81" i="11"/>
  <c r="AA110" i="37"/>
  <c r="AT9" i="4"/>
  <c r="AX6" i="6"/>
  <c r="AD42" i="6"/>
  <c r="Z131" i="22"/>
  <c r="Z131" i="17"/>
  <c r="AC81" i="22"/>
  <c r="Z131" i="6"/>
  <c r="Z50" i="19"/>
  <c r="AT15" i="5"/>
  <c r="Z81" i="5"/>
  <c r="AC22" i="33"/>
  <c r="AT7" i="22"/>
  <c r="AC72" i="15"/>
  <c r="AD110" i="24"/>
  <c r="BA13" i="15"/>
  <c r="AA90" i="35"/>
  <c r="O136" i="7"/>
  <c r="AA61" i="22"/>
  <c r="AQ9" i="59"/>
  <c r="O136" i="22"/>
  <c r="AC40" i="34"/>
  <c r="Z111" i="37"/>
  <c r="AB8" i="4"/>
  <c r="AC21" i="15"/>
  <c r="AC21" i="17"/>
  <c r="AA72" i="35"/>
  <c r="O56" i="34"/>
  <c r="O126" i="20"/>
  <c r="AX6" i="16"/>
  <c r="O36" i="22"/>
  <c r="AA71" i="19"/>
  <c r="AC81" i="16"/>
  <c r="AD21" i="59"/>
  <c r="AY7" i="7"/>
  <c r="AX8" i="35"/>
  <c r="AY12" i="4"/>
  <c r="AT10" i="22"/>
  <c r="O56" i="59"/>
  <c r="AA20" i="20"/>
  <c r="AA61" i="11"/>
  <c r="AR12" i="33"/>
  <c r="AC40" i="11"/>
  <c r="AA80" i="4"/>
  <c r="AC92" i="22"/>
  <c r="AA100" i="19"/>
  <c r="BA6" i="19"/>
  <c r="O86" i="15"/>
  <c r="O136" i="4"/>
  <c r="AX10" i="20"/>
  <c r="Z71" i="15"/>
  <c r="O56" i="14"/>
  <c r="O86" i="33"/>
  <c r="O66" i="17"/>
  <c r="AC32" i="19"/>
  <c r="AY8" i="17"/>
  <c r="Q4" i="57"/>
  <c r="AT12" i="20"/>
  <c r="AY8" i="20"/>
  <c r="AB16" i="22"/>
  <c r="O66" i="4"/>
  <c r="AD41" i="15"/>
  <c r="AR9" i="17"/>
  <c r="AX4" i="34"/>
  <c r="Z61" i="17"/>
  <c r="AB13" i="4"/>
  <c r="AX4" i="22"/>
  <c r="Z90" i="8"/>
  <c r="BA7" i="5"/>
  <c r="AY7" i="35"/>
  <c r="AC132" i="8"/>
  <c r="BA10" i="6"/>
  <c r="Z60" i="37"/>
  <c r="AD102" i="24"/>
  <c r="AX3" i="34"/>
  <c r="AD100" i="37"/>
  <c r="AA102" i="15"/>
  <c r="AD51" i="59"/>
  <c r="AX7" i="22"/>
  <c r="Z61" i="20"/>
  <c r="AX12" i="22"/>
  <c r="AA110" i="35"/>
  <c r="AT4" i="17"/>
  <c r="BA13" i="4"/>
  <c r="AD100" i="33"/>
  <c r="Z100" i="59"/>
  <c r="AD52" i="15"/>
  <c r="Z70" i="17"/>
  <c r="Z32" i="4"/>
  <c r="AR7" i="35"/>
  <c r="AD51" i="37"/>
  <c r="AT10" i="4"/>
  <c r="BA9" i="37"/>
  <c r="AC50" i="5"/>
  <c r="AD42" i="8"/>
  <c r="AC31" i="16"/>
  <c r="AR10" i="7"/>
  <c r="AX9" i="8"/>
  <c r="Z110" i="14"/>
  <c r="AT4" i="5"/>
  <c r="Z121" i="14"/>
  <c r="AD30" i="35"/>
  <c r="AY8" i="19"/>
  <c r="AA92" i="59"/>
  <c r="AD100" i="35"/>
  <c r="AQ3" i="4"/>
  <c r="Z91" i="19"/>
  <c r="AB5" i="33"/>
  <c r="AD20" i="59"/>
  <c r="AD80" i="6"/>
  <c r="AC132" i="6"/>
  <c r="AB12" i="59"/>
  <c r="AA52" i="11"/>
  <c r="AQ3" i="24"/>
  <c r="O95" i="11"/>
  <c r="AA120" i="24"/>
  <c r="Z40" i="20"/>
  <c r="AA31" i="37"/>
  <c r="AC130" i="34"/>
  <c r="AC81" i="7"/>
  <c r="AB14" i="22"/>
  <c r="AA110" i="22"/>
  <c r="AR4" i="7"/>
  <c r="AD81" i="5"/>
  <c r="AA22" i="59"/>
  <c r="Z31" i="6"/>
  <c r="O26" i="10"/>
  <c r="AX4" i="17"/>
  <c r="AC110" i="6"/>
  <c r="AC111" i="6"/>
  <c r="AA101" i="5"/>
  <c r="AX14" i="16"/>
  <c r="O106" i="14"/>
  <c r="AA52" i="5"/>
  <c r="AA110" i="11"/>
  <c r="AD111" i="24"/>
  <c r="AT6" i="19"/>
  <c r="O86" i="17"/>
  <c r="Z130" i="35"/>
  <c r="AY6" i="22"/>
  <c r="AX12" i="35"/>
  <c r="AA41" i="22"/>
  <c r="Z52" i="14"/>
  <c r="Z82" i="24"/>
  <c r="AR4" i="34"/>
  <c r="AA21" i="20"/>
  <c r="AR8" i="35"/>
  <c r="O76" i="33"/>
  <c r="AT9" i="6"/>
  <c r="AD71" i="35"/>
  <c r="AC91" i="22"/>
  <c r="AX11" i="4"/>
  <c r="AD62" i="15"/>
  <c r="AX11" i="59"/>
  <c r="BA13" i="17"/>
  <c r="AA92" i="34"/>
  <c r="AC120" i="15"/>
  <c r="AA82" i="6"/>
  <c r="O46" i="14"/>
  <c r="O86" i="35"/>
  <c r="Z102" i="24"/>
  <c r="Z122" i="6"/>
  <c r="AD32" i="8"/>
  <c r="AC62" i="16"/>
  <c r="AA100" i="7"/>
  <c r="AC82" i="22"/>
  <c r="AB5" i="17"/>
  <c r="AT6" i="37"/>
  <c r="AX7" i="7"/>
  <c r="O116" i="24"/>
  <c r="AA40" i="37"/>
  <c r="AA132" i="19"/>
  <c r="AC111" i="16"/>
  <c r="AX11" i="34"/>
  <c r="AR6" i="59"/>
  <c r="AR7" i="17"/>
  <c r="AA101" i="20"/>
  <c r="AD102" i="7"/>
  <c r="AD101" i="20"/>
  <c r="AY14" i="6"/>
  <c r="Z130" i="22"/>
  <c r="AT13" i="35"/>
  <c r="O56" i="22"/>
  <c r="AC80" i="4"/>
  <c r="AX5" i="35"/>
  <c r="O36" i="33"/>
  <c r="AC81" i="19"/>
  <c r="O76" i="5"/>
  <c r="AC92" i="6"/>
  <c r="Z121" i="34"/>
  <c r="AD52" i="37"/>
  <c r="Z42" i="35"/>
  <c r="O26" i="22"/>
  <c r="AB4" i="37"/>
  <c r="AY7" i="6"/>
  <c r="AB8" i="20"/>
  <c r="AB15" i="34"/>
  <c r="AC21" i="4"/>
  <c r="AC30" i="35"/>
  <c r="Z61" i="34"/>
  <c r="AC122" i="37"/>
  <c r="AC72" i="22"/>
  <c r="AY9" i="22"/>
  <c r="AD130" i="35"/>
  <c r="O136" i="24"/>
  <c r="AA102" i="11"/>
  <c r="AD40" i="7"/>
  <c r="AD120" i="4"/>
  <c r="AT12" i="4"/>
  <c r="AD42" i="16"/>
  <c r="O136" i="16"/>
  <c r="AR8" i="59"/>
  <c r="AC41" i="59"/>
  <c r="AC102" i="11"/>
  <c r="BA8" i="15"/>
  <c r="AD82" i="22"/>
  <c r="Z80" i="5"/>
  <c r="BA8" i="4"/>
  <c r="AD81" i="8"/>
  <c r="AA61" i="15"/>
  <c r="AC82" i="20"/>
  <c r="AA51" i="15"/>
  <c r="AA122" i="4"/>
  <c r="AC101" i="34"/>
  <c r="Z132" i="35"/>
  <c r="AA21" i="35"/>
  <c r="AX6" i="59"/>
  <c r="AY4" i="4"/>
  <c r="BA12" i="16"/>
  <c r="AT16" i="7"/>
  <c r="AT16" i="8"/>
  <c r="AX4" i="19"/>
  <c r="AD102" i="4"/>
  <c r="Z62" i="16"/>
  <c r="AX5" i="20"/>
  <c r="Z31" i="20"/>
  <c r="AA82" i="20"/>
  <c r="AR8" i="22"/>
  <c r="Z31" i="16"/>
  <c r="AD22" i="16"/>
  <c r="AT13" i="17"/>
  <c r="AD81" i="34"/>
  <c r="AC100" i="6"/>
  <c r="AC40" i="19"/>
  <c r="AT5" i="15"/>
  <c r="AX10" i="19"/>
  <c r="Z22" i="8"/>
  <c r="AT4" i="22"/>
  <c r="AR12" i="17"/>
  <c r="AB11" i="35"/>
  <c r="AC61" i="35"/>
  <c r="BA13" i="6"/>
  <c r="AA60" i="7"/>
  <c r="AB4" i="14"/>
  <c r="Z92" i="6"/>
  <c r="Z40" i="37"/>
  <c r="Z61" i="8"/>
  <c r="BA11" i="15"/>
  <c r="AC111" i="22"/>
  <c r="AC80" i="35"/>
  <c r="O46" i="22"/>
  <c r="O76" i="8"/>
  <c r="AC71" i="4"/>
  <c r="Z80" i="34"/>
  <c r="O106" i="37"/>
  <c r="AP15" i="59"/>
  <c r="AD82" i="4"/>
  <c r="AD120" i="35"/>
  <c r="AR12" i="35"/>
  <c r="AC81" i="4"/>
  <c r="O116" i="14"/>
  <c r="AC52" i="22"/>
  <c r="AD32" i="17"/>
  <c r="Z32" i="20"/>
  <c r="Z42" i="17"/>
  <c r="Z22" i="5"/>
  <c r="AA30" i="19"/>
  <c r="AA22" i="35"/>
  <c r="AR15" i="19"/>
  <c r="AC90" i="15"/>
  <c r="AA72" i="8"/>
  <c r="O106" i="6"/>
  <c r="AB16" i="6"/>
  <c r="AB6" i="11"/>
  <c r="AD81" i="7"/>
  <c r="AA70" i="24"/>
  <c r="AY9" i="4"/>
  <c r="AD42" i="11"/>
  <c r="Z111" i="4"/>
  <c r="AA52" i="37"/>
  <c r="Z91" i="8"/>
  <c r="AC112" i="35"/>
  <c r="AB9" i="15"/>
  <c r="AB11" i="6"/>
  <c r="O26" i="20"/>
  <c r="AX7" i="34"/>
  <c r="AR14" i="15"/>
  <c r="BA7" i="7"/>
  <c r="AC51" i="7"/>
  <c r="AA132" i="7"/>
  <c r="AC100" i="22"/>
  <c r="AA41" i="19"/>
  <c r="O86" i="8"/>
  <c r="AD90" i="6"/>
  <c r="O86" i="14"/>
  <c r="AC132" i="37"/>
  <c r="AR13" i="6"/>
  <c r="AT14" i="37"/>
  <c r="AC41" i="19"/>
  <c r="AA50" i="34"/>
  <c r="AC122" i="24"/>
  <c r="AC72" i="59"/>
  <c r="AD60" i="34"/>
  <c r="BA11" i="35"/>
  <c r="AA92" i="6"/>
  <c r="AR12" i="20"/>
  <c r="AX10" i="35"/>
  <c r="AD52" i="14"/>
  <c r="AD22" i="17"/>
  <c r="AX3" i="7"/>
  <c r="Z50" i="16"/>
  <c r="AA82" i="11"/>
  <c r="AC50" i="4"/>
  <c r="AT9" i="20"/>
  <c r="AD121" i="34"/>
  <c r="AC62" i="20"/>
  <c r="AY14" i="17"/>
  <c r="AR13" i="11"/>
  <c r="Z111" i="11"/>
  <c r="AD62" i="16"/>
  <c r="AC132" i="4"/>
  <c r="O76" i="24"/>
  <c r="AD72" i="6"/>
  <c r="AX10" i="5"/>
  <c r="Z130" i="14"/>
  <c r="AC132" i="34"/>
  <c r="Z122" i="34"/>
  <c r="AA70" i="20"/>
  <c r="AZ6" i="59"/>
  <c r="AP5" i="59"/>
  <c r="BA15" i="34"/>
  <c r="AC110" i="37"/>
  <c r="Z71" i="34"/>
  <c r="AC31" i="59"/>
  <c r="AC42" i="8"/>
  <c r="AY8" i="10"/>
  <c r="AB16" i="59"/>
  <c r="AY7" i="34"/>
  <c r="AT14" i="22"/>
  <c r="AA51" i="24"/>
  <c r="AR11" i="6"/>
  <c r="AR11" i="35"/>
  <c r="AA131" i="34"/>
  <c r="AC22" i="6"/>
  <c r="AD70" i="17"/>
  <c r="AX4" i="11"/>
  <c r="AA120" i="4"/>
  <c r="Z120" i="8"/>
  <c r="AD120" i="22"/>
  <c r="AA50" i="37"/>
  <c r="AA102" i="35"/>
  <c r="O86" i="22"/>
  <c r="AC120" i="59"/>
  <c r="AR8" i="17"/>
  <c r="BA4" i="20"/>
  <c r="AC71" i="15"/>
  <c r="AT11" i="35"/>
  <c r="BA14" i="35"/>
  <c r="AC121" i="20"/>
  <c r="O86" i="37"/>
  <c r="O36" i="19"/>
  <c r="O106" i="4"/>
  <c r="AD40" i="16"/>
  <c r="AC60" i="16"/>
  <c r="AA81" i="15"/>
  <c r="AD82" i="59"/>
  <c r="BA6" i="14"/>
  <c r="AD31" i="15"/>
  <c r="AA81" i="24"/>
  <c r="AY5" i="59"/>
  <c r="AD42" i="22"/>
  <c r="AD90" i="22"/>
  <c r="O86" i="24"/>
  <c r="O116" i="7"/>
  <c r="AT13" i="5"/>
  <c r="AC131" i="22"/>
  <c r="AR11" i="11"/>
  <c r="AX12" i="8"/>
  <c r="Z30" i="6"/>
  <c r="AA82" i="24"/>
  <c r="AB10" i="6"/>
  <c r="AC61" i="19"/>
  <c r="AX9" i="35"/>
  <c r="AC90" i="6"/>
  <c r="AT12" i="7"/>
  <c r="AD71" i="24"/>
  <c r="AB6" i="17"/>
  <c r="AT13" i="15"/>
  <c r="AC31" i="37"/>
  <c r="BA11" i="7"/>
  <c r="AA132" i="11"/>
  <c r="Z130" i="6"/>
  <c r="AA80" i="34"/>
  <c r="AY15" i="59"/>
  <c r="AC81" i="35"/>
  <c r="AD42" i="20"/>
  <c r="AX4" i="35"/>
  <c r="Z61" i="5"/>
  <c r="AD132" i="7"/>
  <c r="AD60" i="11"/>
  <c r="AP11" i="59"/>
  <c r="Z20" i="5"/>
  <c r="AD122" i="4"/>
  <c r="Z41" i="7"/>
  <c r="AX3" i="35"/>
  <c r="AD32" i="24"/>
  <c r="AC31" i="35"/>
  <c r="AC110" i="8"/>
  <c r="AD70" i="16"/>
  <c r="O126" i="22"/>
  <c r="AA80" i="24"/>
  <c r="AA132" i="22"/>
  <c r="BA11" i="4"/>
  <c r="Z21" i="6"/>
  <c r="O136" i="35"/>
  <c r="Z52" i="16"/>
  <c r="AC31" i="14"/>
  <c r="AD32" i="4"/>
  <c r="AD70" i="5"/>
  <c r="AT9" i="10"/>
  <c r="BA8" i="59"/>
  <c r="AC60" i="35"/>
  <c r="AA71" i="15"/>
  <c r="AS3" i="37"/>
  <c r="AD42" i="7"/>
  <c r="AX13" i="7"/>
  <c r="AA31" i="8"/>
  <c r="Z40" i="24"/>
  <c r="Z61" i="24"/>
  <c r="AY13" i="4"/>
  <c r="AC90" i="33"/>
  <c r="Z110" i="35"/>
  <c r="Z82" i="17"/>
  <c r="AA52" i="19"/>
  <c r="AD42" i="17"/>
  <c r="AC92" i="11"/>
  <c r="AA111" i="8"/>
  <c r="AC31" i="34"/>
  <c r="AB14" i="5"/>
  <c r="AX6" i="4"/>
  <c r="AT8" i="24"/>
  <c r="AR8" i="19"/>
  <c r="AA81" i="34"/>
  <c r="Z131" i="34"/>
  <c r="BA5" i="24"/>
  <c r="Z81" i="15"/>
  <c r="AA111" i="34"/>
  <c r="AY12" i="11"/>
  <c r="AT11" i="34"/>
  <c r="AD62" i="8"/>
  <c r="Z122" i="17"/>
  <c r="AZ9" i="59"/>
  <c r="AA62" i="6"/>
  <c r="AB5" i="15"/>
  <c r="AB8" i="6"/>
  <c r="AD31" i="35"/>
  <c r="AA62" i="8"/>
  <c r="AA122" i="37"/>
  <c r="AT13" i="6"/>
  <c r="AA20" i="11"/>
  <c r="AD132" i="22"/>
  <c r="O136" i="59"/>
  <c r="O96" i="8"/>
  <c r="O36" i="24"/>
  <c r="AT16" i="19"/>
  <c r="Z20" i="7"/>
  <c r="Z132" i="16"/>
  <c r="AA80" i="17"/>
  <c r="AA72" i="6"/>
  <c r="AD91" i="22"/>
  <c r="AD112" i="35"/>
  <c r="AA52" i="17"/>
  <c r="Z62" i="34"/>
  <c r="AA111" i="59"/>
  <c r="O26" i="35"/>
  <c r="AY5" i="37"/>
  <c r="AR12" i="4"/>
  <c r="AB11" i="37"/>
  <c r="Z31" i="11"/>
  <c r="BA7" i="34"/>
  <c r="AC132" i="22"/>
  <c r="AA40" i="34"/>
  <c r="P9" i="59"/>
  <c r="AC132" i="24"/>
  <c r="AS3" i="4"/>
  <c r="AC131" i="20"/>
  <c r="O46" i="34"/>
  <c r="AA61" i="6"/>
  <c r="O126" i="8"/>
  <c r="Z120" i="15"/>
  <c r="AA91" i="5"/>
  <c r="AC131" i="15"/>
  <c r="AC62" i="17"/>
  <c r="AX4" i="20"/>
  <c r="AB14" i="24"/>
  <c r="BA9" i="11"/>
  <c r="O106" i="19"/>
  <c r="O56" i="7"/>
  <c r="AC81" i="6"/>
  <c r="AC111" i="8"/>
  <c r="AC111" i="5"/>
  <c r="AO5" i="59"/>
  <c r="AD82" i="6"/>
  <c r="Z100" i="6"/>
  <c r="AX12" i="16"/>
  <c r="Z92" i="35"/>
  <c r="Z50" i="6"/>
  <c r="AA130" i="22"/>
  <c r="AB9" i="16"/>
  <c r="AC101" i="22"/>
  <c r="AD71" i="6"/>
  <c r="AD20" i="37"/>
  <c r="AT12" i="11"/>
  <c r="AY7" i="22"/>
  <c r="Z120" i="6"/>
  <c r="Z102" i="6"/>
  <c r="AD91" i="35"/>
  <c r="AD41" i="6"/>
  <c r="AC112" i="10"/>
  <c r="AD101" i="8"/>
  <c r="Z82" i="37"/>
  <c r="Z31" i="7"/>
  <c r="AA110" i="15"/>
  <c r="AD132" i="35"/>
  <c r="AA41" i="8"/>
  <c r="AC91" i="35"/>
  <c r="O96" i="14"/>
  <c r="AR15" i="22"/>
  <c r="AT5" i="6"/>
  <c r="Z92" i="37"/>
  <c r="AA121" i="20"/>
  <c r="AZ10" i="59"/>
  <c r="O56" i="10"/>
  <c r="AY5" i="10"/>
  <c r="BA11" i="5"/>
  <c r="Z80" i="11"/>
  <c r="AD92" i="11"/>
  <c r="AA62" i="16"/>
  <c r="AX12" i="20"/>
  <c r="AT6" i="8"/>
  <c r="Z40" i="4"/>
  <c r="AY12" i="59"/>
  <c r="AY7" i="24"/>
  <c r="AT15" i="24"/>
  <c r="AA31" i="5"/>
  <c r="AD70" i="24"/>
  <c r="AA70" i="5"/>
  <c r="AR13" i="4"/>
  <c r="Z41" i="14"/>
  <c r="AB6" i="4"/>
  <c r="AA42" i="11"/>
  <c r="Z61" i="35"/>
  <c r="AX3" i="22"/>
  <c r="AA71" i="16"/>
  <c r="AC70" i="24"/>
  <c r="AA121" i="5"/>
  <c r="O46" i="33"/>
  <c r="Z102" i="4"/>
  <c r="AB4" i="4"/>
  <c r="AQ3" i="8"/>
  <c r="AB4" i="59"/>
  <c r="AD70" i="33"/>
  <c r="AD80" i="22"/>
  <c r="AC111" i="4"/>
  <c r="AD61" i="4"/>
  <c r="AA30" i="22"/>
  <c r="O56" i="4"/>
  <c r="Z101" i="19"/>
  <c r="AD71" i="5"/>
  <c r="AB12" i="22"/>
  <c r="AA101" i="35"/>
  <c r="AA71" i="6"/>
  <c r="AB12" i="20"/>
  <c r="Z90" i="35"/>
  <c r="AC20" i="4"/>
  <c r="AA120" i="35"/>
  <c r="AD51" i="22"/>
  <c r="AB16" i="35"/>
  <c r="AD122" i="37"/>
  <c r="AD30" i="10"/>
  <c r="AC61" i="59"/>
  <c r="O136" i="19"/>
  <c r="Z112" i="17"/>
  <c r="AC32" i="16"/>
  <c r="AR5" i="34"/>
  <c r="AR14" i="4"/>
  <c r="O56" i="33"/>
  <c r="O76" i="19"/>
  <c r="AX14" i="11"/>
  <c r="AD121" i="4"/>
  <c r="AX13" i="8"/>
  <c r="AC72" i="16"/>
  <c r="AT10" i="20"/>
  <c r="Z82" i="35"/>
  <c r="Z20" i="8"/>
  <c r="AA101" i="22"/>
  <c r="AY10" i="20"/>
  <c r="Z32" i="15"/>
  <c r="AD100" i="22"/>
  <c r="O26" i="5"/>
  <c r="AA20" i="4"/>
  <c r="AB14" i="37"/>
  <c r="O96" i="19"/>
  <c r="AA72" i="24"/>
  <c r="Z21" i="24"/>
  <c r="AT4" i="35"/>
  <c r="AB7" i="16"/>
  <c r="AA120" i="22"/>
  <c r="O86" i="10"/>
  <c r="AC132" i="20"/>
  <c r="AT6" i="6"/>
  <c r="AA51" i="8"/>
  <c r="AC50" i="59"/>
  <c r="Z92" i="59"/>
  <c r="AA22" i="24"/>
  <c r="AC22" i="11"/>
  <c r="Z100" i="34"/>
  <c r="AY6" i="37"/>
  <c r="AC132" i="59"/>
  <c r="AY13" i="22"/>
  <c r="AD20" i="22"/>
  <c r="AC32" i="6"/>
  <c r="O36" i="35"/>
  <c r="AD61" i="6"/>
  <c r="O36" i="37"/>
  <c r="AR14" i="35"/>
  <c r="O86" i="11"/>
  <c r="AA22" i="4"/>
  <c r="AY6" i="11"/>
  <c r="AY5" i="22"/>
  <c r="AT13" i="4"/>
  <c r="O106" i="59"/>
  <c r="O36" i="10"/>
  <c r="AY14" i="10"/>
  <c r="Z30" i="35"/>
  <c r="AD81" i="22"/>
  <c r="AZ15" i="59"/>
  <c r="AR10" i="22"/>
  <c r="AC80" i="8"/>
  <c r="AR9" i="34"/>
  <c r="AC112" i="15"/>
  <c r="Z112" i="35"/>
  <c r="AA102" i="16"/>
  <c r="AY13" i="19"/>
  <c r="AY14" i="24"/>
  <c r="AC81" i="34"/>
  <c r="BA11" i="6"/>
  <c r="AR10" i="8"/>
  <c r="BA11" i="22"/>
  <c r="AD72" i="15"/>
  <c r="AD102" i="5"/>
  <c r="AR10" i="11"/>
  <c r="AC21" i="8"/>
  <c r="AD22" i="5"/>
  <c r="AC131" i="7"/>
  <c r="AC80" i="24"/>
  <c r="O106" i="17"/>
  <c r="Z51" i="8"/>
  <c r="AC70" i="5"/>
  <c r="AA60" i="17"/>
  <c r="AD20" i="8"/>
  <c r="AA50" i="20"/>
  <c r="AB6" i="24"/>
  <c r="Z91" i="6"/>
  <c r="AT12" i="5"/>
  <c r="Z21" i="19"/>
  <c r="AT13" i="59"/>
  <c r="Z22" i="6"/>
  <c r="AB13" i="6"/>
  <c r="AD42" i="15"/>
  <c r="AR9" i="11"/>
  <c r="AT11" i="19"/>
  <c r="AB6" i="35"/>
  <c r="AC92" i="59"/>
  <c r="BA14" i="11"/>
  <c r="AC31" i="15"/>
  <c r="O56" i="15"/>
  <c r="AR6" i="19"/>
  <c r="AA131" i="8"/>
  <c r="AC51" i="15"/>
  <c r="O136" i="14"/>
  <c r="Z90" i="19"/>
  <c r="AY7" i="8"/>
  <c r="BA8" i="35"/>
  <c r="Z100" i="11"/>
  <c r="AA111" i="6"/>
  <c r="AB15" i="6"/>
  <c r="O106" i="33"/>
  <c r="AD80" i="8"/>
  <c r="AC131" i="35"/>
  <c r="AT15" i="8"/>
  <c r="BA4" i="4"/>
  <c r="AC70" i="37"/>
  <c r="AD132" i="4"/>
  <c r="AB11" i="22"/>
  <c r="BA6" i="17"/>
  <c r="AD41" i="35"/>
  <c r="O76" i="10"/>
  <c r="AC72" i="35"/>
  <c r="O86" i="4"/>
  <c r="AA50" i="35"/>
  <c r="AX14" i="22"/>
  <c r="AD60" i="20"/>
  <c r="AB15" i="8"/>
  <c r="AB9" i="20"/>
  <c r="AU15" i="59"/>
  <c r="AC82" i="5"/>
  <c r="O116" i="16"/>
  <c r="AT10" i="34"/>
  <c r="O106" i="35"/>
  <c r="AA50" i="24"/>
  <c r="AA82" i="8"/>
  <c r="BA14" i="17"/>
  <c r="AC121" i="11"/>
  <c r="AT6" i="24"/>
  <c r="AC62" i="22"/>
  <c r="AY9" i="20"/>
  <c r="AA21" i="7"/>
  <c r="AC52" i="8"/>
  <c r="BA14" i="59"/>
  <c r="AA122" i="15"/>
  <c r="AR10" i="17"/>
  <c r="AC40" i="6"/>
  <c r="O66" i="10"/>
  <c r="Z70" i="11"/>
  <c r="AA21" i="10"/>
  <c r="AA91" i="19"/>
  <c r="AX6" i="22"/>
  <c r="O46" i="59"/>
  <c r="O126" i="6"/>
  <c r="O96" i="24"/>
  <c r="Z100" i="22"/>
  <c r="AC62" i="37"/>
  <c r="AD92" i="17"/>
  <c r="AC31" i="22"/>
  <c r="AA91" i="20"/>
  <c r="AT13" i="8"/>
  <c r="AR7" i="37"/>
  <c r="AC41" i="20"/>
  <c r="AA112" i="22"/>
  <c r="Z21" i="11"/>
  <c r="AB16" i="8"/>
  <c r="AD81" i="6"/>
  <c r="BA8" i="20"/>
  <c r="AQ3" i="5"/>
  <c r="AA110" i="10"/>
  <c r="AA102" i="7"/>
  <c r="Z20" i="59"/>
  <c r="AC21" i="6"/>
  <c r="AT15" i="6"/>
  <c r="AC100" i="20"/>
  <c r="AX14" i="35"/>
  <c r="AA61" i="35"/>
  <c r="Z31" i="8"/>
  <c r="AC111" i="35"/>
  <c r="O46" i="17"/>
  <c r="AD120" i="24"/>
  <c r="AA52" i="22"/>
  <c r="AD112" i="15"/>
  <c r="BA5" i="15"/>
  <c r="AD31" i="19"/>
  <c r="Z70" i="35"/>
  <c r="AD40" i="22"/>
  <c r="AA101" i="19"/>
  <c r="AD42" i="24"/>
  <c r="BA5" i="6"/>
  <c r="O26" i="7"/>
  <c r="AA82" i="19"/>
  <c r="BA11" i="59"/>
  <c r="Z40" i="34"/>
  <c r="AX9" i="4"/>
  <c r="Z90" i="11"/>
  <c r="AA22" i="15"/>
  <c r="AA41" i="15"/>
  <c r="O126" i="15"/>
  <c r="AX15" i="6"/>
  <c r="AT7" i="34"/>
  <c r="O116" i="37"/>
  <c r="AA22" i="17"/>
  <c r="AA131" i="37"/>
  <c r="AC71" i="14"/>
  <c r="AC50" i="35"/>
  <c r="AD20" i="15"/>
  <c r="AA130" i="6"/>
  <c r="AA31" i="22"/>
  <c r="AR5" i="11"/>
  <c r="AA71" i="11"/>
  <c r="O46" i="15"/>
  <c r="O56" i="35"/>
  <c r="O66" i="6"/>
  <c r="Z82" i="22"/>
  <c r="AA120" i="20"/>
  <c r="AA32" i="4"/>
  <c r="BA4" i="10"/>
  <c r="Z31" i="17"/>
  <c r="O96" i="10"/>
  <c r="AX15" i="10"/>
  <c r="AC92" i="20"/>
  <c r="Z21" i="8"/>
  <c r="AR8" i="10"/>
  <c r="AY7" i="17"/>
  <c r="BA6" i="7"/>
  <c r="BA7" i="6"/>
  <c r="O86" i="7"/>
  <c r="O116" i="34"/>
  <c r="AD102" i="8"/>
  <c r="AC42" i="6"/>
  <c r="BA6" i="20"/>
  <c r="O56" i="6"/>
  <c r="AX13" i="15"/>
  <c r="AO6" i="59"/>
  <c r="AD90" i="4"/>
  <c r="AT8" i="37"/>
  <c r="AC122" i="8"/>
  <c r="AD82" i="15"/>
  <c r="BA9" i="15"/>
  <c r="AR14" i="6"/>
  <c r="O36" i="20"/>
  <c r="AA21" i="15"/>
  <c r="AC32" i="15"/>
  <c r="AA71" i="17"/>
  <c r="Z122" i="35"/>
  <c r="AT5" i="8"/>
  <c r="AA122" i="22"/>
  <c r="AC72" i="34"/>
  <c r="O66" i="20"/>
  <c r="AT6" i="4"/>
  <c r="Z62" i="15"/>
  <c r="AR11" i="59"/>
  <c r="Z101" i="17"/>
  <c r="Z111" i="59"/>
  <c r="AD131" i="5"/>
  <c r="BA5" i="8"/>
  <c r="Z42" i="6"/>
  <c r="AT7" i="59"/>
  <c r="AD121" i="17"/>
  <c r="Z50" i="34"/>
  <c r="AD21" i="15"/>
  <c r="AD102" i="37"/>
  <c r="AB9" i="35"/>
  <c r="AD130" i="6"/>
  <c r="Z80" i="37"/>
  <c r="AY5" i="14"/>
  <c r="Z72" i="37"/>
  <c r="AY11" i="35"/>
  <c r="AD91" i="7"/>
  <c r="O26" i="33"/>
  <c r="AC70" i="4"/>
  <c r="O56" i="24"/>
  <c r="AA62" i="17"/>
  <c r="AC60" i="10"/>
  <c r="Z120" i="22"/>
  <c r="AA70" i="7"/>
  <c r="AR12" i="34"/>
  <c r="AB11" i="15"/>
  <c r="AT10" i="6"/>
  <c r="AA32" i="22"/>
  <c r="AA51" i="17"/>
  <c r="AD30" i="11"/>
  <c r="AA22" i="16"/>
  <c r="Z60" i="34"/>
  <c r="AA21" i="6"/>
  <c r="AX8" i="8"/>
  <c r="AC21" i="22"/>
  <c r="O26" i="6"/>
  <c r="AA50" i="59"/>
  <c r="AA111" i="22"/>
  <c r="AD102" i="6"/>
  <c r="AD101" i="59"/>
  <c r="Z132" i="8"/>
  <c r="AY10" i="6"/>
  <c r="AC82" i="37"/>
  <c r="AC70" i="6"/>
  <c r="AA70" i="34"/>
  <c r="Z101" i="37"/>
  <c r="AD102" i="19"/>
  <c r="AA41" i="20"/>
  <c r="AA120" i="59"/>
  <c r="AC61" i="5"/>
  <c r="AC101" i="14"/>
  <c r="AC30" i="24"/>
  <c r="AD101" i="5"/>
  <c r="Z121" i="7"/>
  <c r="AB13" i="22"/>
  <c r="O66" i="37"/>
  <c r="AT8" i="17"/>
  <c r="Z51" i="6"/>
  <c r="BA4" i="22"/>
  <c r="AA70" i="15"/>
  <c r="O106" i="5"/>
  <c r="AA50" i="6"/>
  <c r="BA7" i="59"/>
  <c r="AC60" i="6"/>
  <c r="Z31" i="37"/>
  <c r="Z41" i="34"/>
  <c r="AC41" i="6"/>
  <c r="AR6" i="16"/>
  <c r="Z80" i="24"/>
  <c r="AA102" i="8"/>
  <c r="AA101" i="11"/>
  <c r="Z21" i="35"/>
  <c r="AC71" i="19"/>
  <c r="AC111" i="7"/>
  <c r="AD110" i="35"/>
  <c r="AB12" i="8"/>
  <c r="AR12" i="22"/>
  <c r="AY9" i="6"/>
  <c r="AD61" i="34"/>
  <c r="AY5" i="34"/>
  <c r="AB9" i="6"/>
  <c r="AA102" i="6"/>
  <c r="AC131" i="6"/>
  <c r="AY7" i="4"/>
  <c r="Z41" i="22"/>
  <c r="O106" i="10"/>
  <c r="BA7" i="20"/>
  <c r="AQ3" i="15"/>
  <c r="O136" i="10"/>
  <c r="AA111" i="20"/>
  <c r="AC122" i="10"/>
  <c r="AA80" i="35"/>
  <c r="O66" i="8"/>
  <c r="AA102" i="20"/>
  <c r="O76" i="35"/>
  <c r="AC81" i="20"/>
  <c r="O106" i="7"/>
  <c r="AC71" i="11"/>
  <c r="AC122" i="11"/>
  <c r="AT16" i="35"/>
  <c r="AA42" i="24"/>
  <c r="AC30" i="17"/>
  <c r="BA4" i="8"/>
  <c r="AC132" i="17"/>
  <c r="AA40" i="6"/>
  <c r="Z112" i="15"/>
  <c r="AB9" i="4"/>
  <c r="AD132" i="34"/>
  <c r="Z132" i="17"/>
  <c r="AD130" i="34"/>
  <c r="Z30" i="8"/>
  <c r="AD61" i="11"/>
  <c r="AD132" i="8"/>
  <c r="AT4" i="4"/>
  <c r="AC70" i="35"/>
  <c r="Z90" i="15"/>
  <c r="AX10" i="7"/>
  <c r="AA20" i="22"/>
  <c r="AR10" i="34"/>
  <c r="AD121" i="6"/>
  <c r="O126" i="16"/>
  <c r="AA90" i="16"/>
  <c r="AD101" i="22"/>
  <c r="AD70" i="6"/>
  <c r="Z42" i="34"/>
  <c r="AA101" i="6"/>
  <c r="AD61" i="37"/>
  <c r="AD91" i="14"/>
  <c r="AA42" i="6"/>
  <c r="AY5" i="4"/>
  <c r="AY15" i="4"/>
  <c r="Z122" i="22"/>
  <c r="O46" i="16"/>
  <c r="AA60" i="24"/>
  <c r="AA82" i="35"/>
  <c r="AD110" i="20"/>
  <c r="O116" i="22"/>
  <c r="AA51" i="22"/>
  <c r="BA12" i="6"/>
  <c r="AD131" i="59"/>
  <c r="Z122" i="24"/>
  <c r="AT12" i="6"/>
  <c r="AX5" i="34"/>
  <c r="AD31" i="24"/>
  <c r="Z101" i="34"/>
  <c r="AB7" i="11"/>
  <c r="AY7" i="10"/>
  <c r="Z40" i="59"/>
  <c r="AA61" i="17"/>
  <c r="AA21" i="8"/>
  <c r="AY9" i="17"/>
  <c r="AA22" i="37"/>
  <c r="AX3" i="8"/>
  <c r="Z62" i="20"/>
  <c r="Z60" i="5"/>
  <c r="AD90" i="59"/>
  <c r="Z40" i="6"/>
  <c r="BA6" i="8"/>
  <c r="AT15" i="33"/>
  <c r="AX15" i="59"/>
  <c r="Z101" i="20"/>
  <c r="AT5" i="22"/>
  <c r="O55" i="60"/>
  <c r="AD21" i="35"/>
  <c r="AA62" i="59"/>
  <c r="AC112" i="22"/>
  <c r="AT10" i="33"/>
  <c r="O126" i="11"/>
  <c r="BA14" i="8"/>
  <c r="AA61" i="19"/>
  <c r="O46" i="6"/>
  <c r="AR8" i="4"/>
  <c r="AT7" i="35"/>
  <c r="O86" i="19"/>
  <c r="AY7" i="15"/>
  <c r="AB10" i="20"/>
  <c r="O126" i="37"/>
  <c r="AX3" i="33"/>
  <c r="AT10" i="35"/>
  <c r="AD121" i="59"/>
  <c r="AB9" i="22"/>
  <c r="Z62" i="22"/>
  <c r="Z60" i="22"/>
  <c r="O46" i="37"/>
  <c r="AA91" i="22"/>
  <c r="AC32" i="34"/>
  <c r="O76" i="14"/>
  <c r="AA51" i="37"/>
  <c r="AY4" i="17"/>
  <c r="Z72" i="33"/>
  <c r="AA71" i="7"/>
  <c r="AQ6" i="59"/>
  <c r="AC72" i="4"/>
  <c r="AD50" i="6"/>
  <c r="AC102" i="35"/>
  <c r="AA71" i="20"/>
  <c r="AA71" i="8"/>
  <c r="BA13" i="5"/>
  <c r="AD41" i="11"/>
  <c r="BA7" i="35"/>
  <c r="BA14" i="24"/>
  <c r="Z92" i="22"/>
  <c r="Z121" i="24"/>
  <c r="AC112" i="20"/>
  <c r="AY14" i="35"/>
  <c r="AA100" i="35"/>
  <c r="AD21" i="8"/>
  <c r="Z20" i="22"/>
  <c r="AA30" i="8"/>
  <c r="AC70" i="59"/>
  <c r="AA112" i="20"/>
  <c r="Z60" i="35"/>
  <c r="Z70" i="6"/>
  <c r="AD72" i="34"/>
  <c r="AT4" i="20"/>
  <c r="O126" i="4"/>
  <c r="AS10" i="59"/>
  <c r="AA91" i="24"/>
  <c r="AR15" i="4"/>
  <c r="AD70" i="34"/>
  <c r="AX11" i="5"/>
  <c r="AT5" i="4"/>
  <c r="AR5" i="35"/>
  <c r="AX5" i="37"/>
  <c r="AA60" i="35"/>
  <c r="AA100" i="22"/>
  <c r="O96" i="59"/>
  <c r="AQ3" i="59"/>
  <c r="AY11" i="11"/>
  <c r="O56" i="8"/>
  <c r="AC21" i="35"/>
  <c r="AY6" i="35"/>
  <c r="AD62" i="11"/>
  <c r="AC91" i="8"/>
  <c r="AA80" i="5"/>
  <c r="AB4" i="34"/>
  <c r="AD40" i="34"/>
  <c r="AC110" i="35"/>
  <c r="AA81" i="35"/>
  <c r="AC61" i="10"/>
  <c r="AA20" i="24"/>
  <c r="Z82" i="20"/>
  <c r="BA6" i="6"/>
  <c r="Z100" i="15"/>
  <c r="O26" i="15"/>
  <c r="BA15" i="22"/>
  <c r="AC100" i="8"/>
  <c r="AD31" i="20"/>
  <c r="AA40" i="35"/>
  <c r="Z62" i="14"/>
  <c r="AC101" i="8"/>
  <c r="AB7" i="19"/>
  <c r="AT16" i="20"/>
  <c r="O96" i="22"/>
  <c r="AT10" i="11"/>
  <c r="AD50" i="35"/>
  <c r="O66" i="22"/>
  <c r="AD102" i="17"/>
  <c r="AC71" i="20"/>
  <c r="AB11" i="34"/>
  <c r="AC71" i="22"/>
  <c r="AA130" i="4"/>
  <c r="AD110" i="19"/>
  <c r="AD90" i="17"/>
  <c r="AA122" i="59"/>
  <c r="AC51" i="6"/>
  <c r="BA14" i="22"/>
  <c r="O116" i="19"/>
  <c r="AC121" i="6"/>
  <c r="AD92" i="20"/>
  <c r="AX13" i="20"/>
  <c r="BA9" i="22"/>
  <c r="Z80" i="16"/>
  <c r="AD20" i="17"/>
  <c r="AA121" i="24"/>
  <c r="Z101" i="8"/>
  <c r="AS3" i="11"/>
  <c r="Z31" i="24"/>
  <c r="AC52" i="35"/>
  <c r="Z92" i="11"/>
  <c r="AD62" i="24"/>
  <c r="O36" i="8"/>
  <c r="O106" i="16"/>
  <c r="AA31" i="4"/>
  <c r="AD20" i="7"/>
  <c r="AA42" i="33"/>
  <c r="O136" i="37"/>
  <c r="AA112" i="11"/>
  <c r="AC60" i="24"/>
  <c r="AC120" i="7"/>
  <c r="AD60" i="37"/>
  <c r="AA52" i="34"/>
  <c r="O65" i="60"/>
  <c r="O126" i="59"/>
  <c r="O56" i="37"/>
  <c r="O46" i="5"/>
  <c r="O116" i="10"/>
  <c r="O46" i="10"/>
  <c r="O66" i="24"/>
  <c r="O96" i="7"/>
  <c r="O96" i="17"/>
  <c r="O76" i="7"/>
  <c r="O66" i="19"/>
  <c r="O106" i="15"/>
  <c r="O26" i="17"/>
  <c r="O66" i="7"/>
  <c r="O26" i="14"/>
  <c r="O126" i="5"/>
  <c r="O46" i="4"/>
  <c r="O26" i="4"/>
  <c r="O26" i="59"/>
  <c r="O106" i="22"/>
  <c r="O46" i="24"/>
  <c r="O116" i="6"/>
  <c r="O46" i="35"/>
  <c r="O136" i="6"/>
  <c r="O136" i="8"/>
  <c r="O96" i="15"/>
  <c r="O56" i="11"/>
  <c r="S27" i="11" l="1"/>
  <c r="R71" i="22"/>
  <c r="R121" i="22"/>
  <c r="Q96" i="34"/>
  <c r="Y11" i="11"/>
  <c r="R95" i="11" s="1"/>
  <c r="X11" i="11"/>
  <c r="P95" i="11" s="1"/>
  <c r="Q56" i="19"/>
  <c r="R131" i="22"/>
  <c r="R41" i="6"/>
  <c r="Q26" i="34"/>
  <c r="R52" i="35"/>
  <c r="R102" i="11"/>
  <c r="U11" i="11"/>
  <c r="S102" i="11" s="1"/>
  <c r="Q28" i="59"/>
  <c r="Q47" i="35"/>
  <c r="Y6" i="4"/>
  <c r="R45" i="4" s="1"/>
  <c r="X6" i="4"/>
  <c r="P45" i="4" s="1"/>
  <c r="S88" i="59"/>
  <c r="R132" i="35"/>
  <c r="R121" i="24"/>
  <c r="R51" i="35"/>
  <c r="R111" i="5"/>
  <c r="Q58" i="59"/>
  <c r="AY16" i="17"/>
  <c r="R32" i="17"/>
  <c r="Q76" i="22"/>
  <c r="X11" i="35"/>
  <c r="P95" i="35" s="1"/>
  <c r="Y11" i="35"/>
  <c r="R95" i="35" s="1"/>
  <c r="Q86" i="20"/>
  <c r="R62" i="15"/>
  <c r="Y8" i="35"/>
  <c r="R65" i="35" s="1"/>
  <c r="X8" i="35"/>
  <c r="P65" i="35" s="1"/>
  <c r="Q87" i="4"/>
  <c r="Q77" i="4"/>
  <c r="R121" i="8"/>
  <c r="X11" i="33"/>
  <c r="P95" i="33" s="1"/>
  <c r="Y11" i="33"/>
  <c r="R95" i="33" s="1"/>
  <c r="X6" i="22"/>
  <c r="P45" i="22" s="1"/>
  <c r="Y6" i="22"/>
  <c r="R45" i="22" s="1"/>
  <c r="R41" i="8"/>
  <c r="R82" i="17"/>
  <c r="U7" i="10"/>
  <c r="S62" i="10" s="1"/>
  <c r="R62" i="10"/>
  <c r="AD7" i="11"/>
  <c r="Q56" i="11"/>
  <c r="Y13" i="6"/>
  <c r="R115" i="6" s="1"/>
  <c r="X13" i="6"/>
  <c r="P115" i="6" s="1"/>
  <c r="R101" i="6"/>
  <c r="R42" i="4"/>
  <c r="Q97" i="34"/>
  <c r="Y5" i="4"/>
  <c r="R35" i="4" s="1"/>
  <c r="X5" i="4"/>
  <c r="P35" i="4" s="1"/>
  <c r="Q76" i="4"/>
  <c r="R21" i="8"/>
  <c r="Q28" i="15"/>
  <c r="R51" i="20"/>
  <c r="R62" i="4"/>
  <c r="Q76" i="6"/>
  <c r="R42" i="34"/>
  <c r="R82" i="6"/>
  <c r="Q117" i="22"/>
  <c r="Q106" i="8"/>
  <c r="Q57" i="16"/>
  <c r="R51" i="59"/>
  <c r="R21" i="22"/>
  <c r="Y9" i="17"/>
  <c r="R75" i="17" s="1"/>
  <c r="X9" i="17"/>
  <c r="P75" i="17" s="1"/>
  <c r="Q116" i="22"/>
  <c r="R92" i="6"/>
  <c r="X11" i="6"/>
  <c r="P95" i="6" s="1"/>
  <c r="Y11" i="6"/>
  <c r="R95" i="6" s="1"/>
  <c r="Q96" i="15"/>
  <c r="Q117" i="34"/>
  <c r="R102" i="35"/>
  <c r="R42" i="14"/>
  <c r="Q76" i="35"/>
  <c r="X8" i="59"/>
  <c r="P65" i="59" s="1"/>
  <c r="Y8" i="59"/>
  <c r="R65" i="59" s="1"/>
  <c r="R31" i="8"/>
  <c r="Q107" i="59"/>
  <c r="Y7" i="4"/>
  <c r="R55" i="4" s="1"/>
  <c r="X7" i="4"/>
  <c r="P55" i="4" s="1"/>
  <c r="X6" i="8"/>
  <c r="P45" i="8" s="1"/>
  <c r="S45" i="8" s="1"/>
  <c r="Y6" i="8"/>
  <c r="R45" i="8" s="1"/>
  <c r="Q137" i="6"/>
  <c r="R71" i="15"/>
  <c r="X9" i="37"/>
  <c r="P75" i="37" s="1"/>
  <c r="Y9" i="37"/>
  <c r="R75" i="37" s="1"/>
  <c r="R41" i="20"/>
  <c r="R51" i="6"/>
  <c r="R41" i="7"/>
  <c r="R62" i="17"/>
  <c r="Q87" i="10"/>
  <c r="Q77" i="10"/>
  <c r="R21" i="10"/>
  <c r="Q47" i="11"/>
  <c r="Y8" i="34"/>
  <c r="R65" i="34" s="1"/>
  <c r="X8" i="34"/>
  <c r="P65" i="34" s="1"/>
  <c r="R91" i="59"/>
  <c r="R31" i="6"/>
  <c r="R31" i="15"/>
  <c r="Q28" i="5"/>
  <c r="R61" i="20"/>
  <c r="K18" i="8"/>
  <c r="Q67" i="37"/>
  <c r="Y14" i="8"/>
  <c r="R125" i="8" s="1"/>
  <c r="X14" i="8"/>
  <c r="P125" i="8" s="1"/>
  <c r="Q97" i="17"/>
  <c r="R121" i="59"/>
  <c r="R82" i="20"/>
  <c r="Y7" i="24"/>
  <c r="R55" i="24" s="1"/>
  <c r="X7" i="24"/>
  <c r="P55" i="24" s="1"/>
  <c r="R121" i="17"/>
  <c r="Y11" i="34"/>
  <c r="R95" i="34" s="1"/>
  <c r="X11" i="34"/>
  <c r="P95" i="34" s="1"/>
  <c r="Q76" i="20"/>
  <c r="Q136" i="8"/>
  <c r="R41" i="17"/>
  <c r="Q96" i="22"/>
  <c r="R21" i="4"/>
  <c r="Q136" i="6"/>
  <c r="R61" i="35"/>
  <c r="R62" i="8"/>
  <c r="Q57" i="19"/>
  <c r="T14" i="11"/>
  <c r="S121" i="11"/>
  <c r="R121" i="11"/>
  <c r="Q46" i="35"/>
  <c r="Y12" i="19"/>
  <c r="R105" i="19" s="1"/>
  <c r="X12" i="19"/>
  <c r="P105" i="19" s="1"/>
  <c r="Q116" i="6"/>
  <c r="X14" i="59"/>
  <c r="P125" i="59" s="1"/>
  <c r="Y14" i="59"/>
  <c r="R125" i="59" s="1"/>
  <c r="X13" i="5"/>
  <c r="P115" i="5" s="1"/>
  <c r="Y13" i="5"/>
  <c r="R115" i="5" s="1"/>
  <c r="Q46" i="24"/>
  <c r="Q97" i="11"/>
  <c r="R91" i="22"/>
  <c r="Q97" i="8"/>
  <c r="R91" i="6"/>
  <c r="R132" i="24"/>
  <c r="R122" i="19"/>
  <c r="Q97" i="22"/>
  <c r="W15" i="59"/>
  <c r="S133" i="59" s="1"/>
  <c r="Q15" i="59"/>
  <c r="Q130" i="59" s="1"/>
  <c r="AM15" i="59"/>
  <c r="AN15" i="59"/>
  <c r="R132" i="10"/>
  <c r="U14" i="10"/>
  <c r="S132" i="10" s="1"/>
  <c r="Y14" i="4"/>
  <c r="R125" i="4" s="1"/>
  <c r="X14" i="4"/>
  <c r="P125" i="4" s="1"/>
  <c r="R42" i="22"/>
  <c r="R52" i="11"/>
  <c r="Q137" i="35"/>
  <c r="R122" i="22"/>
  <c r="R52" i="37"/>
  <c r="Y7" i="6"/>
  <c r="R55" i="6" s="1"/>
  <c r="X7" i="6"/>
  <c r="P55" i="6" s="1"/>
  <c r="Q56" i="16"/>
  <c r="Y5" i="35"/>
  <c r="R35" i="35" s="1"/>
  <c r="X5" i="35"/>
  <c r="P35" i="35" s="1"/>
  <c r="Q126" i="37"/>
  <c r="R92" i="20"/>
  <c r="Y11" i="20"/>
  <c r="R95" i="20" s="1"/>
  <c r="X11" i="20"/>
  <c r="P95" i="20" s="1"/>
  <c r="Q137" i="4"/>
  <c r="Q47" i="34"/>
  <c r="K18" i="35"/>
  <c r="Q106" i="20"/>
  <c r="Q106" i="22"/>
  <c r="Q26" i="59"/>
  <c r="Q28" i="8"/>
  <c r="Q26" i="4"/>
  <c r="Q46" i="4"/>
  <c r="Q127" i="4"/>
  <c r="R62" i="24"/>
  <c r="R112" i="59"/>
  <c r="X7" i="8"/>
  <c r="P55" i="8" s="1"/>
  <c r="Y7" i="8"/>
  <c r="R55" i="8" s="1"/>
  <c r="R91" i="5"/>
  <c r="R42" i="10"/>
  <c r="AM10" i="59"/>
  <c r="AN10" i="59"/>
  <c r="Q10" i="59"/>
  <c r="Q80" i="59" s="1"/>
  <c r="X6" i="6"/>
  <c r="P45" i="6" s="1"/>
  <c r="Y6" i="6"/>
  <c r="R45" i="6" s="1"/>
  <c r="R62" i="22"/>
  <c r="X13" i="11"/>
  <c r="P115" i="11" s="1"/>
  <c r="Y13" i="11"/>
  <c r="R115" i="11" s="1"/>
  <c r="Q76" i="16"/>
  <c r="S71" i="11"/>
  <c r="R71" i="11"/>
  <c r="T9" i="11"/>
  <c r="Q126" i="24"/>
  <c r="S27" i="4"/>
  <c r="N78" i="59"/>
  <c r="R51" i="34"/>
  <c r="Q96" i="37"/>
  <c r="Q117" i="4"/>
  <c r="R42" i="37"/>
  <c r="Y14" i="6"/>
  <c r="R125" i="6" s="1"/>
  <c r="X14" i="6"/>
  <c r="P125" i="6" s="1"/>
  <c r="Q66" i="6"/>
  <c r="Q36" i="15"/>
  <c r="AM9" i="59"/>
  <c r="Q9" i="59"/>
  <c r="Q70" i="59" s="1"/>
  <c r="AN9" i="59"/>
  <c r="W9" i="59"/>
  <c r="S73" i="59" s="1"/>
  <c r="Y12" i="34"/>
  <c r="R105" i="34" s="1"/>
  <c r="X12" i="34"/>
  <c r="P105" i="34" s="1"/>
  <c r="U12" i="11"/>
  <c r="S112" i="11" s="1"/>
  <c r="R112" i="11"/>
  <c r="R31" i="24"/>
  <c r="Q77" i="19"/>
  <c r="Q87" i="19"/>
  <c r="Y9" i="24"/>
  <c r="R75" i="24" s="1"/>
  <c r="X9" i="24"/>
  <c r="P75" i="24" s="1"/>
  <c r="Q126" i="5"/>
  <c r="R122" i="4"/>
  <c r="S27" i="37"/>
  <c r="R61" i="59"/>
  <c r="X10" i="10"/>
  <c r="P85" i="10" s="1"/>
  <c r="Y10" i="10"/>
  <c r="R85" i="10" s="1"/>
  <c r="R91" i="4"/>
  <c r="R91" i="7"/>
  <c r="X14" i="15"/>
  <c r="P125" i="15" s="1"/>
  <c r="Y14" i="15"/>
  <c r="R125" i="15" s="1"/>
  <c r="Q46" i="17"/>
  <c r="Y13" i="7"/>
  <c r="R115" i="7" s="1"/>
  <c r="X13" i="7"/>
  <c r="P115" i="7" s="1"/>
  <c r="Q86" i="6"/>
  <c r="Q107" i="11"/>
  <c r="X14" i="5"/>
  <c r="P125" i="5" s="1"/>
  <c r="Y14" i="5"/>
  <c r="R125" i="5" s="1"/>
  <c r="R42" i="59"/>
  <c r="R41" i="14"/>
  <c r="R121" i="35"/>
  <c r="Y12" i="35"/>
  <c r="R105" i="35" s="1"/>
  <c r="X12" i="35"/>
  <c r="P105" i="35" s="1"/>
  <c r="R21" i="20"/>
  <c r="Q77" i="17"/>
  <c r="Q87" i="17"/>
  <c r="Q107" i="35"/>
  <c r="Q107" i="6"/>
  <c r="X15" i="22"/>
  <c r="P135" i="22" s="1"/>
  <c r="Y15" i="22"/>
  <c r="R135" i="22" s="1"/>
  <c r="R62" i="34"/>
  <c r="K18" i="59"/>
  <c r="R72" i="10"/>
  <c r="U8" i="10"/>
  <c r="S72" i="10" s="1"/>
  <c r="R131" i="34"/>
  <c r="AN6" i="59"/>
  <c r="AK6" i="59" s="1"/>
  <c r="U42" i="59" s="1"/>
  <c r="W6" i="59"/>
  <c r="AM6" i="59"/>
  <c r="Q6" i="59"/>
  <c r="Q40" i="59" s="1"/>
  <c r="Q127" i="11"/>
  <c r="R132" i="17"/>
  <c r="X10" i="20"/>
  <c r="P85" i="20" s="1"/>
  <c r="Y10" i="20"/>
  <c r="R85" i="20" s="1"/>
  <c r="Q117" i="20"/>
  <c r="R91" i="35"/>
  <c r="X15" i="37"/>
  <c r="P135" i="37" s="1"/>
  <c r="Y15" i="37"/>
  <c r="R135" i="37" s="1"/>
  <c r="Q127" i="6"/>
  <c r="R51" i="7"/>
  <c r="Q137" i="15"/>
  <c r="Q96" i="6"/>
  <c r="Q76" i="15"/>
  <c r="R82" i="4"/>
  <c r="Q46" i="11"/>
  <c r="K18" i="6"/>
  <c r="Q117" i="35"/>
  <c r="R91" i="15"/>
  <c r="Q26" i="14"/>
  <c r="R111" i="6"/>
  <c r="Q96" i="35"/>
  <c r="Q117" i="17"/>
  <c r="Y5" i="22"/>
  <c r="R35" i="22" s="1"/>
  <c r="X5" i="22"/>
  <c r="P35" i="22" s="1"/>
  <c r="X14" i="17"/>
  <c r="P125" i="17" s="1"/>
  <c r="Y14" i="17"/>
  <c r="R125" i="17" s="1"/>
  <c r="Q87" i="22"/>
  <c r="Q77" i="22"/>
  <c r="R101" i="16"/>
  <c r="AY16" i="4"/>
  <c r="R32" i="4"/>
  <c r="R61" i="4"/>
  <c r="R61" i="15"/>
  <c r="Q77" i="59"/>
  <c r="Q87" i="59"/>
  <c r="Y13" i="4"/>
  <c r="R115" i="4" s="1"/>
  <c r="X13" i="4"/>
  <c r="P115" i="4" s="1"/>
  <c r="R82" i="22"/>
  <c r="Q136" i="34"/>
  <c r="Q66" i="20"/>
  <c r="R62" i="6"/>
  <c r="Q26" i="37"/>
  <c r="Y14" i="35"/>
  <c r="R125" i="35" s="1"/>
  <c r="X14" i="35"/>
  <c r="P125" i="35" s="1"/>
  <c r="R132" i="6"/>
  <c r="Q67" i="17"/>
  <c r="Q57" i="59"/>
  <c r="Y7" i="37"/>
  <c r="R55" i="37" s="1"/>
  <c r="X7" i="37"/>
  <c r="P55" i="37" s="1"/>
  <c r="Q36" i="17"/>
  <c r="R111" i="17"/>
  <c r="Y10" i="6"/>
  <c r="R85" i="6" s="1"/>
  <c r="X10" i="6"/>
  <c r="P85" i="6" s="1"/>
  <c r="Q87" i="35"/>
  <c r="Q77" i="35"/>
  <c r="Q37" i="34"/>
  <c r="R52" i="22"/>
  <c r="Y7" i="19"/>
  <c r="R55" i="19" s="1"/>
  <c r="X7" i="19"/>
  <c r="P55" i="19" s="1"/>
  <c r="Q37" i="7"/>
  <c r="Q126" i="22"/>
  <c r="Q28" i="24"/>
  <c r="Q106" i="59"/>
  <c r="Q36" i="33"/>
  <c r="Q28" i="4"/>
  <c r="R72" i="19"/>
  <c r="X5" i="5"/>
  <c r="P35" i="5" s="1"/>
  <c r="Y5" i="5"/>
  <c r="R35" i="5" s="1"/>
  <c r="Q97" i="7"/>
  <c r="R71" i="37"/>
  <c r="Y11" i="4"/>
  <c r="R95" i="4" s="1"/>
  <c r="X11" i="4"/>
  <c r="P95" i="4" s="1"/>
  <c r="Q67" i="35"/>
  <c r="R111" i="4"/>
  <c r="Y5" i="17"/>
  <c r="R35" i="17" s="1"/>
  <c r="X5" i="17"/>
  <c r="P35" i="17" s="1"/>
  <c r="R81" i="6"/>
  <c r="R62" i="35"/>
  <c r="R51" i="5"/>
  <c r="Q116" i="4"/>
  <c r="K18" i="22"/>
  <c r="R72" i="20"/>
  <c r="Y13" i="20"/>
  <c r="R115" i="20" s="1"/>
  <c r="X13" i="20"/>
  <c r="P115" i="20" s="1"/>
  <c r="R72" i="17"/>
  <c r="R41" i="19"/>
  <c r="Q117" i="33"/>
  <c r="Y11" i="22"/>
  <c r="R95" i="22" s="1"/>
  <c r="X11" i="22"/>
  <c r="P95" i="22" s="1"/>
  <c r="R112" i="4"/>
  <c r="R62" i="7"/>
  <c r="Q66" i="4"/>
  <c r="R111" i="15"/>
  <c r="X8" i="22"/>
  <c r="P65" i="22" s="1"/>
  <c r="Y8" i="22"/>
  <c r="R65" i="22" s="1"/>
  <c r="X10" i="4"/>
  <c r="P85" i="4" s="1"/>
  <c r="Y10" i="4"/>
  <c r="R85" i="4" s="1"/>
  <c r="R111" i="59"/>
  <c r="N108" i="59"/>
  <c r="Q127" i="8"/>
  <c r="X5" i="34"/>
  <c r="P35" i="34" s="1"/>
  <c r="Y5" i="34"/>
  <c r="R35" i="34" s="1"/>
  <c r="R31" i="17"/>
  <c r="R122" i="35"/>
  <c r="R121" i="6"/>
  <c r="R42" i="35"/>
  <c r="Q107" i="37"/>
  <c r="Q66" i="7"/>
  <c r="Y15" i="34"/>
  <c r="R135" i="34" s="1"/>
  <c r="X15" i="34"/>
  <c r="P135" i="34" s="1"/>
  <c r="Q36" i="8"/>
  <c r="Q126" i="16"/>
  <c r="R42" i="8"/>
  <c r="R72" i="15"/>
  <c r="Q28" i="14"/>
  <c r="X6" i="14"/>
  <c r="P45" i="14" s="1"/>
  <c r="Y6" i="14"/>
  <c r="R45" i="14" s="1"/>
  <c r="Y15" i="5"/>
  <c r="R135" i="5" s="1"/>
  <c r="X15" i="5"/>
  <c r="P135" i="5" s="1"/>
  <c r="Q28" i="35"/>
  <c r="Q66" i="35"/>
  <c r="R121" i="20"/>
  <c r="Q57" i="35"/>
  <c r="Q127" i="35"/>
  <c r="Q37" i="35"/>
  <c r="R52" i="7"/>
  <c r="Q46" i="20"/>
  <c r="R21" i="6"/>
  <c r="R121" i="34"/>
  <c r="Q47" i="15"/>
  <c r="Q47" i="20"/>
  <c r="R42" i="5"/>
  <c r="R81" i="33"/>
  <c r="X6" i="37"/>
  <c r="P45" i="37" s="1"/>
  <c r="Y6" i="37"/>
  <c r="R45" i="37" s="1"/>
  <c r="Q36" i="10"/>
  <c r="Q127" i="22"/>
  <c r="Q26" i="22"/>
  <c r="Y12" i="6"/>
  <c r="R105" i="6" s="1"/>
  <c r="X12" i="6"/>
  <c r="P105" i="6" s="1"/>
  <c r="Q37" i="59"/>
  <c r="R42" i="20"/>
  <c r="Q26" i="17"/>
  <c r="Q97" i="14"/>
  <c r="Q36" i="37"/>
  <c r="R92" i="8"/>
  <c r="Q46" i="59"/>
  <c r="R41" i="22"/>
  <c r="R111" i="35"/>
  <c r="Q107" i="15"/>
  <c r="Q96" i="16"/>
  <c r="Q106" i="15"/>
  <c r="R131" i="19"/>
  <c r="Q117" i="11"/>
  <c r="X14" i="24"/>
  <c r="P125" i="24" s="1"/>
  <c r="Y14" i="24"/>
  <c r="R125" i="24" s="1"/>
  <c r="R82" i="35"/>
  <c r="Q127" i="20"/>
  <c r="X10" i="5"/>
  <c r="P85" i="5" s="1"/>
  <c r="Y10" i="5"/>
  <c r="R85" i="5" s="1"/>
  <c r="X6" i="16"/>
  <c r="P45" i="16" s="1"/>
  <c r="Y6" i="16"/>
  <c r="R45" i="16" s="1"/>
  <c r="Y8" i="8"/>
  <c r="R65" i="8" s="1"/>
  <c r="X8" i="8"/>
  <c r="P65" i="8" s="1"/>
  <c r="Q56" i="7"/>
  <c r="X14" i="22"/>
  <c r="P125" i="22" s="1"/>
  <c r="Y14" i="22"/>
  <c r="R125" i="22" s="1"/>
  <c r="R102" i="4"/>
  <c r="Q57" i="14"/>
  <c r="R132" i="8"/>
  <c r="AY16" i="59"/>
  <c r="R32" i="59"/>
  <c r="R31" i="5"/>
  <c r="R102" i="6"/>
  <c r="Y15" i="11"/>
  <c r="R135" i="11" s="1"/>
  <c r="X15" i="11"/>
  <c r="P135" i="11" s="1"/>
  <c r="R131" i="8"/>
  <c r="R81" i="34"/>
  <c r="N138" i="59"/>
  <c r="Q126" i="20"/>
  <c r="R102" i="22"/>
  <c r="R102" i="59"/>
  <c r="R92" i="22"/>
  <c r="Q66" i="15"/>
  <c r="Q107" i="20"/>
  <c r="R82" i="7"/>
  <c r="R132" i="33"/>
  <c r="X5" i="10"/>
  <c r="P35" i="10" s="1"/>
  <c r="S35" i="10" s="1"/>
  <c r="Y5" i="10"/>
  <c r="R35" i="10" s="1"/>
  <c r="AQ17" i="59"/>
  <c r="Y5" i="15"/>
  <c r="R35" i="15" s="1"/>
  <c r="X5" i="15"/>
  <c r="P35" i="15" s="1"/>
  <c r="R52" i="8"/>
  <c r="R21" i="17"/>
  <c r="Q57" i="8"/>
  <c r="R112" i="22"/>
  <c r="Y15" i="59"/>
  <c r="R135" i="59" s="1"/>
  <c r="X15" i="59"/>
  <c r="P135" i="59" s="1"/>
  <c r="Q126" i="6"/>
  <c r="Q47" i="22"/>
  <c r="X15" i="35"/>
  <c r="P135" i="35" s="1"/>
  <c r="Y15" i="35"/>
  <c r="R135" i="35" s="1"/>
  <c r="R112" i="34"/>
  <c r="Q11" i="59"/>
  <c r="Q90" i="59" s="1"/>
  <c r="AM11" i="59"/>
  <c r="AN11" i="59"/>
  <c r="X5" i="24"/>
  <c r="P35" i="24" s="1"/>
  <c r="Y5" i="24"/>
  <c r="R35" i="24" s="1"/>
  <c r="Y15" i="20"/>
  <c r="R135" i="20" s="1"/>
  <c r="X15" i="20"/>
  <c r="P135" i="20" s="1"/>
  <c r="R42" i="6"/>
  <c r="Q67" i="4"/>
  <c r="X8" i="14"/>
  <c r="P65" i="14" s="1"/>
  <c r="Y8" i="14"/>
  <c r="R65" i="14" s="1"/>
  <c r="Q37" i="5"/>
  <c r="S38" i="59"/>
  <c r="N48" i="59"/>
  <c r="X12" i="17"/>
  <c r="P105" i="17" s="1"/>
  <c r="Y12" i="17"/>
  <c r="R105" i="17" s="1"/>
  <c r="AN8" i="59"/>
  <c r="AM8" i="59"/>
  <c r="Q8" i="59"/>
  <c r="Q60" i="59" s="1"/>
  <c r="X8" i="6"/>
  <c r="P65" i="6" s="1"/>
  <c r="Y8" i="6"/>
  <c r="R65" i="6" s="1"/>
  <c r="Q87" i="37"/>
  <c r="Q77" i="37"/>
  <c r="Q56" i="4"/>
  <c r="Q126" i="15"/>
  <c r="R21" i="19"/>
  <c r="X11" i="37"/>
  <c r="P95" i="37" s="1"/>
  <c r="Y11" i="37"/>
  <c r="R95" i="37" s="1"/>
  <c r="Q28" i="10"/>
  <c r="Q106" i="37"/>
  <c r="R31" i="16"/>
  <c r="R32" i="24"/>
  <c r="AY16" i="24"/>
  <c r="Y7" i="35"/>
  <c r="R55" i="35" s="1"/>
  <c r="X7" i="35"/>
  <c r="P55" i="35" s="1"/>
  <c r="Q86" i="24"/>
  <c r="X9" i="6"/>
  <c r="P75" i="6" s="1"/>
  <c r="Y9" i="6"/>
  <c r="R75" i="6" s="1"/>
  <c r="Q47" i="17"/>
  <c r="R72" i="35"/>
  <c r="R81" i="20"/>
  <c r="Q107" i="17"/>
  <c r="Y15" i="17"/>
  <c r="R135" i="17" s="1"/>
  <c r="X15" i="17"/>
  <c r="P135" i="17" s="1"/>
  <c r="R51" i="15"/>
  <c r="X12" i="24"/>
  <c r="P105" i="24" s="1"/>
  <c r="Y12" i="24"/>
  <c r="R105" i="24" s="1"/>
  <c r="Q66" i="19"/>
  <c r="Q106" i="33"/>
  <c r="Q46" i="22"/>
  <c r="Q56" i="17"/>
  <c r="Y10" i="22"/>
  <c r="R85" i="22" s="1"/>
  <c r="X10" i="22"/>
  <c r="P85" i="22" s="1"/>
  <c r="R122" i="59"/>
  <c r="R131" i="4"/>
  <c r="R122" i="11"/>
  <c r="U13" i="11"/>
  <c r="S122" i="11" s="1"/>
  <c r="R132" i="4"/>
  <c r="Q126" i="34"/>
  <c r="Q26" i="6"/>
  <c r="Q137" i="11"/>
  <c r="Q37" i="22"/>
  <c r="Q96" i="19"/>
  <c r="R82" i="34"/>
  <c r="R51" i="8"/>
  <c r="R91" i="24"/>
  <c r="Q77" i="24"/>
  <c r="Q87" i="24"/>
  <c r="S27" i="15"/>
  <c r="Q117" i="37"/>
  <c r="Y11" i="15"/>
  <c r="R95" i="15" s="1"/>
  <c r="X11" i="15"/>
  <c r="P95" i="15" s="1"/>
  <c r="R72" i="11"/>
  <c r="U8" i="11"/>
  <c r="S72" i="11" s="1"/>
  <c r="Q136" i="17"/>
  <c r="R121" i="5"/>
  <c r="AD12" i="11"/>
  <c r="Q106" i="11"/>
  <c r="X9" i="59"/>
  <c r="P75" i="59" s="1"/>
  <c r="Y9" i="59"/>
  <c r="R75" i="59" s="1"/>
  <c r="Q76" i="8"/>
  <c r="R61" i="37"/>
  <c r="Q46" i="14"/>
  <c r="Q67" i="5"/>
  <c r="Q56" i="14"/>
  <c r="Q107" i="24"/>
  <c r="R42" i="15"/>
  <c r="Q76" i="7"/>
  <c r="Q106" i="6"/>
  <c r="R112" i="5"/>
  <c r="Y5" i="33"/>
  <c r="R35" i="33" s="1"/>
  <c r="X5" i="33"/>
  <c r="P35" i="33" s="1"/>
  <c r="Q76" i="5"/>
  <c r="R81" i="7"/>
  <c r="R111" i="20"/>
  <c r="Q7" i="59"/>
  <c r="Q50" i="59" s="1"/>
  <c r="AN7" i="59"/>
  <c r="AM7" i="59"/>
  <c r="X8" i="15"/>
  <c r="P65" i="15" s="1"/>
  <c r="Y8" i="15"/>
  <c r="R65" i="15" s="1"/>
  <c r="Q86" i="37"/>
  <c r="Q127" i="15"/>
  <c r="X15" i="8"/>
  <c r="P135" i="8" s="1"/>
  <c r="Y15" i="8"/>
  <c r="R135" i="8" s="1"/>
  <c r="R82" i="5"/>
  <c r="R52" i="15"/>
  <c r="Q37" i="20"/>
  <c r="Q87" i="20"/>
  <c r="Q77" i="20"/>
  <c r="R21" i="11"/>
  <c r="Y13" i="15"/>
  <c r="R115" i="15" s="1"/>
  <c r="X13" i="15"/>
  <c r="P115" i="15" s="1"/>
  <c r="X10" i="15"/>
  <c r="P85" i="15" s="1"/>
  <c r="Y10" i="15"/>
  <c r="R85" i="15" s="1"/>
  <c r="R71" i="4"/>
  <c r="R91" i="8"/>
  <c r="X9" i="4"/>
  <c r="P75" i="4" s="1"/>
  <c r="Y9" i="4"/>
  <c r="R75" i="4" s="1"/>
  <c r="X5" i="6"/>
  <c r="P35" i="6" s="1"/>
  <c r="Y5" i="6"/>
  <c r="R35" i="6" s="1"/>
  <c r="R111" i="8"/>
  <c r="Q77" i="7"/>
  <c r="Q87" i="7"/>
  <c r="S27" i="34"/>
  <c r="Q98" i="59"/>
  <c r="R101" i="4"/>
  <c r="Q46" i="37"/>
  <c r="Q77" i="6"/>
  <c r="Q87" i="6"/>
  <c r="S27" i="24"/>
  <c r="Y8" i="17"/>
  <c r="R65" i="17" s="1"/>
  <c r="X8" i="17"/>
  <c r="P65" i="17" s="1"/>
  <c r="Q57" i="6"/>
  <c r="R92" i="34"/>
  <c r="Q127" i="37"/>
  <c r="Q37" i="15"/>
  <c r="Q67" i="7"/>
  <c r="Q117" i="16"/>
  <c r="R132" i="19"/>
  <c r="R31" i="22"/>
  <c r="Q96" i="17"/>
  <c r="R101" i="5"/>
  <c r="Q96" i="7"/>
  <c r="Q67" i="15"/>
  <c r="N88" i="59"/>
  <c r="Q66" i="24"/>
  <c r="Q126" i="7"/>
  <c r="Q46" i="10"/>
  <c r="Q127" i="10"/>
  <c r="Q66" i="17"/>
  <c r="Y7" i="20"/>
  <c r="R55" i="20" s="1"/>
  <c r="X7" i="20"/>
  <c r="P55" i="20" s="1"/>
  <c r="Q86" i="33"/>
  <c r="Y15" i="6"/>
  <c r="R135" i="6" s="1"/>
  <c r="X15" i="6"/>
  <c r="P135" i="6" s="1"/>
  <c r="R92" i="35"/>
  <c r="Y14" i="20"/>
  <c r="R125" i="20" s="1"/>
  <c r="X14" i="20"/>
  <c r="P125" i="20" s="1"/>
  <c r="Q136" i="35"/>
  <c r="R82" i="37"/>
  <c r="Q126" i="4"/>
  <c r="R131" i="17"/>
  <c r="Y7" i="17"/>
  <c r="R55" i="17" s="1"/>
  <c r="X7" i="17"/>
  <c r="P55" i="17" s="1"/>
  <c r="R112" i="8"/>
  <c r="R51" i="22"/>
  <c r="X6" i="19"/>
  <c r="P45" i="19" s="1"/>
  <c r="Y6" i="19"/>
  <c r="R45" i="19" s="1"/>
  <c r="R91" i="19"/>
  <c r="R102" i="15"/>
  <c r="R102" i="17"/>
  <c r="R102" i="24"/>
  <c r="Q76" i="34"/>
  <c r="Q137" i="34"/>
  <c r="Q56" i="15"/>
  <c r="R81" i="5"/>
  <c r="R122" i="20"/>
  <c r="R41" i="59"/>
  <c r="Q28" i="16"/>
  <c r="Y12" i="7"/>
  <c r="R105" i="7" s="1"/>
  <c r="X12" i="7"/>
  <c r="P105" i="7" s="1"/>
  <c r="Q46" i="34"/>
  <c r="R21" i="15"/>
  <c r="R72" i="16"/>
  <c r="U15" i="10"/>
  <c r="Q46" i="8"/>
  <c r="R82" i="15"/>
  <c r="Q57" i="7"/>
  <c r="R92" i="7"/>
  <c r="Y13" i="14"/>
  <c r="R115" i="14" s="1"/>
  <c r="X13" i="14"/>
  <c r="P115" i="14" s="1"/>
  <c r="Q117" i="7"/>
  <c r="Q26" i="8"/>
  <c r="Q136" i="37"/>
  <c r="R132" i="20"/>
  <c r="Q97" i="15"/>
  <c r="Q86" i="17"/>
  <c r="Y5" i="37"/>
  <c r="R35" i="37" s="1"/>
  <c r="X5" i="37"/>
  <c r="P35" i="37" s="1"/>
  <c r="R112" i="17"/>
  <c r="Q37" i="8"/>
  <c r="R101" i="15"/>
  <c r="Q57" i="4"/>
  <c r="R102" i="7"/>
  <c r="AY16" i="8"/>
  <c r="R32" i="8"/>
  <c r="Q86" i="35"/>
  <c r="R52" i="59"/>
  <c r="R61" i="5"/>
  <c r="Q57" i="22"/>
  <c r="K18" i="20"/>
  <c r="Q86" i="22"/>
  <c r="Y10" i="35"/>
  <c r="R85" i="35" s="1"/>
  <c r="X10" i="35"/>
  <c r="P85" i="35" s="1"/>
  <c r="R112" i="15"/>
  <c r="Q66" i="34"/>
  <c r="Q107" i="8"/>
  <c r="R101" i="35"/>
  <c r="Q56" i="35"/>
  <c r="Q66" i="22"/>
  <c r="X6" i="35"/>
  <c r="P45" i="35" s="1"/>
  <c r="Y6" i="35"/>
  <c r="R45" i="35" s="1"/>
  <c r="R112" i="37"/>
  <c r="S58" i="59"/>
  <c r="R51" i="37"/>
  <c r="Q86" i="59"/>
  <c r="X15" i="24"/>
  <c r="P135" i="24" s="1"/>
  <c r="Y15" i="24"/>
  <c r="R135" i="24" s="1"/>
  <c r="Y9" i="35"/>
  <c r="R75" i="35" s="1"/>
  <c r="X9" i="35"/>
  <c r="P75" i="35" s="1"/>
  <c r="Y12" i="59"/>
  <c r="R105" i="59" s="1"/>
  <c r="X12" i="59"/>
  <c r="P105" i="59" s="1"/>
  <c r="Q116" i="34"/>
  <c r="X8" i="11"/>
  <c r="P65" i="11" s="1"/>
  <c r="Y8" i="11"/>
  <c r="R65" i="11" s="1"/>
  <c r="Q96" i="59"/>
  <c r="R72" i="34"/>
  <c r="Q46" i="7"/>
  <c r="Q66" i="59"/>
  <c r="K18" i="4"/>
  <c r="Q36" i="22"/>
  <c r="X5" i="11"/>
  <c r="P35" i="11" s="1"/>
  <c r="Y5" i="11"/>
  <c r="R35" i="11" s="1"/>
  <c r="Q13" i="59"/>
  <c r="Q110" i="59" s="1"/>
  <c r="AM13" i="59"/>
  <c r="AN13" i="59"/>
  <c r="R42" i="19"/>
  <c r="R72" i="22"/>
  <c r="X13" i="34"/>
  <c r="P115" i="34" s="1"/>
  <c r="Y13" i="34"/>
  <c r="R115" i="34" s="1"/>
  <c r="X13" i="35"/>
  <c r="P115" i="35" s="1"/>
  <c r="Y13" i="35"/>
  <c r="R115" i="35" s="1"/>
  <c r="Q36" i="24"/>
  <c r="Y12" i="20"/>
  <c r="R105" i="20" s="1"/>
  <c r="X12" i="20"/>
  <c r="P105" i="20" s="1"/>
  <c r="X7" i="15"/>
  <c r="P55" i="15" s="1"/>
  <c r="Y7" i="15"/>
  <c r="R55" i="15" s="1"/>
  <c r="R51" i="24"/>
  <c r="R52" i="4"/>
  <c r="R102" i="20"/>
  <c r="X10" i="24"/>
  <c r="P85" i="24" s="1"/>
  <c r="Y10" i="24"/>
  <c r="R85" i="24" s="1"/>
  <c r="Q86" i="15"/>
  <c r="Y11" i="16"/>
  <c r="R95" i="16" s="1"/>
  <c r="X11" i="16"/>
  <c r="P95" i="16" s="1"/>
  <c r="R101" i="22"/>
  <c r="R112" i="6"/>
  <c r="S27" i="59"/>
  <c r="Q47" i="10"/>
  <c r="R32" i="22"/>
  <c r="AY16" i="22"/>
  <c r="R61" i="34"/>
  <c r="R62" i="16"/>
  <c r="X9" i="34"/>
  <c r="P75" i="34" s="1"/>
  <c r="Y9" i="34"/>
  <c r="R75" i="34" s="1"/>
  <c r="R121" i="14"/>
  <c r="Q56" i="24"/>
  <c r="Q56" i="59"/>
  <c r="S131" i="10"/>
  <c r="T15" i="10"/>
  <c r="R131" i="10"/>
  <c r="S27" i="16"/>
  <c r="X12" i="11"/>
  <c r="P105" i="11" s="1"/>
  <c r="Y12" i="11"/>
  <c r="R105" i="11" s="1"/>
  <c r="T7" i="11"/>
  <c r="R51" i="11"/>
  <c r="S51" i="11"/>
  <c r="R81" i="24"/>
  <c r="R131" i="35"/>
  <c r="Q36" i="19"/>
  <c r="R131" i="6"/>
  <c r="X10" i="11"/>
  <c r="P85" i="11" s="1"/>
  <c r="Y10" i="11"/>
  <c r="R85" i="11" s="1"/>
  <c r="X9" i="11"/>
  <c r="P75" i="11" s="1"/>
  <c r="Y9" i="11"/>
  <c r="R75" i="11" s="1"/>
  <c r="R132" i="22"/>
  <c r="R132" i="34"/>
  <c r="K18" i="5"/>
  <c r="R112" i="33"/>
  <c r="R122" i="5"/>
  <c r="Q96" i="8"/>
  <c r="U14" i="11"/>
  <c r="S132" i="11" s="1"/>
  <c r="R132" i="11"/>
  <c r="X14" i="11"/>
  <c r="Y14" i="11"/>
  <c r="R125" i="11" s="1"/>
  <c r="Q67" i="22"/>
  <c r="Q97" i="35"/>
  <c r="Q137" i="8"/>
  <c r="Y5" i="59"/>
  <c r="Y16" i="59" s="1"/>
  <c r="X5" i="59"/>
  <c r="P35" i="59" s="1"/>
  <c r="R41" i="16"/>
  <c r="R132" i="16"/>
  <c r="R131" i="7"/>
  <c r="X11" i="8"/>
  <c r="P95" i="8" s="1"/>
  <c r="Y11" i="8"/>
  <c r="R95" i="8" s="1"/>
  <c r="X7" i="34"/>
  <c r="P55" i="34" s="1"/>
  <c r="Y7" i="34"/>
  <c r="R55" i="34" s="1"/>
  <c r="Q86" i="4"/>
  <c r="N28" i="59"/>
  <c r="Q116" i="7"/>
  <c r="R62" i="14"/>
  <c r="Q116" i="59"/>
  <c r="R101" i="19"/>
  <c r="R101" i="33"/>
  <c r="R111" i="22"/>
  <c r="R71" i="5"/>
  <c r="Q127" i="17"/>
  <c r="Q106" i="5"/>
  <c r="R122" i="17"/>
  <c r="X8" i="37"/>
  <c r="P65" i="37" s="1"/>
  <c r="Y8" i="37"/>
  <c r="R65" i="37" s="1"/>
  <c r="R32" i="11"/>
  <c r="AY16" i="11"/>
  <c r="AY16" i="35"/>
  <c r="R32" i="35"/>
  <c r="R81" i="35"/>
  <c r="R112" i="35"/>
  <c r="Y9" i="15"/>
  <c r="R75" i="15" s="1"/>
  <c r="X9" i="15"/>
  <c r="P75" i="15" s="1"/>
  <c r="R62" i="37"/>
  <c r="Q118" i="59"/>
  <c r="Q67" i="8"/>
  <c r="Q87" i="5"/>
  <c r="Q77" i="5"/>
  <c r="R71" i="16"/>
  <c r="K18" i="11"/>
  <c r="R111" i="24"/>
  <c r="Q136" i="7"/>
  <c r="Q26" i="33"/>
  <c r="K18" i="15"/>
  <c r="Q57" i="15"/>
  <c r="S27" i="17"/>
  <c r="X15" i="19"/>
  <c r="P135" i="19" s="1"/>
  <c r="Y15" i="19"/>
  <c r="R135" i="19" s="1"/>
  <c r="Y6" i="33"/>
  <c r="R45" i="33" s="1"/>
  <c r="X6" i="33"/>
  <c r="P45" i="33" s="1"/>
  <c r="Q28" i="33"/>
  <c r="Q76" i="59"/>
  <c r="Y15" i="4"/>
  <c r="R135" i="4" s="1"/>
  <c r="X15" i="4"/>
  <c r="P135" i="4" s="1"/>
  <c r="Q67" i="6"/>
  <c r="R41" i="35"/>
  <c r="Q106" i="35"/>
  <c r="N98" i="59"/>
  <c r="Q97" i="6"/>
  <c r="Q116" i="35"/>
  <c r="AM5" i="59"/>
  <c r="AN5" i="59"/>
  <c r="AA5" i="59" s="1"/>
  <c r="V34" i="59" s="1"/>
  <c r="Q5" i="59"/>
  <c r="Q30" i="59" s="1"/>
  <c r="Q37" i="24"/>
  <c r="Q96" i="20"/>
  <c r="Y9" i="22"/>
  <c r="R75" i="22" s="1"/>
  <c r="X9" i="22"/>
  <c r="P75" i="22" s="1"/>
  <c r="R42" i="17"/>
  <c r="Q36" i="6"/>
  <c r="R81" i="37"/>
  <c r="Q57" i="17"/>
  <c r="R102" i="8"/>
  <c r="X10" i="8"/>
  <c r="P85" i="8" s="1"/>
  <c r="Y10" i="8"/>
  <c r="R85" i="8" s="1"/>
  <c r="Q37" i="19"/>
  <c r="Q14" i="59"/>
  <c r="Q120" i="59" s="1"/>
  <c r="AM14" i="59"/>
  <c r="AN14" i="59"/>
  <c r="R111" i="37"/>
  <c r="X13" i="22"/>
  <c r="P115" i="22" s="1"/>
  <c r="Y13" i="22"/>
  <c r="R115" i="22" s="1"/>
  <c r="X9" i="8"/>
  <c r="P75" i="8" s="1"/>
  <c r="Y9" i="8"/>
  <c r="R75" i="8" s="1"/>
  <c r="R52" i="5"/>
  <c r="Q28" i="37"/>
  <c r="Q66" i="37"/>
  <c r="X11" i="7"/>
  <c r="P95" i="7" s="1"/>
  <c r="Y11" i="7"/>
  <c r="R95" i="7" s="1"/>
  <c r="Q67" i="24"/>
  <c r="R71" i="14"/>
  <c r="Q47" i="6"/>
  <c r="Q126" i="35"/>
  <c r="R121" i="7"/>
  <c r="X10" i="19"/>
  <c r="P85" i="19" s="1"/>
  <c r="Y10" i="19"/>
  <c r="R85" i="19" s="1"/>
  <c r="Q37" i="11"/>
  <c r="X6" i="11"/>
  <c r="P45" i="11" s="1"/>
  <c r="Y6" i="11"/>
  <c r="R45" i="11" s="1"/>
  <c r="Q47" i="4"/>
  <c r="T10" i="10"/>
  <c r="S81" i="10"/>
  <c r="R81" i="10"/>
  <c r="Q56" i="34"/>
  <c r="R112" i="20"/>
  <c r="R122" i="6"/>
  <c r="R131" i="5"/>
  <c r="Q28" i="11"/>
  <c r="R91" i="33"/>
  <c r="Q47" i="33"/>
  <c r="Q36" i="5"/>
  <c r="Q26" i="11"/>
  <c r="Q36" i="34"/>
  <c r="R81" i="17"/>
  <c r="R102" i="19"/>
  <c r="R42" i="24"/>
  <c r="AM12" i="59"/>
  <c r="Q12" i="59"/>
  <c r="Q100" i="59" s="1"/>
  <c r="W12" i="59"/>
  <c r="S103" i="59" s="1"/>
  <c r="AN12" i="59"/>
  <c r="Q26" i="24"/>
  <c r="R32" i="19"/>
  <c r="AY16" i="19"/>
  <c r="Q28" i="17"/>
  <c r="Q137" i="37"/>
  <c r="Q36" i="35"/>
  <c r="X12" i="37"/>
  <c r="P105" i="37" s="1"/>
  <c r="Y12" i="37"/>
  <c r="R105" i="37" s="1"/>
  <c r="Q56" i="8"/>
  <c r="R61" i="24"/>
  <c r="Q138" i="59"/>
  <c r="X12" i="4"/>
  <c r="P105" i="4" s="1"/>
  <c r="Y12" i="4"/>
  <c r="R105" i="4" s="1"/>
  <c r="R101" i="24"/>
  <c r="X12" i="8"/>
  <c r="P105" i="8" s="1"/>
  <c r="Y12" i="8"/>
  <c r="R105" i="8" s="1"/>
  <c r="Q36" i="59"/>
  <c r="Q37" i="37"/>
  <c r="R71" i="35"/>
  <c r="X14" i="33"/>
  <c r="P125" i="33" s="1"/>
  <c r="Y14" i="33"/>
  <c r="R125" i="33" s="1"/>
  <c r="Q136" i="59"/>
  <c r="R32" i="20"/>
  <c r="AY16" i="20"/>
  <c r="R101" i="34"/>
  <c r="R52" i="24"/>
  <c r="X9" i="7"/>
  <c r="P75" i="7" s="1"/>
  <c r="Y9" i="7"/>
  <c r="R75" i="7" s="1"/>
  <c r="Q47" i="7"/>
  <c r="R71" i="33"/>
  <c r="Q126" i="14"/>
  <c r="Y7" i="7"/>
  <c r="R55" i="7" s="1"/>
  <c r="X7" i="7"/>
  <c r="P55" i="7" s="1"/>
  <c r="Q28" i="19"/>
  <c r="Q66" i="14"/>
  <c r="X6" i="34"/>
  <c r="P45" i="34" s="1"/>
  <c r="Y6" i="34"/>
  <c r="R45" i="34" s="1"/>
  <c r="Q137" i="24"/>
  <c r="R131" i="14"/>
  <c r="S68" i="59"/>
  <c r="R82" i="24"/>
  <c r="Q26" i="5"/>
  <c r="R111" i="7"/>
  <c r="T13" i="11"/>
  <c r="S111" i="11"/>
  <c r="R111" i="11"/>
  <c r="Q87" i="34"/>
  <c r="Q77" i="34"/>
  <c r="S131" i="11"/>
  <c r="R131" i="11"/>
  <c r="T15" i="11"/>
  <c r="U11" i="10"/>
  <c r="S102" i="10" s="1"/>
  <c r="R102" i="10"/>
  <c r="Q56" i="22"/>
  <c r="Q78" i="59"/>
  <c r="S27" i="6"/>
  <c r="Q137" i="22"/>
  <c r="R21" i="37"/>
  <c r="X11" i="59"/>
  <c r="P95" i="59" s="1"/>
  <c r="Y11" i="59"/>
  <c r="R95" i="59" s="1"/>
  <c r="Q96" i="24"/>
  <c r="Q37" i="6"/>
  <c r="K18" i="17"/>
  <c r="R72" i="24"/>
  <c r="Q136" i="10"/>
  <c r="AD15" i="10"/>
  <c r="AY16" i="37"/>
  <c r="R32" i="37"/>
  <c r="S27" i="22"/>
  <c r="Q56" i="20"/>
  <c r="R31" i="34"/>
  <c r="U15" i="11"/>
  <c r="AD13" i="10"/>
  <c r="AE13" i="10" s="1"/>
  <c r="Q116" i="10"/>
  <c r="Y10" i="59"/>
  <c r="R85" i="59" s="1"/>
  <c r="X10" i="59"/>
  <c r="P85" i="59" s="1"/>
  <c r="Y12" i="15"/>
  <c r="R105" i="15" s="1"/>
  <c r="X12" i="15"/>
  <c r="P105" i="15" s="1"/>
  <c r="R71" i="10"/>
  <c r="S71" i="10"/>
  <c r="T9" i="10"/>
  <c r="Q57" i="11"/>
  <c r="R131" i="33"/>
  <c r="X12" i="5"/>
  <c r="P105" i="5" s="1"/>
  <c r="Y12" i="5"/>
  <c r="R105" i="5" s="1"/>
  <c r="Q67" i="10"/>
  <c r="Q136" i="22"/>
  <c r="Q67" i="20"/>
  <c r="R92" i="17"/>
  <c r="Q128" i="59"/>
  <c r="X10" i="37"/>
  <c r="P85" i="37" s="1"/>
  <c r="Y10" i="37"/>
  <c r="R85" i="37" s="1"/>
  <c r="Q28" i="6"/>
  <c r="AD14" i="11"/>
  <c r="Q126" i="11"/>
  <c r="R81" i="8"/>
  <c r="R122" i="7"/>
  <c r="AY16" i="14"/>
  <c r="R32" i="14"/>
  <c r="Q46" i="19"/>
  <c r="R101" i="37"/>
  <c r="Q37" i="17"/>
  <c r="R101" i="20"/>
  <c r="S128" i="59"/>
  <c r="Q67" i="16"/>
  <c r="Y11" i="19"/>
  <c r="R95" i="19" s="1"/>
  <c r="X11" i="19"/>
  <c r="P95" i="19" s="1"/>
  <c r="Q97" i="20"/>
  <c r="R92" i="15"/>
  <c r="Y15" i="16"/>
  <c r="R135" i="16" s="1"/>
  <c r="X15" i="16"/>
  <c r="P135" i="16" s="1"/>
  <c r="R81" i="15"/>
  <c r="R51" i="17"/>
  <c r="Y8" i="24"/>
  <c r="R65" i="24" s="1"/>
  <c r="X8" i="24"/>
  <c r="P65" i="24" s="1"/>
  <c r="Q107" i="16"/>
  <c r="X13" i="17"/>
  <c r="P115" i="17" s="1"/>
  <c r="Y13" i="17"/>
  <c r="R115" i="17" s="1"/>
  <c r="Q97" i="33"/>
  <c r="Q57" i="34"/>
  <c r="R81" i="59"/>
  <c r="R51" i="14"/>
  <c r="Q126" i="10"/>
  <c r="AD14" i="10"/>
  <c r="AE14" i="10" s="1"/>
  <c r="Q46" i="5"/>
  <c r="U7" i="11"/>
  <c r="S62" i="11" s="1"/>
  <c r="R62" i="11"/>
  <c r="R121" i="15"/>
  <c r="Q76" i="17"/>
  <c r="Q136" i="24"/>
  <c r="Q116" i="24"/>
  <c r="S27" i="8"/>
  <c r="R51" i="4"/>
  <c r="Q86" i="8"/>
  <c r="Q56" i="5"/>
  <c r="X6" i="59"/>
  <c r="P45" i="59" s="1"/>
  <c r="Y6" i="59"/>
  <c r="R45" i="59" s="1"/>
  <c r="U9" i="11"/>
  <c r="S82" i="11" s="1"/>
  <c r="R82" i="11"/>
  <c r="R111" i="34"/>
  <c r="R112" i="24"/>
  <c r="Q136" i="15"/>
  <c r="R132" i="7"/>
  <c r="R131" i="24"/>
  <c r="Q97" i="19"/>
  <c r="Q67" i="34"/>
  <c r="R101" i="8"/>
  <c r="R41" i="10"/>
  <c r="R71" i="20"/>
  <c r="R92" i="24"/>
  <c r="Q57" i="20"/>
  <c r="R72" i="37"/>
  <c r="R72" i="6"/>
  <c r="S108" i="59"/>
  <c r="Q107" i="22"/>
  <c r="Y8" i="16"/>
  <c r="R65" i="16" s="1"/>
  <c r="X8" i="16"/>
  <c r="P65" i="16" s="1"/>
  <c r="R101" i="17"/>
  <c r="Y7" i="16"/>
  <c r="R55" i="16" s="1"/>
  <c r="X7" i="16"/>
  <c r="P55" i="16" s="1"/>
  <c r="S101" i="10"/>
  <c r="T12" i="10"/>
  <c r="R101" i="10"/>
  <c r="R72" i="8"/>
  <c r="X5" i="16"/>
  <c r="P35" i="16" s="1"/>
  <c r="Y5" i="16"/>
  <c r="R35" i="16" s="1"/>
  <c r="R31" i="20"/>
  <c r="Q47" i="14"/>
  <c r="R62" i="5"/>
  <c r="X9" i="20"/>
  <c r="P75" i="20" s="1"/>
  <c r="Y9" i="20"/>
  <c r="R75" i="20" s="1"/>
  <c r="R121" i="10"/>
  <c r="S121" i="10"/>
  <c r="T14" i="10"/>
  <c r="Q127" i="33"/>
  <c r="R41" i="37"/>
  <c r="Q66" i="8"/>
  <c r="Q28" i="20"/>
  <c r="Y13" i="37"/>
  <c r="R115" i="37" s="1"/>
  <c r="X13" i="37"/>
  <c r="P115" i="37" s="1"/>
  <c r="R102" i="16"/>
  <c r="Q36" i="20"/>
  <c r="AY16" i="34"/>
  <c r="R32" i="34"/>
  <c r="S27" i="35"/>
  <c r="X7" i="22"/>
  <c r="P55" i="22" s="1"/>
  <c r="Y7" i="22"/>
  <c r="R55" i="22" s="1"/>
  <c r="R71" i="6"/>
  <c r="Q77" i="16"/>
  <c r="Q87" i="16"/>
  <c r="R21" i="59"/>
  <c r="Q136" i="4"/>
  <c r="Q28" i="22"/>
  <c r="Q106" i="24"/>
  <c r="S27" i="5"/>
  <c r="R131" i="20"/>
  <c r="R32" i="10"/>
  <c r="AY16" i="10"/>
  <c r="R102" i="34"/>
  <c r="R62" i="20"/>
  <c r="X13" i="8"/>
  <c r="P115" i="8" s="1"/>
  <c r="Y13" i="8"/>
  <c r="R115" i="8" s="1"/>
  <c r="Q117" i="8"/>
  <c r="R71" i="17"/>
  <c r="K18" i="24"/>
  <c r="AD9" i="11"/>
  <c r="Q76" i="11"/>
  <c r="Q137" i="33"/>
  <c r="R21" i="14"/>
  <c r="R71" i="8"/>
  <c r="Q86" i="19"/>
  <c r="K18" i="33"/>
  <c r="Q26" i="10"/>
  <c r="Q97" i="16"/>
  <c r="Q116" i="5"/>
  <c r="S138" i="59"/>
  <c r="R121" i="19"/>
  <c r="R61" i="8"/>
  <c r="R132" i="37"/>
  <c r="Y14" i="7"/>
  <c r="R125" i="7" s="1"/>
  <c r="X14" i="7"/>
  <c r="P125" i="7" s="1"/>
  <c r="Q137" i="17"/>
  <c r="Q56" i="6"/>
  <c r="Q126" i="17"/>
  <c r="R91" i="20"/>
  <c r="Y11" i="17"/>
  <c r="R95" i="17" s="1"/>
  <c r="X11" i="17"/>
  <c r="P95" i="17" s="1"/>
  <c r="Q107" i="34"/>
  <c r="Q107" i="5"/>
  <c r="Q117" i="14"/>
  <c r="R62" i="19"/>
  <c r="Q37" i="4"/>
  <c r="AY16" i="6"/>
  <c r="R32" i="6"/>
  <c r="R61" i="6"/>
  <c r="Y10" i="34"/>
  <c r="R85" i="34" s="1"/>
  <c r="X10" i="34"/>
  <c r="P85" i="34" s="1"/>
  <c r="K18" i="37"/>
  <c r="Q26" i="15"/>
  <c r="Q127" i="7"/>
  <c r="Q26" i="7"/>
  <c r="Q97" i="37"/>
  <c r="Q87" i="8"/>
  <c r="Q77" i="8"/>
  <c r="Y12" i="22"/>
  <c r="R105" i="22" s="1"/>
  <c r="X12" i="22"/>
  <c r="P105" i="22" s="1"/>
  <c r="Q76" i="19"/>
  <c r="Q126" i="8"/>
  <c r="R72" i="59"/>
  <c r="Q108" i="59"/>
  <c r="Q127" i="19"/>
  <c r="Q76" i="33"/>
  <c r="Q137" i="16"/>
  <c r="T11" i="11"/>
  <c r="R91" i="11"/>
  <c r="S91" i="11"/>
  <c r="Q66" i="16"/>
  <c r="AY16" i="15"/>
  <c r="R32" i="15"/>
  <c r="R72" i="14"/>
  <c r="Y15" i="10"/>
  <c r="R135" i="10" s="1"/>
  <c r="X15" i="10"/>
  <c r="P135" i="10" s="1"/>
  <c r="R82" i="59"/>
  <c r="Q106" i="19"/>
  <c r="Q126" i="19"/>
  <c r="S78" i="59"/>
  <c r="N68" i="59"/>
  <c r="Y14" i="37"/>
  <c r="R125" i="37" s="1"/>
  <c r="X14" i="37"/>
  <c r="P125" i="37" s="1"/>
  <c r="X6" i="5"/>
  <c r="P45" i="5" s="1"/>
  <c r="Y6" i="5"/>
  <c r="R45" i="5" s="1"/>
  <c r="R122" i="33"/>
  <c r="Y10" i="17"/>
  <c r="R85" i="17" s="1"/>
  <c r="X10" i="17"/>
  <c r="P85" i="17" s="1"/>
  <c r="R92" i="5"/>
  <c r="R31" i="37"/>
  <c r="R51" i="19"/>
  <c r="Q56" i="37"/>
  <c r="Q136" i="5"/>
  <c r="R112" i="19"/>
  <c r="Q36" i="11"/>
  <c r="Q106" i="4"/>
  <c r="Y8" i="4"/>
  <c r="R65" i="4" s="1"/>
  <c r="X8" i="4"/>
  <c r="P65" i="4" s="1"/>
  <c r="AD15" i="11"/>
  <c r="S136" i="11" s="1"/>
  <c r="Q136" i="11"/>
  <c r="N128" i="59"/>
  <c r="Q46" i="6"/>
  <c r="R102" i="37"/>
  <c r="Q46" i="15"/>
  <c r="S27" i="20"/>
  <c r="Q28" i="7"/>
  <c r="R102" i="14"/>
  <c r="Q136" i="33"/>
  <c r="Q4" i="59"/>
  <c r="Q20" i="59" s="1"/>
  <c r="AN4" i="59"/>
  <c r="AM4" i="59"/>
  <c r="R4" i="59"/>
  <c r="R112" i="7"/>
  <c r="X6" i="7"/>
  <c r="P45" i="7" s="1"/>
  <c r="Y6" i="7"/>
  <c r="R45" i="7" s="1"/>
  <c r="Q116" i="20"/>
  <c r="R42" i="33"/>
  <c r="R62" i="33"/>
  <c r="X15" i="7"/>
  <c r="P135" i="7" s="1"/>
  <c r="Y15" i="7"/>
  <c r="R135" i="7" s="1"/>
  <c r="Q57" i="37"/>
  <c r="Q116" i="17"/>
  <c r="R91" i="34"/>
  <c r="R122" i="8"/>
  <c r="R91" i="17"/>
  <c r="R81" i="22"/>
  <c r="R61" i="22"/>
  <c r="Q76" i="37"/>
  <c r="X11" i="24"/>
  <c r="P95" i="24" s="1"/>
  <c r="Y11" i="24"/>
  <c r="R95" i="24" s="1"/>
  <c r="Q26" i="35"/>
  <c r="Q26" i="20"/>
  <c r="Q87" i="15"/>
  <c r="Q77" i="15"/>
  <c r="R31" i="59"/>
  <c r="R52" i="6"/>
  <c r="X7" i="11"/>
  <c r="P55" i="11" s="1"/>
  <c r="Y7" i="11"/>
  <c r="R55" i="11" s="1"/>
  <c r="R31" i="35"/>
  <c r="R21" i="35"/>
  <c r="Q117" i="6"/>
  <c r="S48" i="59"/>
  <c r="Q36" i="4"/>
  <c r="R52" i="19"/>
  <c r="Q56" i="33"/>
  <c r="U9" i="10"/>
  <c r="S82" i="10" s="1"/>
  <c r="R82" i="10"/>
  <c r="Q38" i="59"/>
  <c r="R122" i="24"/>
  <c r="Q106" i="34"/>
  <c r="Q76" i="14"/>
  <c r="R51" i="33"/>
  <c r="Q36" i="14"/>
  <c r="Q126" i="59"/>
  <c r="R41" i="33"/>
  <c r="Q116" i="15"/>
  <c r="R51" i="16"/>
  <c r="R71" i="24"/>
  <c r="Y11" i="14"/>
  <c r="R95" i="14" s="1"/>
  <c r="X11" i="14"/>
  <c r="P95" i="14" s="1"/>
  <c r="R61" i="7"/>
  <c r="X8" i="19"/>
  <c r="P65" i="19" s="1"/>
  <c r="Y8" i="19"/>
  <c r="R65" i="19" s="1"/>
  <c r="R92" i="4"/>
  <c r="AY16" i="33"/>
  <c r="R32" i="33"/>
  <c r="R21" i="24"/>
  <c r="R91" i="14"/>
  <c r="Q86" i="34"/>
  <c r="Q117" i="15"/>
  <c r="Q126" i="33"/>
  <c r="Q57" i="5"/>
  <c r="R91" i="16"/>
  <c r="R31" i="14"/>
  <c r="Q96" i="5"/>
  <c r="Y9" i="5"/>
  <c r="R75" i="5" s="1"/>
  <c r="X9" i="5"/>
  <c r="P75" i="5" s="1"/>
  <c r="Q86" i="16"/>
  <c r="Q136" i="19"/>
  <c r="Q67" i="33"/>
  <c r="Y15" i="15"/>
  <c r="R135" i="15" s="1"/>
  <c r="X15" i="15"/>
  <c r="P135" i="15" s="1"/>
  <c r="Q47" i="8"/>
  <c r="R61" i="17"/>
  <c r="Y6" i="24"/>
  <c r="R45" i="24" s="1"/>
  <c r="X6" i="24"/>
  <c r="P45" i="24" s="1"/>
  <c r="Q87" i="33"/>
  <c r="Q77" i="33"/>
  <c r="T8" i="11"/>
  <c r="S61" i="11"/>
  <c r="R61" i="11"/>
  <c r="R131" i="15"/>
  <c r="X9" i="33"/>
  <c r="P75" i="33" s="1"/>
  <c r="Y9" i="33"/>
  <c r="R75" i="33" s="1"/>
  <c r="K18" i="34"/>
  <c r="R111" i="19"/>
  <c r="Y12" i="16"/>
  <c r="R105" i="16" s="1"/>
  <c r="X12" i="16"/>
  <c r="P105" i="16" s="1"/>
  <c r="Q116" i="19"/>
  <c r="R52" i="14"/>
  <c r="R31" i="10"/>
  <c r="Y13" i="24"/>
  <c r="R115" i="24" s="1"/>
  <c r="X13" i="24"/>
  <c r="P115" i="24" s="1"/>
  <c r="X7" i="59"/>
  <c r="P55" i="59" s="1"/>
  <c r="Y7" i="59"/>
  <c r="R55" i="59" s="1"/>
  <c r="Q47" i="5"/>
  <c r="Q127" i="16"/>
  <c r="Y8" i="20"/>
  <c r="R65" i="20" s="1"/>
  <c r="X8" i="20"/>
  <c r="P65" i="20" s="1"/>
  <c r="Q66" i="5"/>
  <c r="R111" i="33"/>
  <c r="Q106" i="7"/>
  <c r="R91" i="37"/>
  <c r="Q136" i="14"/>
  <c r="R122" i="34"/>
  <c r="K18" i="19"/>
  <c r="Q137" i="5"/>
  <c r="Q137" i="14"/>
  <c r="Y10" i="14"/>
  <c r="R85" i="14" s="1"/>
  <c r="X10" i="14"/>
  <c r="P85" i="14" s="1"/>
  <c r="R101" i="59"/>
  <c r="Y12" i="14"/>
  <c r="R105" i="14" s="1"/>
  <c r="X12" i="14"/>
  <c r="P105" i="14" s="1"/>
  <c r="R71" i="59"/>
  <c r="R72" i="4"/>
  <c r="Q137" i="7"/>
  <c r="R92" i="19"/>
  <c r="Q116" i="33"/>
  <c r="Y14" i="14"/>
  <c r="R125" i="14" s="1"/>
  <c r="X14" i="14"/>
  <c r="P125" i="14" s="1"/>
  <c r="Q36" i="7"/>
  <c r="Q46" i="16"/>
  <c r="R71" i="19"/>
  <c r="Q28" i="34"/>
  <c r="R81" i="16"/>
  <c r="R131" i="59"/>
  <c r="Q37" i="10"/>
  <c r="R61" i="10"/>
  <c r="S61" i="10"/>
  <c r="T8" i="10"/>
  <c r="Q117" i="19"/>
  <c r="S27" i="33"/>
  <c r="Q106" i="16"/>
  <c r="R21" i="16"/>
  <c r="R52" i="33"/>
  <c r="Q47" i="24"/>
  <c r="S28" i="59"/>
  <c r="AY16" i="16"/>
  <c r="R32" i="16"/>
  <c r="Q107" i="19"/>
  <c r="Q97" i="10"/>
  <c r="Y14" i="19"/>
  <c r="R125" i="19" s="1"/>
  <c r="X14" i="19"/>
  <c r="P125" i="19" s="1"/>
  <c r="AD13" i="11"/>
  <c r="Q116" i="11"/>
  <c r="R131" i="37"/>
  <c r="Q57" i="24"/>
  <c r="Q97" i="4"/>
  <c r="R122" i="10"/>
  <c r="U13" i="10"/>
  <c r="S122" i="10" s="1"/>
  <c r="S27" i="19"/>
  <c r="R82" i="14"/>
  <c r="Y7" i="10"/>
  <c r="R55" i="10" s="1"/>
  <c r="X7" i="10"/>
  <c r="R42" i="7"/>
  <c r="Q137" i="10"/>
  <c r="Q37" i="14"/>
  <c r="Q107" i="33"/>
  <c r="R132" i="5"/>
  <c r="R31" i="7"/>
  <c r="T13" i="10"/>
  <c r="R111" i="10"/>
  <c r="S111" i="10"/>
  <c r="K18" i="10"/>
  <c r="R32" i="7"/>
  <c r="AY16" i="7"/>
  <c r="T12" i="11"/>
  <c r="S101" i="11"/>
  <c r="R101" i="11"/>
  <c r="X9" i="10"/>
  <c r="P75" i="10" s="1"/>
  <c r="Y9" i="10"/>
  <c r="R75" i="10" s="1"/>
  <c r="AD8" i="11"/>
  <c r="Q66" i="11"/>
  <c r="Q57" i="10"/>
  <c r="Q47" i="19"/>
  <c r="Q117" i="59"/>
  <c r="Q107" i="10"/>
  <c r="R31" i="11"/>
  <c r="R61" i="33"/>
  <c r="R52" i="34"/>
  <c r="Q86" i="7"/>
  <c r="R92" i="37"/>
  <c r="Y14" i="34"/>
  <c r="R125" i="34" s="1"/>
  <c r="X14" i="34"/>
  <c r="P125" i="34" s="1"/>
  <c r="Q97" i="59"/>
  <c r="Y13" i="19"/>
  <c r="R115" i="19" s="1"/>
  <c r="X13" i="19"/>
  <c r="P115" i="19" s="1"/>
  <c r="R112" i="14"/>
  <c r="Q26" i="19"/>
  <c r="Q106" i="10"/>
  <c r="AD12" i="10"/>
  <c r="K18" i="14"/>
  <c r="Q107" i="7"/>
  <c r="Q117" i="5"/>
  <c r="Q47" i="37"/>
  <c r="Q57" i="33"/>
  <c r="R92" i="33"/>
  <c r="R62" i="59"/>
  <c r="Y9" i="19"/>
  <c r="R75" i="19" s="1"/>
  <c r="X9" i="19"/>
  <c r="P75" i="19" s="1"/>
  <c r="Q66" i="33"/>
  <c r="X12" i="33"/>
  <c r="P105" i="33" s="1"/>
  <c r="Y12" i="33"/>
  <c r="R105" i="33" s="1"/>
  <c r="X15" i="33"/>
  <c r="P135" i="33" s="1"/>
  <c r="Y15" i="33"/>
  <c r="R135" i="33" s="1"/>
  <c r="Q127" i="24"/>
  <c r="R52" i="16"/>
  <c r="R82" i="16"/>
  <c r="R71" i="7"/>
  <c r="N118" i="59"/>
  <c r="Q36" i="16"/>
  <c r="R41" i="15"/>
  <c r="R72" i="5"/>
  <c r="R21" i="5"/>
  <c r="R81" i="19"/>
  <c r="R61" i="14"/>
  <c r="X8" i="7"/>
  <c r="P65" i="7" s="1"/>
  <c r="Y8" i="7"/>
  <c r="R65" i="7" s="1"/>
  <c r="Q127" i="34"/>
  <c r="R61" i="16"/>
  <c r="Q67" i="11"/>
  <c r="R121" i="33"/>
  <c r="Q116" i="37"/>
  <c r="X8" i="33"/>
  <c r="P65" i="33" s="1"/>
  <c r="Y8" i="33"/>
  <c r="R65" i="33" s="1"/>
  <c r="Q86" i="5"/>
  <c r="Y12" i="10"/>
  <c r="R105" i="10" s="1"/>
  <c r="X12" i="10"/>
  <c r="X14" i="10"/>
  <c r="P125" i="10" s="1"/>
  <c r="Y14" i="10"/>
  <c r="R125" i="10" s="1"/>
  <c r="R131" i="16"/>
  <c r="Q77" i="11"/>
  <c r="Q87" i="11"/>
  <c r="R52" i="20"/>
  <c r="Q96" i="11"/>
  <c r="AD11" i="11"/>
  <c r="S96" i="11" s="1"/>
  <c r="R52" i="10"/>
  <c r="Q48" i="59"/>
  <c r="Q106" i="14"/>
  <c r="Q137" i="59"/>
  <c r="Q26" i="16"/>
  <c r="Q117" i="10"/>
  <c r="R111" i="14"/>
  <c r="X13" i="10"/>
  <c r="P115" i="10" s="1"/>
  <c r="Y13" i="10"/>
  <c r="R115" i="10" s="1"/>
  <c r="R31" i="33"/>
  <c r="Y9" i="16"/>
  <c r="R75" i="16" s="1"/>
  <c r="X9" i="16"/>
  <c r="P75" i="16" s="1"/>
  <c r="Q37" i="33"/>
  <c r="R132" i="14"/>
  <c r="R41" i="24"/>
  <c r="R101" i="7"/>
  <c r="X13" i="16"/>
  <c r="P115" i="16" s="1"/>
  <c r="Y13" i="16"/>
  <c r="R115" i="16" s="1"/>
  <c r="R112" i="16"/>
  <c r="R21" i="34"/>
  <c r="R42" i="11"/>
  <c r="R112" i="10"/>
  <c r="U12" i="10"/>
  <c r="S112" i="10" s="1"/>
  <c r="X11" i="10"/>
  <c r="P95" i="10" s="1"/>
  <c r="Y11" i="10"/>
  <c r="R95" i="10" s="1"/>
  <c r="Q116" i="8"/>
  <c r="Q96" i="14"/>
  <c r="Q106" i="17"/>
  <c r="R82" i="19"/>
  <c r="Q107" i="4"/>
  <c r="X6" i="10"/>
  <c r="P45" i="10" s="1"/>
  <c r="Y6" i="10"/>
  <c r="R45" i="10" s="1"/>
  <c r="Y13" i="59"/>
  <c r="R115" i="59" s="1"/>
  <c r="X13" i="59"/>
  <c r="P115" i="59" s="1"/>
  <c r="R61" i="19"/>
  <c r="Y7" i="5"/>
  <c r="R55" i="5" s="1"/>
  <c r="X7" i="5"/>
  <c r="P55" i="5" s="1"/>
  <c r="Q116" i="14"/>
  <c r="AD8" i="10"/>
  <c r="Q66" i="10"/>
  <c r="AY16" i="5"/>
  <c r="R32" i="5"/>
  <c r="R31" i="4"/>
  <c r="R41" i="34"/>
  <c r="S118" i="59"/>
  <c r="U10" i="10"/>
  <c r="S92" i="10" s="1"/>
  <c r="R92" i="10"/>
  <c r="X15" i="14"/>
  <c r="P135" i="14" s="1"/>
  <c r="Y15" i="14"/>
  <c r="R135" i="14" s="1"/>
  <c r="Q77" i="14"/>
  <c r="Q87" i="14"/>
  <c r="R81" i="4"/>
  <c r="Y10" i="7"/>
  <c r="R85" i="7" s="1"/>
  <c r="X10" i="7"/>
  <c r="P85" i="7" s="1"/>
  <c r="R82" i="8"/>
  <c r="U10" i="11"/>
  <c r="S92" i="11" s="1"/>
  <c r="R92" i="11"/>
  <c r="R82" i="33"/>
  <c r="Q67" i="59"/>
  <c r="R42" i="16"/>
  <c r="Q136" i="20"/>
  <c r="Y14" i="16"/>
  <c r="R125" i="16" s="1"/>
  <c r="X14" i="16"/>
  <c r="P125" i="16" s="1"/>
  <c r="R102" i="33"/>
  <c r="Q47" i="59"/>
  <c r="R122" i="16"/>
  <c r="Q127" i="14"/>
  <c r="S98" i="59"/>
  <c r="R121" i="4"/>
  <c r="Q67" i="19"/>
  <c r="Q96" i="33"/>
  <c r="X7" i="33"/>
  <c r="P55" i="33" s="1"/>
  <c r="Y7" i="33"/>
  <c r="R55" i="33" s="1"/>
  <c r="S27" i="7"/>
  <c r="X9" i="14"/>
  <c r="P75" i="14" s="1"/>
  <c r="Y9" i="14"/>
  <c r="R75" i="14" s="1"/>
  <c r="R122" i="14"/>
  <c r="N58" i="59"/>
  <c r="K18" i="7"/>
  <c r="Q96" i="4"/>
  <c r="R92" i="14"/>
  <c r="Q47" i="16"/>
  <c r="Q137" i="20"/>
  <c r="R71" i="34"/>
  <c r="R122" i="37"/>
  <c r="R41" i="5"/>
  <c r="Q76" i="24"/>
  <c r="AD10" i="10"/>
  <c r="Q86" i="10"/>
  <c r="AD11" i="10"/>
  <c r="Q96" i="10"/>
  <c r="R111" i="16"/>
  <c r="Q137" i="19"/>
  <c r="Q117" i="24"/>
  <c r="Q46" i="33"/>
  <c r="Y5" i="8"/>
  <c r="R35" i="8" s="1"/>
  <c r="X5" i="8"/>
  <c r="P35" i="8" s="1"/>
  <c r="Q68" i="59"/>
  <c r="Q67" i="14"/>
  <c r="Y8" i="10"/>
  <c r="R65" i="10" s="1"/>
  <c r="X8" i="10"/>
  <c r="P65" i="10" s="1"/>
  <c r="Q127" i="5"/>
  <c r="S27" i="14"/>
  <c r="T11" i="10"/>
  <c r="R91" i="10"/>
  <c r="S91" i="10"/>
  <c r="R31" i="19"/>
  <c r="R101" i="14"/>
  <c r="Q97" i="24"/>
  <c r="R51" i="10"/>
  <c r="S51" i="10"/>
  <c r="T7" i="10"/>
  <c r="X13" i="33"/>
  <c r="P115" i="33" s="1"/>
  <c r="Y13" i="33"/>
  <c r="R115" i="33" s="1"/>
  <c r="Q56" i="10"/>
  <c r="AD7" i="10"/>
  <c r="S56" i="10" s="1"/>
  <c r="R121" i="16"/>
  <c r="Q37" i="16"/>
  <c r="N38" i="59"/>
  <c r="R41" i="11"/>
  <c r="AD10" i="11"/>
  <c r="Q86" i="11"/>
  <c r="R41" i="4"/>
  <c r="X10" i="16"/>
  <c r="P85" i="16" s="1"/>
  <c r="Y10" i="16"/>
  <c r="R85" i="16" s="1"/>
  <c r="Q86" i="14"/>
  <c r="Y7" i="14"/>
  <c r="R55" i="14" s="1"/>
  <c r="X7" i="14"/>
  <c r="P55" i="14" s="1"/>
  <c r="S27" i="10"/>
  <c r="R81" i="14"/>
  <c r="Q127" i="59"/>
  <c r="X11" i="5"/>
  <c r="P95" i="5" s="1"/>
  <c r="S95" i="5" s="1"/>
  <c r="Y11" i="5"/>
  <c r="R95" i="5" s="1"/>
  <c r="X10" i="33"/>
  <c r="P85" i="33" s="1"/>
  <c r="Y10" i="33"/>
  <c r="R85" i="33" s="1"/>
  <c r="R21" i="33"/>
  <c r="R102" i="5"/>
  <c r="Q116" i="16"/>
  <c r="R52" i="17"/>
  <c r="Y8" i="5"/>
  <c r="R65" i="5" s="1"/>
  <c r="X8" i="5"/>
  <c r="P65" i="5" s="1"/>
  <c r="R92" i="59"/>
  <c r="R72" i="33"/>
  <c r="AD9" i="10"/>
  <c r="AE9" i="10" s="1"/>
  <c r="Q76" i="10"/>
  <c r="R72" i="7"/>
  <c r="Q107" i="14"/>
  <c r="X5" i="7"/>
  <c r="P35" i="7" s="1"/>
  <c r="Y5" i="7"/>
  <c r="R35" i="7" s="1"/>
  <c r="T10" i="11"/>
  <c r="S81" i="11"/>
  <c r="R81" i="11"/>
  <c r="R132" i="59"/>
  <c r="Q97" i="5"/>
  <c r="R121" i="37"/>
  <c r="R132" i="15"/>
  <c r="R122" i="15"/>
  <c r="R21" i="7"/>
  <c r="Q136" i="16"/>
  <c r="K18" i="16"/>
  <c r="R92" i="16"/>
  <c r="S95" i="17"/>
  <c r="T4" i="59"/>
  <c r="T16" i="59" s="1"/>
  <c r="S95" i="19"/>
  <c r="N11" i="11"/>
  <c r="S125" i="59"/>
  <c r="AA15" i="59"/>
  <c r="V134" i="59" s="1"/>
  <c r="AH15" i="59"/>
  <c r="U131" i="59" s="1"/>
  <c r="AI15" i="59"/>
  <c r="V131" i="59" s="1"/>
  <c r="N20" i="59"/>
  <c r="S95" i="11"/>
  <c r="S95" i="37"/>
  <c r="S125" i="34"/>
  <c r="S35" i="34"/>
  <c r="S85" i="11"/>
  <c r="N10" i="11"/>
  <c r="AK4" i="59"/>
  <c r="AK16" i="59" s="1"/>
  <c r="P21" i="59"/>
  <c r="AH4" i="59"/>
  <c r="U21" i="59" s="1"/>
  <c r="AA4" i="59"/>
  <c r="AA16" i="59" s="1"/>
  <c r="S85" i="20"/>
  <c r="S35" i="35"/>
  <c r="S75" i="33"/>
  <c r="S125" i="6"/>
  <c r="AI6" i="59"/>
  <c r="V41" i="59" s="1"/>
  <c r="S65" i="20"/>
  <c r="S135" i="34"/>
  <c r="S85" i="15"/>
  <c r="S105" i="33"/>
  <c r="S95" i="22"/>
  <c r="S95" i="59"/>
  <c r="S55" i="59"/>
  <c r="S85" i="34"/>
  <c r="S55" i="24"/>
  <c r="S135" i="7"/>
  <c r="S45" i="22"/>
  <c r="N99" i="59"/>
  <c r="AH12" i="59"/>
  <c r="U101" i="59" s="1"/>
  <c r="U4" i="59"/>
  <c r="S32" i="59" s="1"/>
  <c r="N50" i="59"/>
  <c r="N4" i="59"/>
  <c r="AA7" i="59"/>
  <c r="V54" i="59" s="1"/>
  <c r="AK12" i="59"/>
  <c r="U102" i="59" s="1"/>
  <c r="S21" i="59"/>
  <c r="AI14" i="59"/>
  <c r="V121" i="59" s="1"/>
  <c r="AK7" i="59"/>
  <c r="U52" i="59" s="1"/>
  <c r="S65" i="24"/>
  <c r="S75" i="37"/>
  <c r="S75" i="17"/>
  <c r="S105" i="7"/>
  <c r="S105" i="37"/>
  <c r="S75" i="22"/>
  <c r="S35" i="6"/>
  <c r="AH14" i="59"/>
  <c r="U121" i="59" s="1"/>
  <c r="AH7" i="59"/>
  <c r="AK14" i="59"/>
  <c r="U122" i="59" s="1"/>
  <c r="S65" i="22"/>
  <c r="S105" i="59"/>
  <c r="S45" i="37"/>
  <c r="S65" i="35"/>
  <c r="AI9" i="59"/>
  <c r="V71" i="59" s="1"/>
  <c r="S125" i="14"/>
  <c r="S105" i="19"/>
  <c r="S35" i="17"/>
  <c r="S45" i="35"/>
  <c r="R5" i="59"/>
  <c r="V5" i="59" s="1"/>
  <c r="S34" i="59" s="1"/>
  <c r="S135" i="22"/>
  <c r="S55" i="15"/>
  <c r="S105" i="22"/>
  <c r="S125" i="19"/>
  <c r="AG4" i="59"/>
  <c r="S135" i="5"/>
  <c r="S105" i="17"/>
  <c r="S115" i="5"/>
  <c r="S45" i="5"/>
  <c r="S4" i="59"/>
  <c r="S55" i="35"/>
  <c r="S45" i="19"/>
  <c r="S55" i="34"/>
  <c r="S125" i="17"/>
  <c r="S55" i="6"/>
  <c r="S75" i="24"/>
  <c r="S66" i="11"/>
  <c r="S115" i="17"/>
  <c r="S125" i="24"/>
  <c r="AA6" i="59"/>
  <c r="V44" i="59" s="1"/>
  <c r="S125" i="5"/>
  <c r="P55" i="10"/>
  <c r="S55" i="10" s="1"/>
  <c r="N7" i="10"/>
  <c r="S65" i="59"/>
  <c r="S35" i="11"/>
  <c r="AD4" i="59"/>
  <c r="AA12" i="59"/>
  <c r="V104" i="59" s="1"/>
  <c r="N100" i="59"/>
  <c r="AK10" i="59"/>
  <c r="U82" i="59" s="1"/>
  <c r="N79" i="59"/>
  <c r="AA10" i="59"/>
  <c r="V84" i="59" s="1"/>
  <c r="AI10" i="59"/>
  <c r="V81" i="59" s="1"/>
  <c r="AH10" i="59"/>
  <c r="S86" i="10"/>
  <c r="S56" i="11"/>
  <c r="P105" i="10"/>
  <c r="S105" i="10" s="1"/>
  <c r="N12" i="10"/>
  <c r="S136" i="10"/>
  <c r="S106" i="11"/>
  <c r="X16" i="59"/>
  <c r="AH13" i="59"/>
  <c r="AI13" i="59"/>
  <c r="V111" i="59" s="1"/>
  <c r="N109" i="59"/>
  <c r="N110" i="59"/>
  <c r="AA13" i="59"/>
  <c r="V114" i="59" s="1"/>
  <c r="N49" i="59"/>
  <c r="P125" i="11"/>
  <c r="S125" i="11" s="1"/>
  <c r="N14" i="11"/>
  <c r="S45" i="4"/>
  <c r="S115" i="15"/>
  <c r="N119" i="59"/>
  <c r="N120" i="59"/>
  <c r="S85" i="6"/>
  <c r="S85" i="22"/>
  <c r="N129" i="59"/>
  <c r="S126" i="11"/>
  <c r="S125" i="16"/>
  <c r="S86" i="11"/>
  <c r="S35" i="4"/>
  <c r="S95" i="35"/>
  <c r="S95" i="33"/>
  <c r="S85" i="19"/>
  <c r="AE13" i="11"/>
  <c r="S75" i="8"/>
  <c r="AA11" i="59"/>
  <c r="V94" i="59" s="1"/>
  <c r="N89" i="59"/>
  <c r="N90" i="59"/>
  <c r="AH11" i="59"/>
  <c r="U91" i="59" s="1"/>
  <c r="AK11" i="59"/>
  <c r="U92" i="59" s="1"/>
  <c r="AI4" i="59"/>
  <c r="S66" i="10"/>
  <c r="AE12" i="10"/>
  <c r="S106" i="10"/>
  <c r="S65" i="15"/>
  <c r="AA8" i="59"/>
  <c r="V64" i="59" s="1"/>
  <c r="AI8" i="59"/>
  <c r="V61" i="59" s="1"/>
  <c r="N59" i="59"/>
  <c r="S54" i="60"/>
  <c r="V43" i="60"/>
  <c r="T43" i="60"/>
  <c r="AE7" i="60"/>
  <c r="S56" i="60"/>
  <c r="R9" i="60"/>
  <c r="V8" i="60"/>
  <c r="S64" i="60" s="1"/>
  <c r="S61" i="60"/>
  <c r="U8" i="60"/>
  <c r="S72" i="60" s="1"/>
  <c r="T8" i="60"/>
  <c r="AD8" i="60"/>
  <c r="N8" i="60"/>
  <c r="O96" i="37"/>
  <c r="U59" i="59"/>
  <c r="V119" i="59"/>
  <c r="G117" i="40"/>
  <c r="G137" i="40"/>
  <c r="O26" i="34"/>
  <c r="O76" i="16"/>
  <c r="O86" i="6"/>
  <c r="V39" i="59"/>
  <c r="O96" i="16"/>
  <c r="V59" i="59"/>
  <c r="O106" i="11"/>
  <c r="U119" i="59"/>
  <c r="G118" i="40"/>
  <c r="H111" i="40"/>
  <c r="G110" i="40"/>
  <c r="G135" i="40"/>
  <c r="U39" i="59"/>
  <c r="O36" i="17"/>
  <c r="G136" i="40"/>
  <c r="H110" i="40"/>
  <c r="V129" i="59"/>
  <c r="N21" i="57"/>
  <c r="O96" i="6"/>
  <c r="O26" i="37"/>
  <c r="H115" i="40"/>
  <c r="H136" i="40"/>
  <c r="O56" i="5"/>
  <c r="O96" i="34"/>
  <c r="U129" i="59"/>
  <c r="O56" i="16"/>
  <c r="O106" i="20"/>
  <c r="O96" i="35"/>
  <c r="O66" i="35"/>
  <c r="V109" i="59"/>
  <c r="O36" i="6"/>
  <c r="O76" i="15"/>
  <c r="N5" i="57"/>
  <c r="U109" i="59"/>
  <c r="V99" i="59"/>
  <c r="O75" i="60"/>
  <c r="Q25" i="59"/>
  <c r="O76" i="6"/>
  <c r="V79" i="59"/>
  <c r="N19" i="57"/>
  <c r="U19" i="59"/>
  <c r="H114" i="40"/>
  <c r="G112" i="40"/>
  <c r="G132" i="40"/>
  <c r="U69" i="59"/>
  <c r="O66" i="15"/>
  <c r="O76" i="22"/>
  <c r="U79" i="59"/>
  <c r="H117" i="40"/>
  <c r="H118" i="40"/>
  <c r="V19" i="59"/>
  <c r="H113" i="40"/>
  <c r="O35" i="59"/>
  <c r="O56" i="19"/>
  <c r="O76" i="20"/>
  <c r="O126" i="24"/>
  <c r="O36" i="15"/>
  <c r="O46" i="11"/>
  <c r="O116" i="4"/>
  <c r="V29" i="59"/>
  <c r="U99" i="59"/>
  <c r="O25" i="59"/>
  <c r="N20" i="57"/>
  <c r="N4" i="57"/>
  <c r="O76" i="4"/>
  <c r="G114" i="40"/>
  <c r="O66" i="59"/>
  <c r="U29" i="59"/>
  <c r="G116" i="40"/>
  <c r="G115" i="40"/>
  <c r="G111" i="40"/>
  <c r="O76" i="37"/>
  <c r="V69" i="59"/>
  <c r="N7" i="57"/>
  <c r="V89" i="59"/>
  <c r="O116" i="59"/>
  <c r="H116" i="40"/>
  <c r="G113" i="40"/>
  <c r="V49" i="59"/>
  <c r="H112" i="40"/>
  <c r="O86" i="20"/>
  <c r="O106" i="8"/>
  <c r="O136" i="34"/>
  <c r="O46" i="20"/>
  <c r="U89" i="59"/>
  <c r="O56" i="17"/>
  <c r="U49" i="59"/>
  <c r="O26" i="11"/>
  <c r="N2" i="57"/>
  <c r="N10" i="57"/>
  <c r="S105" i="5" l="1"/>
  <c r="S45" i="34"/>
  <c r="S105" i="4"/>
  <c r="S85" i="33"/>
  <c r="S115" i="34"/>
  <c r="S85" i="35"/>
  <c r="S75" i="4"/>
  <c r="S55" i="7"/>
  <c r="S75" i="6"/>
  <c r="S95" i="14"/>
  <c r="S45" i="10"/>
  <c r="S85" i="17"/>
  <c r="S135" i="10"/>
  <c r="S125" i="33"/>
  <c r="S115" i="8"/>
  <c r="S35" i="16"/>
  <c r="S115" i="22"/>
  <c r="S75" i="15"/>
  <c r="S95" i="8"/>
  <c r="S75" i="16"/>
  <c r="S105" i="20"/>
  <c r="S75" i="14"/>
  <c r="N15" i="10"/>
  <c r="S105" i="6"/>
  <c r="S35" i="5"/>
  <c r="S125" i="35"/>
  <c r="S135" i="37"/>
  <c r="S105" i="35"/>
  <c r="S125" i="15"/>
  <c r="S55" i="8"/>
  <c r="S125" i="8"/>
  <c r="S55" i="33"/>
  <c r="S75" i="19"/>
  <c r="S135" i="14"/>
  <c r="S105" i="16"/>
  <c r="S35" i="7"/>
  <c r="S85" i="16"/>
  <c r="S65" i="10"/>
  <c r="AI5" i="59"/>
  <c r="V31" i="59" s="1"/>
  <c r="AH5" i="59"/>
  <c r="N29" i="59"/>
  <c r="N30" i="59"/>
  <c r="S55" i="11"/>
  <c r="S135" i="33"/>
  <c r="S135" i="16"/>
  <c r="S45" i="24"/>
  <c r="N11" i="10"/>
  <c r="R35" i="59"/>
  <c r="S35" i="59" s="1"/>
  <c r="S76" i="10"/>
  <c r="S85" i="59"/>
  <c r="S115" i="37"/>
  <c r="S75" i="10"/>
  <c r="S45" i="11"/>
  <c r="S85" i="8"/>
  <c r="S45" i="33"/>
  <c r="S65" i="11"/>
  <c r="S35" i="37"/>
  <c r="S105" i="11"/>
  <c r="S135" i="19"/>
  <c r="S135" i="20"/>
  <c r="S135" i="59"/>
  <c r="S45" i="16"/>
  <c r="S125" i="4"/>
  <c r="S65" i="6"/>
  <c r="S135" i="11"/>
  <c r="S65" i="8"/>
  <c r="S85" i="10"/>
  <c r="S95" i="20"/>
  <c r="S55" i="22"/>
  <c r="S75" i="35"/>
  <c r="S125" i="20"/>
  <c r="S95" i="24"/>
  <c r="S95" i="7"/>
  <c r="S105" i="24"/>
  <c r="S55" i="37"/>
  <c r="S95" i="6"/>
  <c r="S115" i="6"/>
  <c r="S115" i="4"/>
  <c r="S115" i="19"/>
  <c r="S135" i="4"/>
  <c r="S105" i="14"/>
  <c r="S105" i="8"/>
  <c r="S85" i="5"/>
  <c r="S55" i="16"/>
  <c r="S85" i="24"/>
  <c r="S135" i="6"/>
  <c r="S75" i="59"/>
  <c r="S105" i="34"/>
  <c r="N8" i="10"/>
  <c r="S35" i="8"/>
  <c r="S126" i="10"/>
  <c r="X16" i="5"/>
  <c r="N12" i="11"/>
  <c r="S65" i="16"/>
  <c r="S65" i="37"/>
  <c r="S75" i="11"/>
  <c r="S55" i="17"/>
  <c r="S55" i="20"/>
  <c r="S135" i="8"/>
  <c r="S35" i="33"/>
  <c r="S135" i="17"/>
  <c r="S55" i="19"/>
  <c r="S35" i="22"/>
  <c r="S45" i="6"/>
  <c r="S55" i="4"/>
  <c r="S115" i="7"/>
  <c r="N15" i="11"/>
  <c r="X16" i="22"/>
  <c r="S55" i="5"/>
  <c r="S95" i="10"/>
  <c r="S65" i="33"/>
  <c r="S135" i="15"/>
  <c r="S65" i="4"/>
  <c r="S85" i="37"/>
  <c r="S35" i="15"/>
  <c r="S115" i="59"/>
  <c r="S125" i="37"/>
  <c r="S125" i="7"/>
  <c r="S45" i="59"/>
  <c r="S105" i="15"/>
  <c r="S75" i="34"/>
  <c r="S115" i="35"/>
  <c r="S135" i="24"/>
  <c r="S115" i="14"/>
  <c r="S65" i="17"/>
  <c r="S95" i="15"/>
  <c r="S65" i="14"/>
  <c r="S85" i="4"/>
  <c r="N10" i="10"/>
  <c r="S115" i="20"/>
  <c r="S45" i="7"/>
  <c r="S115" i="24"/>
  <c r="S135" i="35"/>
  <c r="S55" i="14"/>
  <c r="S75" i="5"/>
  <c r="S75" i="7"/>
  <c r="S115" i="11"/>
  <c r="S115" i="33"/>
  <c r="S85" i="7"/>
  <c r="S115" i="16"/>
  <c r="S125" i="10"/>
  <c r="S65" i="7"/>
  <c r="S85" i="14"/>
  <c r="S65" i="19"/>
  <c r="S45" i="14"/>
  <c r="X16" i="8"/>
  <c r="Y16" i="11"/>
  <c r="N8" i="11"/>
  <c r="X16" i="33"/>
  <c r="Y16" i="35"/>
  <c r="Y16" i="34"/>
  <c r="X16" i="34"/>
  <c r="N9" i="11"/>
  <c r="S35" i="24"/>
  <c r="N13" i="10"/>
  <c r="Y16" i="24"/>
  <c r="N7" i="11"/>
  <c r="S115" i="10"/>
  <c r="Y16" i="22"/>
  <c r="X16" i="37"/>
  <c r="S95" i="16"/>
  <c r="S65" i="34"/>
  <c r="S65" i="5"/>
  <c r="X16" i="6"/>
  <c r="Y16" i="6"/>
  <c r="S75" i="20"/>
  <c r="S95" i="4"/>
  <c r="AH6" i="59"/>
  <c r="U41" i="59" s="1"/>
  <c r="T41" i="59" s="1"/>
  <c r="AI7" i="59"/>
  <c r="V51" i="59" s="1"/>
  <c r="AI11" i="59"/>
  <c r="V91" i="59" s="1"/>
  <c r="T91" i="59" s="1"/>
  <c r="AE9" i="11"/>
  <c r="X16" i="24"/>
  <c r="Y16" i="10"/>
  <c r="AE10" i="10"/>
  <c r="S116" i="11"/>
  <c r="Y16" i="8"/>
  <c r="AE8" i="10"/>
  <c r="S116" i="10"/>
  <c r="AK5" i="59"/>
  <c r="U32" i="59" s="1"/>
  <c r="AE11" i="10"/>
  <c r="Y16" i="16"/>
  <c r="X16" i="7"/>
  <c r="Y16" i="37"/>
  <c r="V4" i="59"/>
  <c r="AI12" i="59"/>
  <c r="V101" i="59" s="1"/>
  <c r="T101" i="59" s="1"/>
  <c r="X16" i="11"/>
  <c r="Y16" i="4"/>
  <c r="Y16" i="7"/>
  <c r="AE10" i="11"/>
  <c r="AE15" i="11"/>
  <c r="AE14" i="11"/>
  <c r="N80" i="59"/>
  <c r="S95" i="34"/>
  <c r="AA9" i="59"/>
  <c r="V74" i="59" s="1"/>
  <c r="N70" i="59"/>
  <c r="X16" i="16"/>
  <c r="X16" i="4"/>
  <c r="AH9" i="59"/>
  <c r="AJ9" i="59" s="1"/>
  <c r="X16" i="35"/>
  <c r="AE11" i="11"/>
  <c r="N19" i="59"/>
  <c r="S125" i="22"/>
  <c r="S76" i="11"/>
  <c r="S96" i="10"/>
  <c r="N39" i="59"/>
  <c r="N13" i="11"/>
  <c r="AK13" i="59"/>
  <c r="U112" i="59" s="1"/>
  <c r="N9" i="10"/>
  <c r="N14" i="10"/>
  <c r="AK15" i="59"/>
  <c r="U132" i="59" s="1"/>
  <c r="X16" i="10"/>
  <c r="AK9" i="59"/>
  <c r="U72" i="59" s="1"/>
  <c r="AE12" i="11"/>
  <c r="AE7" i="11"/>
  <c r="N40" i="59"/>
  <c r="Y16" i="5"/>
  <c r="AE7" i="10"/>
  <c r="AE8" i="11"/>
  <c r="AE15" i="10"/>
  <c r="P31" i="59"/>
  <c r="AA14" i="59"/>
  <c r="V124" i="59" s="1"/>
  <c r="N69" i="59"/>
  <c r="Y16" i="33"/>
  <c r="N60" i="59"/>
  <c r="AH8" i="59"/>
  <c r="U61" i="59" s="1"/>
  <c r="T61" i="59" s="1"/>
  <c r="AK8" i="59"/>
  <c r="U62" i="59" s="1"/>
  <c r="W16" i="59"/>
  <c r="S43" i="59"/>
  <c r="AJ15" i="59"/>
  <c r="T131" i="59"/>
  <c r="AH16" i="59"/>
  <c r="U22" i="59"/>
  <c r="AJ4" i="59"/>
  <c r="V24" i="59"/>
  <c r="U16" i="59"/>
  <c r="N5" i="59"/>
  <c r="AJ14" i="59"/>
  <c r="S31" i="59"/>
  <c r="U5" i="59"/>
  <c r="S42" i="59" s="1"/>
  <c r="AG5" i="59"/>
  <c r="S5" i="59"/>
  <c r="S30" i="59" s="1"/>
  <c r="T121" i="59"/>
  <c r="U51" i="59"/>
  <c r="R6" i="59"/>
  <c r="AD5" i="59"/>
  <c r="AE5" i="59" s="1"/>
  <c r="T33" i="59" s="1"/>
  <c r="T5" i="59"/>
  <c r="S20" i="59"/>
  <c r="Z4" i="59"/>
  <c r="S16" i="59"/>
  <c r="T113" i="11"/>
  <c r="V113" i="11"/>
  <c r="V103" i="10"/>
  <c r="T103" i="10"/>
  <c r="V73" i="10"/>
  <c r="T73" i="10"/>
  <c r="U31" i="59"/>
  <c r="U111" i="59"/>
  <c r="T111" i="59" s="1"/>
  <c r="AJ13" i="59"/>
  <c r="AI16" i="59"/>
  <c r="V21" i="59"/>
  <c r="AE4" i="59"/>
  <c r="AD16" i="59"/>
  <c r="H18" i="59" s="1"/>
  <c r="S26" i="59"/>
  <c r="V123" i="10"/>
  <c r="T123" i="10"/>
  <c r="T113" i="10"/>
  <c r="V113" i="10"/>
  <c r="U81" i="59"/>
  <c r="T81" i="59" s="1"/>
  <c r="AJ10" i="59"/>
  <c r="T53" i="60"/>
  <c r="V53" i="60"/>
  <c r="V9" i="60"/>
  <c r="R10" i="60"/>
  <c r="AD9" i="60"/>
  <c r="T9" i="60"/>
  <c r="U9" i="60"/>
  <c r="S82" i="60" s="1"/>
  <c r="S71" i="60"/>
  <c r="N9" i="60"/>
  <c r="AE8" i="60"/>
  <c r="S66" i="60"/>
  <c r="H133" i="40"/>
  <c r="H134" i="40"/>
  <c r="O85" i="60"/>
  <c r="G131" i="40"/>
  <c r="G134" i="40"/>
  <c r="H138" i="40"/>
  <c r="Q35" i="59"/>
  <c r="H137" i="40"/>
  <c r="H135" i="40"/>
  <c r="H132" i="40"/>
  <c r="H130" i="40"/>
  <c r="G133" i="40"/>
  <c r="G130" i="40"/>
  <c r="O45" i="59"/>
  <c r="H131" i="40"/>
  <c r="G138" i="40"/>
  <c r="AJ5" i="59" l="1"/>
  <c r="T31" i="59"/>
  <c r="U36" i="59"/>
  <c r="AJ8" i="59"/>
  <c r="AJ6" i="59"/>
  <c r="AJ12" i="59"/>
  <c r="T51" i="59"/>
  <c r="AJ11" i="59"/>
  <c r="AJ7" i="59"/>
  <c r="U71" i="59"/>
  <c r="T71" i="59" s="1"/>
  <c r="V133" i="10"/>
  <c r="T133" i="10"/>
  <c r="V63" i="11"/>
  <c r="T63" i="11"/>
  <c r="T53" i="10"/>
  <c r="V53" i="10"/>
  <c r="V83" i="10"/>
  <c r="T83" i="10"/>
  <c r="S24" i="59"/>
  <c r="S19" i="59" s="1"/>
  <c r="V16" i="59"/>
  <c r="V53" i="11"/>
  <c r="T53" i="11"/>
  <c r="V73" i="11"/>
  <c r="T73" i="11"/>
  <c r="V103" i="11"/>
  <c r="T103" i="11"/>
  <c r="V123" i="11"/>
  <c r="T123" i="11"/>
  <c r="T133" i="11"/>
  <c r="V133" i="11"/>
  <c r="V93" i="10"/>
  <c r="T93" i="10"/>
  <c r="V63" i="10"/>
  <c r="T63" i="10"/>
  <c r="V93" i="11"/>
  <c r="T93" i="11"/>
  <c r="T83" i="11"/>
  <c r="V83" i="11"/>
  <c r="AJ16" i="59"/>
  <c r="Z5" i="59"/>
  <c r="BB5" i="59" s="1"/>
  <c r="S36" i="59"/>
  <c r="S29" i="59" s="1"/>
  <c r="V33" i="59"/>
  <c r="AG6" i="59"/>
  <c r="U6" i="59"/>
  <c r="S52" i="59" s="1"/>
  <c r="AD6" i="59"/>
  <c r="S6" i="59"/>
  <c r="T6" i="59"/>
  <c r="V6" i="59"/>
  <c r="S44" i="59" s="1"/>
  <c r="S41" i="59"/>
  <c r="R7" i="59"/>
  <c r="N6" i="59"/>
  <c r="AF5" i="59"/>
  <c r="U26" i="59"/>
  <c r="BB4" i="59"/>
  <c r="BC4" i="59"/>
  <c r="Z16" i="59"/>
  <c r="AL4" i="59"/>
  <c r="AL16" i="59" s="1"/>
  <c r="T21" i="59"/>
  <c r="V23" i="59"/>
  <c r="T23" i="59"/>
  <c r="AE16" i="59"/>
  <c r="H28" i="59" s="1"/>
  <c r="AF4" i="59"/>
  <c r="AF16" i="59" s="1"/>
  <c r="S74" i="60"/>
  <c r="AE9" i="60"/>
  <c r="S76" i="60"/>
  <c r="V10" i="60"/>
  <c r="S84" i="60" s="1"/>
  <c r="R11" i="60"/>
  <c r="S81" i="60"/>
  <c r="U10" i="60"/>
  <c r="S92" i="60" s="1"/>
  <c r="AD10" i="60"/>
  <c r="T10" i="60"/>
  <c r="N10" i="60"/>
  <c r="V63" i="60"/>
  <c r="T63" i="60"/>
  <c r="O95" i="60"/>
  <c r="Q45" i="59"/>
  <c r="O55" i="59"/>
  <c r="BC5" i="59" l="1"/>
  <c r="AL5" i="59"/>
  <c r="S46" i="59"/>
  <c r="AE6" i="59"/>
  <c r="U7" i="59"/>
  <c r="S62" i="59" s="1"/>
  <c r="AD7" i="59"/>
  <c r="AG7" i="59"/>
  <c r="V7" i="59"/>
  <c r="S54" i="59" s="1"/>
  <c r="R8" i="59"/>
  <c r="S7" i="59"/>
  <c r="N7" i="59"/>
  <c r="S51" i="59"/>
  <c r="T7" i="59"/>
  <c r="Z6" i="59"/>
  <c r="S40" i="59"/>
  <c r="O17" i="59"/>
  <c r="Q88" i="59" s="1"/>
  <c r="G65" i="59"/>
  <c r="G66" i="59"/>
  <c r="T73" i="60"/>
  <c r="V73" i="60"/>
  <c r="AE10" i="60"/>
  <c r="S86" i="60"/>
  <c r="R12" i="60"/>
  <c r="V11" i="60"/>
  <c r="T11" i="60"/>
  <c r="AD11" i="60"/>
  <c r="U11" i="60"/>
  <c r="S102" i="60" s="1"/>
  <c r="S91" i="60"/>
  <c r="N11" i="60"/>
  <c r="Q55" i="59"/>
  <c r="O65" i="59"/>
  <c r="O105" i="60"/>
  <c r="U46" i="59" l="1"/>
  <c r="S39" i="59"/>
  <c r="AL6" i="59"/>
  <c r="BC6" i="59"/>
  <c r="BB6" i="59"/>
  <c r="V43" i="59"/>
  <c r="AF6" i="59"/>
  <c r="T43" i="59"/>
  <c r="Z7" i="59"/>
  <c r="S50" i="59"/>
  <c r="R9" i="59"/>
  <c r="S8" i="59"/>
  <c r="AD8" i="59"/>
  <c r="T8" i="59"/>
  <c r="S61" i="59"/>
  <c r="N8" i="59"/>
  <c r="AG8" i="59"/>
  <c r="U8" i="59"/>
  <c r="S72" i="59" s="1"/>
  <c r="V8" i="59"/>
  <c r="S64" i="59" s="1"/>
  <c r="AE7" i="59"/>
  <c r="S56" i="59"/>
  <c r="H66" i="59"/>
  <c r="G75" i="59"/>
  <c r="H75" i="59"/>
  <c r="S94" i="60"/>
  <c r="AE11" i="60"/>
  <c r="S96" i="60"/>
  <c r="V83" i="60"/>
  <c r="T83" i="60"/>
  <c r="V12" i="60"/>
  <c r="S104" i="60" s="1"/>
  <c r="R13" i="60"/>
  <c r="T12" i="60"/>
  <c r="AD12" i="60"/>
  <c r="U12" i="60"/>
  <c r="S112" i="60" s="1"/>
  <c r="S101" i="60"/>
  <c r="N12" i="60"/>
  <c r="Q65" i="59"/>
  <c r="O115" i="60"/>
  <c r="O75" i="59"/>
  <c r="S66" i="59" l="1"/>
  <c r="AE8" i="59"/>
  <c r="Z8" i="59"/>
  <c r="S60" i="59"/>
  <c r="S49" i="59"/>
  <c r="U56" i="59"/>
  <c r="S71" i="59"/>
  <c r="S9" i="59"/>
  <c r="N9" i="59"/>
  <c r="R10" i="59"/>
  <c r="V9" i="59"/>
  <c r="S74" i="59" s="1"/>
  <c r="AD9" i="59"/>
  <c r="U9" i="59"/>
  <c r="S82" i="59" s="1"/>
  <c r="AG9" i="59"/>
  <c r="T9" i="59"/>
  <c r="AL7" i="59"/>
  <c r="BC7" i="59"/>
  <c r="BB7" i="59"/>
  <c r="V53" i="59"/>
  <c r="T53" i="59"/>
  <c r="AF7" i="59"/>
  <c r="AE12" i="60"/>
  <c r="S106" i="60"/>
  <c r="T93" i="60"/>
  <c r="V93" i="60"/>
  <c r="V13" i="60"/>
  <c r="S114" i="60" s="1"/>
  <c r="R14" i="60"/>
  <c r="S111" i="60"/>
  <c r="AD13" i="60"/>
  <c r="T13" i="60"/>
  <c r="U13" i="60"/>
  <c r="S122" i="60" s="1"/>
  <c r="N13" i="60"/>
  <c r="O85" i="59"/>
  <c r="O125" i="60"/>
  <c r="Q75" i="59"/>
  <c r="AE9" i="59" l="1"/>
  <c r="S76" i="59"/>
  <c r="AD10" i="59"/>
  <c r="S81" i="59"/>
  <c r="U10" i="59"/>
  <c r="S92" i="59" s="1"/>
  <c r="S10" i="59"/>
  <c r="N10" i="59"/>
  <c r="T10" i="59"/>
  <c r="AG10" i="59"/>
  <c r="V10" i="59"/>
  <c r="S84" i="59" s="1"/>
  <c r="R11" i="59"/>
  <c r="S70" i="59"/>
  <c r="Z9" i="59"/>
  <c r="S59" i="59"/>
  <c r="U66" i="59"/>
  <c r="BC8" i="59"/>
  <c r="AL8" i="59"/>
  <c r="BB8" i="59"/>
  <c r="AF8" i="59"/>
  <c r="T63" i="59"/>
  <c r="V63" i="59"/>
  <c r="AE13" i="60"/>
  <c r="S116" i="60"/>
  <c r="R15" i="60"/>
  <c r="V14" i="60"/>
  <c r="S124" i="60" s="1"/>
  <c r="T14" i="60"/>
  <c r="S121" i="60"/>
  <c r="AD14" i="60"/>
  <c r="U14" i="60"/>
  <c r="S132" i="60" s="1"/>
  <c r="N14" i="60"/>
  <c r="T103" i="60"/>
  <c r="V103" i="60"/>
  <c r="Q85" i="59"/>
  <c r="O95" i="59"/>
  <c r="O135" i="60"/>
  <c r="U76" i="59" l="1"/>
  <c r="S69" i="59"/>
  <c r="V11" i="59"/>
  <c r="S94" i="59" s="1"/>
  <c r="T11" i="59"/>
  <c r="AD11" i="59"/>
  <c r="U11" i="59"/>
  <c r="S102" i="59" s="1"/>
  <c r="R12" i="59"/>
  <c r="AG11" i="59"/>
  <c r="S91" i="59"/>
  <c r="N11" i="59"/>
  <c r="S11" i="59"/>
  <c r="Z10" i="59"/>
  <c r="S80" i="59"/>
  <c r="AE10" i="59"/>
  <c r="S86" i="59"/>
  <c r="BC9" i="59"/>
  <c r="AL9" i="59"/>
  <c r="BB9" i="59"/>
  <c r="V73" i="59"/>
  <c r="T73" i="59"/>
  <c r="AF9" i="59"/>
  <c r="V15" i="60"/>
  <c r="T15" i="60"/>
  <c r="U15" i="60"/>
  <c r="S131" i="60"/>
  <c r="AD15" i="60"/>
  <c r="N15" i="60"/>
  <c r="V113" i="60"/>
  <c r="T113" i="60"/>
  <c r="AE14" i="60"/>
  <c r="S126" i="60"/>
  <c r="O105" i="59"/>
  <c r="Q95" i="59"/>
  <c r="AL10" i="59" l="1"/>
  <c r="BB10" i="59"/>
  <c r="BC10" i="59"/>
  <c r="Z11" i="59"/>
  <c r="S90" i="59"/>
  <c r="T12" i="59"/>
  <c r="S12" i="59"/>
  <c r="AD12" i="59"/>
  <c r="AG12" i="59"/>
  <c r="R13" i="59"/>
  <c r="V12" i="59"/>
  <c r="S104" i="59" s="1"/>
  <c r="N12" i="59"/>
  <c r="U12" i="59"/>
  <c r="S112" i="59" s="1"/>
  <c r="S101" i="59"/>
  <c r="AE11" i="59"/>
  <c r="S96" i="59"/>
  <c r="AF10" i="59"/>
  <c r="T83" i="59"/>
  <c r="V83" i="59"/>
  <c r="S79" i="59"/>
  <c r="U86" i="59"/>
  <c r="S134" i="60"/>
  <c r="AE15" i="60"/>
  <c r="S136" i="60"/>
  <c r="V123" i="60"/>
  <c r="T123" i="60"/>
  <c r="Q105" i="59"/>
  <c r="O115" i="59"/>
  <c r="N13" i="59" l="1"/>
  <c r="AG13" i="59"/>
  <c r="R14" i="59"/>
  <c r="V13" i="59"/>
  <c r="S114" i="59" s="1"/>
  <c r="AD13" i="59"/>
  <c r="U13" i="59"/>
  <c r="S122" i="59" s="1"/>
  <c r="T13" i="59"/>
  <c r="S111" i="59"/>
  <c r="S13" i="59"/>
  <c r="AE12" i="59"/>
  <c r="S106" i="59"/>
  <c r="Z12" i="59"/>
  <c r="S100" i="59"/>
  <c r="U96" i="59"/>
  <c r="S89" i="59"/>
  <c r="BC11" i="59"/>
  <c r="AL11" i="59"/>
  <c r="BB11" i="59"/>
  <c r="V93" i="59"/>
  <c r="T93" i="59"/>
  <c r="AF11" i="59"/>
  <c r="V133" i="60"/>
  <c r="T133" i="60"/>
  <c r="Q115" i="59"/>
  <c r="O125" i="59"/>
  <c r="AE13" i="59" l="1"/>
  <c r="S116" i="59"/>
  <c r="R15" i="59"/>
  <c r="AG14" i="59"/>
  <c r="V14" i="59"/>
  <c r="S124" i="59" s="1"/>
  <c r="AD14" i="59"/>
  <c r="U14" i="59"/>
  <c r="S132" i="59" s="1"/>
  <c r="T14" i="59"/>
  <c r="S121" i="59"/>
  <c r="N14" i="59"/>
  <c r="S14" i="59"/>
  <c r="U106" i="59"/>
  <c r="S99" i="59"/>
  <c r="BC12" i="59"/>
  <c r="AL12" i="59"/>
  <c r="BB12" i="59"/>
  <c r="AF12" i="59"/>
  <c r="V103" i="59"/>
  <c r="T103" i="59"/>
  <c r="Z13" i="59"/>
  <c r="S110" i="59"/>
  <c r="Q125" i="59"/>
  <c r="O135" i="59"/>
  <c r="AE14" i="59" l="1"/>
  <c r="S126" i="59"/>
  <c r="U116" i="59"/>
  <c r="S109" i="59"/>
  <c r="AL13" i="59"/>
  <c r="BC13" i="59"/>
  <c r="BB13" i="59"/>
  <c r="AD15" i="59"/>
  <c r="U15" i="59"/>
  <c r="S131" i="59"/>
  <c r="S15" i="59"/>
  <c r="N15" i="59"/>
  <c r="V15" i="59"/>
  <c r="S134" i="59" s="1"/>
  <c r="AG15" i="59"/>
  <c r="T15" i="59"/>
  <c r="V113" i="59"/>
  <c r="T113" i="59"/>
  <c r="AF13" i="59"/>
  <c r="Z14" i="59"/>
  <c r="S120" i="59"/>
  <c r="Q135" i="59"/>
  <c r="S130" i="59" l="1"/>
  <c r="Z15" i="59"/>
  <c r="V123" i="59"/>
  <c r="T123" i="59"/>
  <c r="AF14" i="59"/>
  <c r="AE15" i="59"/>
  <c r="S136" i="59"/>
  <c r="U126" i="59"/>
  <c r="S119" i="59"/>
  <c r="AL14" i="59"/>
  <c r="BB14" i="59"/>
  <c r="BC14" i="59"/>
  <c r="T133" i="59" l="1"/>
  <c r="V133" i="59"/>
  <c r="AF15" i="59"/>
  <c r="BC15" i="59"/>
  <c r="AL15" i="59"/>
  <c r="BB15" i="59"/>
  <c r="U136" i="59"/>
  <c r="S129" i="59"/>
  <c r="AP14" i="35" l="1"/>
  <c r="AP8" i="33"/>
  <c r="AP6" i="37"/>
  <c r="AP4" i="34"/>
  <c r="AP7" i="35"/>
  <c r="AP11" i="34"/>
  <c r="AP13" i="34"/>
  <c r="AP6" i="33"/>
  <c r="AP7" i="37"/>
  <c r="AP11" i="35"/>
  <c r="AP6" i="35"/>
  <c r="AP15" i="33"/>
  <c r="AP4" i="33"/>
  <c r="AP10" i="35"/>
  <c r="AP7" i="34"/>
  <c r="AP9" i="34"/>
  <c r="AP13" i="37"/>
  <c r="AP15" i="34"/>
  <c r="AP13" i="35"/>
  <c r="AP11" i="33"/>
  <c r="AP13" i="33"/>
  <c r="AP4" i="35"/>
  <c r="AP10" i="37"/>
  <c r="AP5" i="34"/>
  <c r="AP12" i="37"/>
  <c r="AP9" i="37"/>
  <c r="AP10" i="33"/>
  <c r="AP9" i="35"/>
  <c r="AP14" i="34"/>
  <c r="AP7" i="33"/>
  <c r="AP9" i="33"/>
  <c r="AP12" i="35"/>
  <c r="AP12" i="34"/>
  <c r="AP8" i="37"/>
  <c r="AP5" i="37"/>
  <c r="AP5" i="35"/>
  <c r="AP10" i="34"/>
  <c r="AP5" i="33"/>
  <c r="AP14" i="37"/>
  <c r="AP15" i="35"/>
  <c r="AP8" i="35"/>
  <c r="AP8" i="34"/>
  <c r="AP14" i="33"/>
  <c r="AP15" i="37"/>
  <c r="AP4" i="37"/>
  <c r="AP6" i="34"/>
  <c r="AP12" i="33"/>
  <c r="AP11" i="37"/>
  <c r="AQ4" i="37" l="1"/>
  <c r="AQ4" i="35"/>
  <c r="AQ4" i="33"/>
  <c r="AQ4" i="34"/>
  <c r="Q38" i="34" l="1"/>
  <c r="Q38" i="33"/>
  <c r="Q38" i="35"/>
  <c r="Q38" i="37"/>
  <c r="AO4" i="60"/>
  <c r="AP4" i="60"/>
  <c r="AQ5" i="35"/>
  <c r="AQ5" i="37"/>
  <c r="AQ5" i="34"/>
  <c r="AZ4" i="60"/>
  <c r="P4" i="60"/>
  <c r="AQ5" i="33"/>
  <c r="Q48" i="33" l="1"/>
  <c r="N28" i="60"/>
  <c r="AN4" i="60"/>
  <c r="R4" i="60"/>
  <c r="Q4" i="60"/>
  <c r="AM4" i="60"/>
  <c r="Q48" i="34"/>
  <c r="Q48" i="37"/>
  <c r="Q48" i="35"/>
  <c r="AQ6" i="37"/>
  <c r="AQ6" i="35"/>
  <c r="U19" i="60"/>
  <c r="AQ4" i="60"/>
  <c r="O25" i="60"/>
  <c r="AQ7" i="34"/>
  <c r="AQ6" i="34"/>
  <c r="V19" i="60"/>
  <c r="AQ6" i="33"/>
  <c r="AQ7" i="35"/>
  <c r="AZ5" i="60"/>
  <c r="AQ7" i="37"/>
  <c r="P5" i="60"/>
  <c r="Q5" i="60"/>
  <c r="Q30" i="60" l="1"/>
  <c r="AG5" i="60"/>
  <c r="N38" i="60"/>
  <c r="Q68" i="37"/>
  <c r="AN5" i="60"/>
  <c r="Q68" i="35"/>
  <c r="Q58" i="33"/>
  <c r="Q58" i="34"/>
  <c r="Q68" i="34"/>
  <c r="Q38" i="60"/>
  <c r="Q58" i="35"/>
  <c r="Q58" i="37"/>
  <c r="Q20" i="60"/>
  <c r="S4" i="60"/>
  <c r="S21" i="60"/>
  <c r="V4" i="60"/>
  <c r="AD4" i="60"/>
  <c r="U4" i="60"/>
  <c r="AG4" i="60"/>
  <c r="T4" i="60"/>
  <c r="T16" i="60" s="1"/>
  <c r="N4" i="60"/>
  <c r="P21" i="60"/>
  <c r="AH4" i="60"/>
  <c r="AK4" i="60"/>
  <c r="AI4" i="60"/>
  <c r="N19" i="60"/>
  <c r="N20" i="60"/>
  <c r="AQ8" i="35"/>
  <c r="AQ8" i="33"/>
  <c r="AQ8" i="34"/>
  <c r="Q25" i="60"/>
  <c r="AO5" i="60"/>
  <c r="AZ6" i="60"/>
  <c r="U29" i="60"/>
  <c r="P6" i="60"/>
  <c r="AQ7" i="33"/>
  <c r="AP5" i="60"/>
  <c r="AQ8" i="37"/>
  <c r="Q78" i="37" l="1"/>
  <c r="Q68" i="33"/>
  <c r="N48" i="60"/>
  <c r="AN6" i="60"/>
  <c r="Q6" i="60"/>
  <c r="W6" i="60"/>
  <c r="S5" i="60"/>
  <c r="Q78" i="34"/>
  <c r="Q78" i="33"/>
  <c r="Q78" i="35"/>
  <c r="S32" i="60"/>
  <c r="U16" i="60"/>
  <c r="S26" i="60"/>
  <c r="AE4" i="60"/>
  <c r="AD16" i="60"/>
  <c r="H18" i="60" s="1"/>
  <c r="S24" i="60"/>
  <c r="S19" i="60" s="1"/>
  <c r="V16" i="60"/>
  <c r="N30" i="60"/>
  <c r="N29" i="60"/>
  <c r="V21" i="60"/>
  <c r="S20" i="60"/>
  <c r="Z4" i="60"/>
  <c r="U22" i="60"/>
  <c r="AM5" i="60"/>
  <c r="AK5" i="60" s="1"/>
  <c r="AJ4" i="60"/>
  <c r="U21" i="60"/>
  <c r="AP6" i="60"/>
  <c r="U39" i="60"/>
  <c r="AQ9" i="34"/>
  <c r="Q35" i="60"/>
  <c r="AP7" i="60"/>
  <c r="AQ9" i="35"/>
  <c r="P7" i="60"/>
  <c r="AZ7" i="60"/>
  <c r="V29" i="60"/>
  <c r="AQ9" i="33"/>
  <c r="AQ5" i="60"/>
  <c r="AQ9" i="37"/>
  <c r="AO6" i="60"/>
  <c r="T21" i="60" l="1"/>
  <c r="Q48" i="60"/>
  <c r="Q7" i="60"/>
  <c r="AN7" i="60"/>
  <c r="N58" i="60"/>
  <c r="U32" i="60"/>
  <c r="AH5" i="60"/>
  <c r="AI5" i="60"/>
  <c r="S30" i="60"/>
  <c r="S29" i="60" s="1"/>
  <c r="Z5" i="60"/>
  <c r="AL4" i="60"/>
  <c r="BB4" i="60"/>
  <c r="BC4" i="60"/>
  <c r="S43" i="60"/>
  <c r="Q40" i="60"/>
  <c r="S6" i="60"/>
  <c r="AG6" i="60"/>
  <c r="AM6" i="60" s="1"/>
  <c r="T23" i="60"/>
  <c r="V23" i="60"/>
  <c r="AE16" i="60"/>
  <c r="H28" i="60" s="1"/>
  <c r="N39" i="60"/>
  <c r="AI6" i="60"/>
  <c r="V41" i="60" s="1"/>
  <c r="N40" i="60"/>
  <c r="AK6" i="60"/>
  <c r="U42" i="60" s="1"/>
  <c r="AH6" i="60"/>
  <c r="AO7" i="60"/>
  <c r="P8" i="60"/>
  <c r="U49" i="60"/>
  <c r="AQ10" i="35"/>
  <c r="AQ10" i="34"/>
  <c r="AP8" i="60"/>
  <c r="AZ8" i="60"/>
  <c r="AQ10" i="33"/>
  <c r="AQ10" i="37"/>
  <c r="Q45" i="60"/>
  <c r="AQ6" i="60"/>
  <c r="V39" i="60"/>
  <c r="AQ7" i="60"/>
  <c r="AA4" i="60" l="1"/>
  <c r="Q68" i="60"/>
  <c r="Q58" i="60"/>
  <c r="Q98" i="37"/>
  <c r="Q98" i="33"/>
  <c r="AN8" i="60"/>
  <c r="Q8" i="60"/>
  <c r="Q98" i="34"/>
  <c r="Q98" i="35"/>
  <c r="N68" i="60"/>
  <c r="V31" i="60"/>
  <c r="Z6" i="60"/>
  <c r="S40" i="60"/>
  <c r="S39" i="60" s="1"/>
  <c r="AJ6" i="60"/>
  <c r="U41" i="60"/>
  <c r="T41" i="60" s="1"/>
  <c r="U31" i="60"/>
  <c r="AJ5" i="60"/>
  <c r="V24" i="60"/>
  <c r="U26" i="60" s="1"/>
  <c r="AF4" i="60"/>
  <c r="N49" i="60"/>
  <c r="N50" i="60"/>
  <c r="AK7" i="60"/>
  <c r="U52" i="60" s="1"/>
  <c r="AH7" i="60"/>
  <c r="AI7" i="60"/>
  <c r="V51" i="60" s="1"/>
  <c r="AL5" i="60"/>
  <c r="BB5" i="60"/>
  <c r="BC5" i="60"/>
  <c r="Q50" i="60"/>
  <c r="S7" i="60"/>
  <c r="AG7" i="60"/>
  <c r="AM7" i="60" s="1"/>
  <c r="AQ11" i="37"/>
  <c r="AQ11" i="34"/>
  <c r="Q55" i="60"/>
  <c r="AP9" i="60"/>
  <c r="V49" i="60"/>
  <c r="U59" i="60"/>
  <c r="AZ9" i="60"/>
  <c r="P9" i="60"/>
  <c r="AQ12" i="34"/>
  <c r="AQ11" i="33"/>
  <c r="AO8" i="60"/>
  <c r="AQ12" i="37"/>
  <c r="AQ8" i="60"/>
  <c r="AQ11" i="35"/>
  <c r="AA5" i="60" l="1"/>
  <c r="Q108" i="35"/>
  <c r="Q78" i="60"/>
  <c r="Q118" i="37"/>
  <c r="Q108" i="33"/>
  <c r="Q118" i="34"/>
  <c r="N78" i="60"/>
  <c r="Q9" i="60"/>
  <c r="AN9" i="60"/>
  <c r="W9" i="60"/>
  <c r="Q108" i="34"/>
  <c r="Q108" i="37"/>
  <c r="AF5" i="60"/>
  <c r="V34" i="60"/>
  <c r="U36" i="60" s="1"/>
  <c r="U51" i="60"/>
  <c r="T51" i="60" s="1"/>
  <c r="AJ7" i="60"/>
  <c r="T31" i="60"/>
  <c r="Q60" i="60"/>
  <c r="AG8" i="60"/>
  <c r="AM8" i="60" s="1"/>
  <c r="S8" i="60"/>
  <c r="N60" i="60"/>
  <c r="N59" i="60"/>
  <c r="AK8" i="60"/>
  <c r="AI8" i="60"/>
  <c r="V61" i="60" s="1"/>
  <c r="AH8" i="60"/>
  <c r="S50" i="60"/>
  <c r="S49" i="60" s="1"/>
  <c r="Z7" i="60"/>
  <c r="BC6" i="60"/>
  <c r="AL6" i="60"/>
  <c r="BB6" i="60"/>
  <c r="AA6" i="60" s="1"/>
  <c r="P10" i="19"/>
  <c r="AQ13" i="37"/>
  <c r="AQ12" i="35"/>
  <c r="AQ9" i="60"/>
  <c r="AO9" i="60"/>
  <c r="AZ11" i="4"/>
  <c r="AQ13" i="34"/>
  <c r="U69" i="60"/>
  <c r="V59" i="60"/>
  <c r="AP10" i="60"/>
  <c r="Q65" i="60"/>
  <c r="P10" i="60"/>
  <c r="AQ12" i="33"/>
  <c r="AZ10" i="60"/>
  <c r="Q10" i="60" l="1"/>
  <c r="AN10" i="60"/>
  <c r="Q118" i="33"/>
  <c r="N88" i="60"/>
  <c r="Q128" i="34"/>
  <c r="AN11" i="4"/>
  <c r="Q118" i="35"/>
  <c r="Q128" i="37"/>
  <c r="N88" i="19"/>
  <c r="V44" i="60"/>
  <c r="U46" i="60" s="1"/>
  <c r="AF6" i="60"/>
  <c r="Z8" i="60"/>
  <c r="S60" i="60"/>
  <c r="S59" i="60" s="1"/>
  <c r="S73" i="60"/>
  <c r="N69" i="60"/>
  <c r="N70" i="60"/>
  <c r="AI9" i="60"/>
  <c r="V71" i="60" s="1"/>
  <c r="AH9" i="60"/>
  <c r="AK9" i="60"/>
  <c r="U72" i="60" s="1"/>
  <c r="AL7" i="60"/>
  <c r="BC7" i="60"/>
  <c r="BB7" i="60"/>
  <c r="Q70" i="60"/>
  <c r="AG9" i="60"/>
  <c r="AM9" i="60" s="1"/>
  <c r="S9" i="60"/>
  <c r="AJ8" i="60"/>
  <c r="U61" i="60"/>
  <c r="T61" i="60" s="1"/>
  <c r="U62" i="60"/>
  <c r="P10" i="22"/>
  <c r="P13" i="8"/>
  <c r="AZ4" i="10"/>
  <c r="P6" i="37"/>
  <c r="P12" i="6"/>
  <c r="P4" i="16"/>
  <c r="P9" i="22"/>
  <c r="P5" i="17"/>
  <c r="AZ7" i="7"/>
  <c r="P5" i="33"/>
  <c r="P6" i="7"/>
  <c r="AZ5" i="19"/>
  <c r="P10" i="34"/>
  <c r="AZ6" i="17"/>
  <c r="P8" i="37"/>
  <c r="P4" i="24"/>
  <c r="P7" i="6"/>
  <c r="AZ5" i="14"/>
  <c r="AZ9" i="34"/>
  <c r="AZ8" i="33"/>
  <c r="AZ8" i="24"/>
  <c r="P7" i="19"/>
  <c r="P10" i="17"/>
  <c r="AZ11" i="8"/>
  <c r="AZ12" i="24"/>
  <c r="AZ15" i="8"/>
  <c r="AZ11" i="7"/>
  <c r="P10" i="37"/>
  <c r="AZ12" i="4"/>
  <c r="AQ14" i="37"/>
  <c r="U79" i="60"/>
  <c r="AQ10" i="60"/>
  <c r="AQ13" i="35"/>
  <c r="AZ11" i="33"/>
  <c r="AZ9" i="14"/>
  <c r="AZ6" i="14"/>
  <c r="AZ7" i="4"/>
  <c r="AZ6" i="35"/>
  <c r="AZ6" i="37"/>
  <c r="AZ4" i="15"/>
  <c r="P8" i="7"/>
  <c r="AZ9" i="10"/>
  <c r="AZ9" i="22"/>
  <c r="P12" i="15"/>
  <c r="P6" i="24"/>
  <c r="AZ5" i="17"/>
  <c r="P8" i="10"/>
  <c r="P4" i="19"/>
  <c r="P5" i="19"/>
  <c r="AZ9" i="19"/>
  <c r="AZ9" i="17"/>
  <c r="AZ10" i="15"/>
  <c r="AZ7" i="6"/>
  <c r="AZ5" i="10"/>
  <c r="P6" i="15"/>
  <c r="AZ7" i="19"/>
  <c r="AZ9" i="24"/>
  <c r="AZ10" i="17"/>
  <c r="AZ6" i="16"/>
  <c r="AZ11" i="22"/>
  <c r="P13" i="6"/>
  <c r="AO11" i="4"/>
  <c r="AZ10" i="35"/>
  <c r="P9" i="14"/>
  <c r="AZ10" i="19"/>
  <c r="P6" i="14"/>
  <c r="P4" i="10"/>
  <c r="AZ8" i="7"/>
  <c r="P9" i="10"/>
  <c r="AZ4" i="14"/>
  <c r="P7" i="24"/>
  <c r="AZ11" i="6"/>
  <c r="AZ8" i="10"/>
  <c r="P6" i="19"/>
  <c r="AZ7" i="8"/>
  <c r="AZ6" i="5"/>
  <c r="AZ9" i="4"/>
  <c r="P7" i="22"/>
  <c r="P10" i="10"/>
  <c r="P6" i="34"/>
  <c r="AZ8" i="37"/>
  <c r="P9" i="17"/>
  <c r="AZ6" i="22"/>
  <c r="P8" i="19"/>
  <c r="P8" i="33"/>
  <c r="AZ5" i="6"/>
  <c r="P12" i="4"/>
  <c r="V69" i="60"/>
  <c r="P12" i="10"/>
  <c r="P10" i="7"/>
  <c r="P11" i="34"/>
  <c r="AZ10" i="22"/>
  <c r="P6" i="35"/>
  <c r="P7" i="5"/>
  <c r="AZ7" i="24"/>
  <c r="AZ12" i="15"/>
  <c r="P7" i="7"/>
  <c r="P7" i="8"/>
  <c r="AZ7" i="22"/>
  <c r="AZ10" i="10"/>
  <c r="AZ6" i="34"/>
  <c r="P5" i="37"/>
  <c r="P8" i="14"/>
  <c r="P5" i="10"/>
  <c r="P5" i="14"/>
  <c r="AZ8" i="19"/>
  <c r="P4" i="7"/>
  <c r="AZ4" i="4"/>
  <c r="AZ7" i="14"/>
  <c r="AZ10" i="20"/>
  <c r="P11" i="19"/>
  <c r="AZ10" i="37"/>
  <c r="Q75" i="60"/>
  <c r="AP11" i="60"/>
  <c r="P9" i="37"/>
  <c r="P10" i="35"/>
  <c r="AZ12" i="10"/>
  <c r="P7" i="4"/>
  <c r="P10" i="8"/>
  <c r="P4" i="15"/>
  <c r="AZ4" i="37"/>
  <c r="P5" i="34"/>
  <c r="AZ10" i="33"/>
  <c r="P8" i="8"/>
  <c r="AZ8" i="11"/>
  <c r="P8" i="16"/>
  <c r="P8" i="15"/>
  <c r="P6" i="5"/>
  <c r="P4" i="34"/>
  <c r="P7" i="34"/>
  <c r="P11" i="11"/>
  <c r="P5" i="24"/>
  <c r="P9" i="33"/>
  <c r="P5" i="7"/>
  <c r="AZ8" i="4"/>
  <c r="AZ5" i="11"/>
  <c r="AZ6" i="20"/>
  <c r="AZ12" i="8"/>
  <c r="P6" i="22"/>
  <c r="AZ4" i="11"/>
  <c r="AZ4" i="7"/>
  <c r="P5" i="6"/>
  <c r="P7" i="14"/>
  <c r="P8" i="34"/>
  <c r="P6" i="16"/>
  <c r="P12" i="34"/>
  <c r="P10" i="20"/>
  <c r="AZ11" i="19"/>
  <c r="P11" i="5"/>
  <c r="U89" i="4"/>
  <c r="AZ9" i="37"/>
  <c r="AZ9" i="5"/>
  <c r="AZ10" i="8"/>
  <c r="AZ4" i="22"/>
  <c r="AZ6" i="6"/>
  <c r="P10" i="6"/>
  <c r="AZ12" i="6"/>
  <c r="P4" i="37"/>
  <c r="P11" i="6"/>
  <c r="AZ10" i="4"/>
  <c r="AZ8" i="8"/>
  <c r="P6" i="33"/>
  <c r="AZ8" i="17"/>
  <c r="P7" i="11"/>
  <c r="AZ4" i="34"/>
  <c r="P6" i="8"/>
  <c r="AZ5" i="24"/>
  <c r="AZ9" i="33"/>
  <c r="AZ8" i="14"/>
  <c r="P8" i="4"/>
  <c r="P5" i="11"/>
  <c r="P12" i="8"/>
  <c r="P6" i="11"/>
  <c r="P6" i="10"/>
  <c r="AZ8" i="34"/>
  <c r="AZ7" i="35"/>
  <c r="P11" i="35"/>
  <c r="AZ12" i="34"/>
  <c r="AZ10" i="14"/>
  <c r="P13" i="10"/>
  <c r="P14" i="8"/>
  <c r="AZ10" i="7"/>
  <c r="P11" i="33"/>
  <c r="P11" i="4"/>
  <c r="P11" i="24"/>
  <c r="AZ13" i="15"/>
  <c r="P9" i="5"/>
  <c r="P4" i="20"/>
  <c r="AZ10" i="6"/>
  <c r="P9" i="8"/>
  <c r="AZ7" i="5"/>
  <c r="P10" i="4"/>
  <c r="AZ5" i="34"/>
  <c r="P9" i="16"/>
  <c r="AZ6" i="33"/>
  <c r="P9" i="11"/>
  <c r="P5" i="15"/>
  <c r="P8" i="11"/>
  <c r="P9" i="35"/>
  <c r="AZ8" i="16"/>
  <c r="P11" i="15"/>
  <c r="AZ7" i="11"/>
  <c r="AZ6" i="8"/>
  <c r="AZ7" i="34"/>
  <c r="AZ5" i="7"/>
  <c r="AZ5" i="16"/>
  <c r="AZ5" i="37"/>
  <c r="P6" i="20"/>
  <c r="AZ4" i="5"/>
  <c r="AZ6" i="11"/>
  <c r="P11" i="17"/>
  <c r="AZ6" i="10"/>
  <c r="AZ4" i="17"/>
  <c r="P4" i="4"/>
  <c r="AZ7" i="33"/>
  <c r="P7" i="35"/>
  <c r="AZ11" i="35"/>
  <c r="AZ13" i="10"/>
  <c r="AZ14" i="8"/>
  <c r="P11" i="60"/>
  <c r="AZ11" i="34"/>
  <c r="P10" i="5"/>
  <c r="P4" i="22"/>
  <c r="AZ4" i="20"/>
  <c r="P6" i="6"/>
  <c r="AZ9" i="8"/>
  <c r="P10" i="33"/>
  <c r="AZ9" i="16"/>
  <c r="AZ5" i="15"/>
  <c r="P9" i="6"/>
  <c r="P8" i="17"/>
  <c r="AZ8" i="15"/>
  <c r="AZ11" i="15"/>
  <c r="AZ12" i="17"/>
  <c r="P5" i="16"/>
  <c r="P14" i="17"/>
  <c r="AZ5" i="5"/>
  <c r="AZ10" i="24"/>
  <c r="P4" i="11"/>
  <c r="AZ11" i="17"/>
  <c r="AZ10" i="5"/>
  <c r="P12" i="33"/>
  <c r="P11" i="16"/>
  <c r="P12" i="11"/>
  <c r="AZ11" i="60"/>
  <c r="AZ13" i="8"/>
  <c r="P10" i="16"/>
  <c r="AZ5" i="8"/>
  <c r="AZ13" i="17"/>
  <c r="P6" i="4"/>
  <c r="AZ4" i="33"/>
  <c r="P9" i="7"/>
  <c r="AZ15" i="15"/>
  <c r="P9" i="15"/>
  <c r="P5" i="35"/>
  <c r="P7" i="16"/>
  <c r="AZ10" i="11"/>
  <c r="AZ14" i="17"/>
  <c r="P5" i="5"/>
  <c r="P14" i="15"/>
  <c r="P7" i="17"/>
  <c r="P7" i="37"/>
  <c r="P4" i="17"/>
  <c r="AZ11" i="11"/>
  <c r="AZ5" i="20"/>
  <c r="AZ12" i="33"/>
  <c r="AZ11" i="16"/>
  <c r="P10" i="14"/>
  <c r="AZ12" i="11"/>
  <c r="AO10" i="7"/>
  <c r="AO10" i="60"/>
  <c r="P9" i="20"/>
  <c r="P4" i="6"/>
  <c r="P13" i="17"/>
  <c r="P13" i="15"/>
  <c r="AZ15" i="17"/>
  <c r="AZ4" i="35"/>
  <c r="AZ9" i="11"/>
  <c r="AZ9" i="35"/>
  <c r="AZ7" i="20"/>
  <c r="AZ5" i="35"/>
  <c r="AZ8" i="6"/>
  <c r="P12" i="17"/>
  <c r="AZ14" i="15"/>
  <c r="P4" i="5"/>
  <c r="P9" i="34"/>
  <c r="AZ7" i="17"/>
  <c r="P5" i="20"/>
  <c r="P7" i="33"/>
  <c r="AZ11" i="24"/>
  <c r="AZ10" i="16"/>
  <c r="AZ9" i="20"/>
  <c r="P7" i="15"/>
  <c r="AZ4" i="6"/>
  <c r="P11" i="10"/>
  <c r="P5" i="8"/>
  <c r="AZ6" i="4"/>
  <c r="P8" i="22"/>
  <c r="P8" i="5"/>
  <c r="P8" i="20"/>
  <c r="P4" i="35"/>
  <c r="AZ4" i="19"/>
  <c r="AZ5" i="4"/>
  <c r="AZ9" i="6"/>
  <c r="AZ6" i="7"/>
  <c r="AZ9" i="7"/>
  <c r="P7" i="20"/>
  <c r="AZ9" i="15"/>
  <c r="P8" i="6"/>
  <c r="P7" i="10"/>
  <c r="AZ7" i="16"/>
  <c r="P10" i="11"/>
  <c r="P10" i="15"/>
  <c r="P10" i="24"/>
  <c r="P8" i="35"/>
  <c r="AZ6" i="15"/>
  <c r="P4" i="8"/>
  <c r="AZ7" i="37"/>
  <c r="P5" i="22"/>
  <c r="AO11" i="34"/>
  <c r="AQ14" i="34"/>
  <c r="AQ13" i="33"/>
  <c r="AZ7" i="15"/>
  <c r="AZ11" i="10"/>
  <c r="AZ4" i="16"/>
  <c r="P4" i="14"/>
  <c r="AZ8" i="22"/>
  <c r="AZ8" i="5"/>
  <c r="AZ6" i="24"/>
  <c r="AZ8" i="20"/>
  <c r="P4" i="33"/>
  <c r="AZ6" i="19"/>
  <c r="P5" i="4"/>
  <c r="AZ5" i="33"/>
  <c r="P9" i="19"/>
  <c r="P9" i="4"/>
  <c r="AZ10" i="34"/>
  <c r="P6" i="17"/>
  <c r="AZ7" i="10"/>
  <c r="AZ4" i="24"/>
  <c r="AZ8" i="35"/>
  <c r="AZ4" i="8"/>
  <c r="P8" i="24"/>
  <c r="P9" i="24"/>
  <c r="P11" i="8"/>
  <c r="AZ5" i="22"/>
  <c r="P12" i="24"/>
  <c r="P11" i="22"/>
  <c r="P11" i="7"/>
  <c r="AZ13" i="6"/>
  <c r="AZ11" i="5"/>
  <c r="Q4" i="10"/>
  <c r="Q9" i="34"/>
  <c r="Q8" i="33"/>
  <c r="Q11" i="33"/>
  <c r="Q6" i="35"/>
  <c r="Q6" i="37"/>
  <c r="Q4" i="15"/>
  <c r="Q10" i="35"/>
  <c r="Q4" i="14"/>
  <c r="Q8" i="37"/>
  <c r="Q6" i="34"/>
  <c r="Q4" i="4"/>
  <c r="Q10" i="37"/>
  <c r="Q4" i="37"/>
  <c r="Q10" i="33"/>
  <c r="Q4" i="11"/>
  <c r="Q4" i="7"/>
  <c r="Q9" i="37"/>
  <c r="Q4" i="22"/>
  <c r="Q4" i="34"/>
  <c r="Q9" i="33"/>
  <c r="Q8" i="34"/>
  <c r="Q7" i="35"/>
  <c r="Q12" i="34"/>
  <c r="Q5" i="34"/>
  <c r="Q6" i="33"/>
  <c r="Q7" i="34"/>
  <c r="Q5" i="37"/>
  <c r="Q4" i="5"/>
  <c r="Q4" i="17"/>
  <c r="Q7" i="33"/>
  <c r="Q11" i="35"/>
  <c r="Q11" i="34"/>
  <c r="Q4" i="20"/>
  <c r="Q4" i="33"/>
  <c r="Q12" i="33"/>
  <c r="Q4" i="35"/>
  <c r="Q9" i="35"/>
  <c r="Q5" i="35"/>
  <c r="Q4" i="6"/>
  <c r="Q4" i="19"/>
  <c r="Q7" i="37"/>
  <c r="Q4" i="16"/>
  <c r="Q5" i="33"/>
  <c r="Q10" i="34"/>
  <c r="Q4" i="24"/>
  <c r="Q8" i="35"/>
  <c r="Q4" i="8"/>
  <c r="AA7" i="60" l="1"/>
  <c r="Q20" i="8"/>
  <c r="Q60" i="35"/>
  <c r="Q20" i="24"/>
  <c r="Q80" i="34"/>
  <c r="Q30" i="33"/>
  <c r="Q20" i="16"/>
  <c r="Q50" i="37"/>
  <c r="Y5" i="19"/>
  <c r="X5" i="19"/>
  <c r="Q20" i="19"/>
  <c r="Q20" i="6"/>
  <c r="Q30" i="35"/>
  <c r="Q70" i="35"/>
  <c r="Q20" i="35"/>
  <c r="Q100" i="33"/>
  <c r="Q20" i="33"/>
  <c r="Y5" i="20"/>
  <c r="X5" i="20"/>
  <c r="Q20" i="20"/>
  <c r="Q90" i="34"/>
  <c r="Q90" i="35"/>
  <c r="Q50" i="33"/>
  <c r="Q20" i="17"/>
  <c r="Q20" i="5"/>
  <c r="Q30" i="37"/>
  <c r="Q50" i="34"/>
  <c r="Q40" i="33"/>
  <c r="Q30" i="34"/>
  <c r="Q100" i="34"/>
  <c r="Q50" i="35"/>
  <c r="Q60" i="34"/>
  <c r="Q70" i="33"/>
  <c r="Q20" i="34"/>
  <c r="Q20" i="22"/>
  <c r="Q70" i="37"/>
  <c r="Q20" i="7"/>
  <c r="Q20" i="11"/>
  <c r="Q80" i="33"/>
  <c r="Q20" i="37"/>
  <c r="Q80" i="37"/>
  <c r="Q20" i="4"/>
  <c r="Q40" i="34"/>
  <c r="Q60" i="37"/>
  <c r="Q20" i="14"/>
  <c r="Y5" i="14"/>
  <c r="X5" i="14"/>
  <c r="Q80" i="35"/>
  <c r="Q20" i="15"/>
  <c r="Q40" i="37"/>
  <c r="Q40" i="35"/>
  <c r="Q90" i="33"/>
  <c r="Q60" i="33"/>
  <c r="Q70" i="34"/>
  <c r="Q20" i="10"/>
  <c r="AN11" i="5"/>
  <c r="AN13" i="6"/>
  <c r="N98" i="7"/>
  <c r="N98" i="22"/>
  <c r="N108" i="24"/>
  <c r="AN5" i="22"/>
  <c r="N98" i="8"/>
  <c r="N78" i="24"/>
  <c r="N68" i="24"/>
  <c r="R4" i="8"/>
  <c r="AN4" i="8"/>
  <c r="AN8" i="35"/>
  <c r="AM8" i="35" s="1"/>
  <c r="AN4" i="24"/>
  <c r="R4" i="24"/>
  <c r="AN7" i="10"/>
  <c r="Q7" i="10"/>
  <c r="N48" i="17"/>
  <c r="AN10" i="34"/>
  <c r="N78" i="4"/>
  <c r="N78" i="19"/>
  <c r="AN5" i="33"/>
  <c r="AM5" i="33" s="1"/>
  <c r="N38" i="4"/>
  <c r="AN6" i="19"/>
  <c r="N28" i="33"/>
  <c r="AN8" i="20"/>
  <c r="AN6" i="24"/>
  <c r="AN8" i="5"/>
  <c r="AN8" i="22"/>
  <c r="N28" i="14"/>
  <c r="R4" i="16"/>
  <c r="AN4" i="16"/>
  <c r="AN11" i="10"/>
  <c r="Q11" i="10"/>
  <c r="AN7" i="15"/>
  <c r="Q128" i="33"/>
  <c r="Q138" i="34"/>
  <c r="N38" i="22"/>
  <c r="AN7" i="37"/>
  <c r="N28" i="8"/>
  <c r="AN6" i="15"/>
  <c r="N68" i="35"/>
  <c r="N88" i="24"/>
  <c r="N88" i="15"/>
  <c r="N88" i="11"/>
  <c r="AN7" i="16"/>
  <c r="N58" i="10"/>
  <c r="N68" i="6"/>
  <c r="AN9" i="15"/>
  <c r="N58" i="20"/>
  <c r="AN9" i="7"/>
  <c r="AN6" i="7"/>
  <c r="AN9" i="6"/>
  <c r="AN5" i="4"/>
  <c r="R4" i="19"/>
  <c r="AN4" i="19"/>
  <c r="N28" i="35"/>
  <c r="N68" i="20"/>
  <c r="N68" i="5"/>
  <c r="N68" i="22"/>
  <c r="AN6" i="4"/>
  <c r="N38" i="8"/>
  <c r="N98" i="10"/>
  <c r="AN4" i="6"/>
  <c r="R4" i="6"/>
  <c r="N58" i="15"/>
  <c r="AN9" i="20"/>
  <c r="AN10" i="16"/>
  <c r="AN11" i="24"/>
  <c r="N58" i="33"/>
  <c r="N38" i="20"/>
  <c r="AN7" i="17"/>
  <c r="N78" i="34"/>
  <c r="N28" i="5"/>
  <c r="AN14" i="15"/>
  <c r="N108" i="17"/>
  <c r="AN8" i="6"/>
  <c r="AN5" i="35"/>
  <c r="AN7" i="20"/>
  <c r="W9" i="35"/>
  <c r="S73" i="35" s="1"/>
  <c r="AN9" i="35"/>
  <c r="AN9" i="11"/>
  <c r="R4" i="35"/>
  <c r="AN4" i="35"/>
  <c r="AM4" i="35" s="1"/>
  <c r="AN15" i="17"/>
  <c r="N118" i="15"/>
  <c r="N118" i="17"/>
  <c r="N28" i="6"/>
  <c r="N78" i="20"/>
  <c r="AN12" i="11"/>
  <c r="N88" i="14"/>
  <c r="AN11" i="16"/>
  <c r="AN12" i="33"/>
  <c r="AM12" i="33" s="1"/>
  <c r="W12" i="33"/>
  <c r="S103" i="33" s="1"/>
  <c r="AN5" i="20"/>
  <c r="AN11" i="11"/>
  <c r="N28" i="17"/>
  <c r="N58" i="37"/>
  <c r="N58" i="17"/>
  <c r="N128" i="15"/>
  <c r="N38" i="5"/>
  <c r="AN14" i="17"/>
  <c r="AN10" i="11"/>
  <c r="N58" i="16"/>
  <c r="N38" i="35"/>
  <c r="N78" i="15"/>
  <c r="AN15" i="15"/>
  <c r="N78" i="7"/>
  <c r="AN4" i="33"/>
  <c r="R4" i="33"/>
  <c r="N48" i="4"/>
  <c r="AN13" i="17"/>
  <c r="AN5" i="8"/>
  <c r="N88" i="16"/>
  <c r="AN13" i="8"/>
  <c r="AN11" i="60"/>
  <c r="Q11" i="60"/>
  <c r="N108" i="11"/>
  <c r="N98" i="16"/>
  <c r="N108" i="33"/>
  <c r="AN10" i="5"/>
  <c r="AN11" i="17"/>
  <c r="N28" i="11"/>
  <c r="AN10" i="24"/>
  <c r="AN5" i="5"/>
  <c r="N128" i="17"/>
  <c r="N38" i="16"/>
  <c r="AN12" i="17"/>
  <c r="AN11" i="15"/>
  <c r="AN8" i="15"/>
  <c r="N68" i="17"/>
  <c r="N78" i="6"/>
  <c r="AN5" i="15"/>
  <c r="AN9" i="16"/>
  <c r="N88" i="33"/>
  <c r="AN9" i="8"/>
  <c r="N48" i="6"/>
  <c r="R4" i="20"/>
  <c r="AN4" i="20"/>
  <c r="N28" i="22"/>
  <c r="N88" i="5"/>
  <c r="AN11" i="34"/>
  <c r="N98" i="60"/>
  <c r="AN14" i="8"/>
  <c r="Q13" i="10"/>
  <c r="AN13" i="10"/>
  <c r="AN11" i="35"/>
  <c r="AM11" i="35" s="1"/>
  <c r="N58" i="35"/>
  <c r="AN7" i="33"/>
  <c r="AM7" i="33" s="1"/>
  <c r="N28" i="4"/>
  <c r="AN4" i="17"/>
  <c r="R4" i="17"/>
  <c r="AN6" i="10"/>
  <c r="N98" i="17"/>
  <c r="AN6" i="11"/>
  <c r="AN4" i="5"/>
  <c r="R4" i="5"/>
  <c r="N48" i="20"/>
  <c r="AN5" i="37"/>
  <c r="AM5" i="37" s="1"/>
  <c r="AN5" i="16"/>
  <c r="AN5" i="7"/>
  <c r="AN7" i="34"/>
  <c r="AM7" i="34" s="1"/>
  <c r="AN6" i="8"/>
  <c r="AN7" i="11"/>
  <c r="N98" i="15"/>
  <c r="AN8" i="16"/>
  <c r="N78" i="35"/>
  <c r="N68" i="11"/>
  <c r="N38" i="15"/>
  <c r="N78" i="11"/>
  <c r="AN6" i="33"/>
  <c r="AM6" i="33" s="1"/>
  <c r="W6" i="33"/>
  <c r="N78" i="16"/>
  <c r="AN5" i="34"/>
  <c r="N88" i="4"/>
  <c r="AN7" i="5"/>
  <c r="N78" i="8"/>
  <c r="AN10" i="6"/>
  <c r="N28" i="20"/>
  <c r="N78" i="5"/>
  <c r="AN13" i="15"/>
  <c r="N98" i="24"/>
  <c r="N98" i="4"/>
  <c r="N98" i="33"/>
  <c r="AN10" i="7"/>
  <c r="N128" i="8"/>
  <c r="N118" i="10"/>
  <c r="AN10" i="14"/>
  <c r="AN12" i="34"/>
  <c r="W12" i="34"/>
  <c r="S103" i="34" s="1"/>
  <c r="N98" i="35"/>
  <c r="AN7" i="35"/>
  <c r="AM7" i="35" s="1"/>
  <c r="AN8" i="34"/>
  <c r="AM8" i="34" s="1"/>
  <c r="N48" i="10"/>
  <c r="N48" i="11"/>
  <c r="N108" i="8"/>
  <c r="N38" i="11"/>
  <c r="N68" i="4"/>
  <c r="AN8" i="14"/>
  <c r="W9" i="33"/>
  <c r="S73" i="33" s="1"/>
  <c r="AN9" i="33"/>
  <c r="AM9" i="33" s="1"/>
  <c r="AN5" i="24"/>
  <c r="N48" i="8"/>
  <c r="R4" i="34"/>
  <c r="AN4" i="34"/>
  <c r="AM4" i="34" s="1"/>
  <c r="N58" i="11"/>
  <c r="AN8" i="17"/>
  <c r="N48" i="33"/>
  <c r="AN8" i="8"/>
  <c r="AN10" i="4"/>
  <c r="N98" i="6"/>
  <c r="N28" i="37"/>
  <c r="AN12" i="6"/>
  <c r="N88" i="6"/>
  <c r="AN6" i="6"/>
  <c r="R4" i="22"/>
  <c r="AN4" i="22"/>
  <c r="AN10" i="8"/>
  <c r="AN9" i="5"/>
  <c r="AN9" i="37"/>
  <c r="AM9" i="37" s="1"/>
  <c r="W9" i="37"/>
  <c r="S73" i="37" s="1"/>
  <c r="N98" i="5"/>
  <c r="AN11" i="19"/>
  <c r="N88" i="20"/>
  <c r="N108" i="34"/>
  <c r="N48" i="16"/>
  <c r="N68" i="34"/>
  <c r="N58" i="14"/>
  <c r="N38" i="6"/>
  <c r="R4" i="7"/>
  <c r="AN4" i="7"/>
  <c r="R4" i="11"/>
  <c r="AN4" i="11"/>
  <c r="N48" i="22"/>
  <c r="AN12" i="8"/>
  <c r="AN6" i="20"/>
  <c r="AN5" i="11"/>
  <c r="AN8" i="4"/>
  <c r="N38" i="7"/>
  <c r="N78" i="33"/>
  <c r="N38" i="24"/>
  <c r="N98" i="11"/>
  <c r="N58" i="34"/>
  <c r="N28" i="34"/>
  <c r="N48" i="5"/>
  <c r="N68" i="15"/>
  <c r="N68" i="16"/>
  <c r="AN8" i="11"/>
  <c r="N68" i="8"/>
  <c r="AN10" i="33"/>
  <c r="AM10" i="33" s="1"/>
  <c r="N38" i="34"/>
  <c r="AN4" i="37"/>
  <c r="AM4" i="37" s="1"/>
  <c r="R4" i="37"/>
  <c r="N28" i="15"/>
  <c r="N88" i="8"/>
  <c r="N58" i="4"/>
  <c r="AN12" i="10"/>
  <c r="Q12" i="10"/>
  <c r="W12" i="10"/>
  <c r="S103" i="10" s="1"/>
  <c r="N88" i="35"/>
  <c r="N78" i="37"/>
  <c r="AN10" i="37"/>
  <c r="AM10" i="37" s="1"/>
  <c r="N98" i="19"/>
  <c r="AN10" i="20"/>
  <c r="AN7" i="14"/>
  <c r="R4" i="4"/>
  <c r="AN4" i="4"/>
  <c r="N28" i="7"/>
  <c r="AN8" i="19"/>
  <c r="N38" i="14"/>
  <c r="N38" i="10"/>
  <c r="N68" i="14"/>
  <c r="N38" i="37"/>
  <c r="W6" i="34"/>
  <c r="AN6" i="34"/>
  <c r="AM6" i="34" s="1"/>
  <c r="AN10" i="10"/>
  <c r="Q10" i="10"/>
  <c r="AN7" i="22"/>
  <c r="N58" i="8"/>
  <c r="N58" i="7"/>
  <c r="AN12" i="15"/>
  <c r="AN7" i="24"/>
  <c r="N58" i="5"/>
  <c r="N48" i="35"/>
  <c r="AN10" i="22"/>
  <c r="N98" i="34"/>
  <c r="N88" i="7"/>
  <c r="N108" i="10"/>
  <c r="N108" i="4"/>
  <c r="AN5" i="6"/>
  <c r="N68" i="33"/>
  <c r="N68" i="19"/>
  <c r="AN6" i="22"/>
  <c r="N78" i="17"/>
  <c r="AN8" i="37"/>
  <c r="AM8" i="37" s="1"/>
  <c r="N48" i="34"/>
  <c r="N88" i="10"/>
  <c r="N58" i="22"/>
  <c r="AN9" i="4"/>
  <c r="AN6" i="5"/>
  <c r="AN7" i="8"/>
  <c r="N48" i="19"/>
  <c r="AN8" i="10"/>
  <c r="Q8" i="10"/>
  <c r="AN11" i="6"/>
  <c r="N58" i="24"/>
  <c r="AN4" i="14"/>
  <c r="R4" i="14"/>
  <c r="N78" i="10"/>
  <c r="AN8" i="7"/>
  <c r="N28" i="10"/>
  <c r="N48" i="14"/>
  <c r="AN10" i="19"/>
  <c r="N78" i="14"/>
  <c r="AN10" i="35"/>
  <c r="AM10" i="35" s="1"/>
  <c r="N118" i="6"/>
  <c r="AN11" i="22"/>
  <c r="AN6" i="16"/>
  <c r="AN10" i="17"/>
  <c r="AN9" i="24"/>
  <c r="AN7" i="19"/>
  <c r="N48" i="15"/>
  <c r="AN5" i="10"/>
  <c r="AN7" i="6"/>
  <c r="AN10" i="15"/>
  <c r="AN9" i="17"/>
  <c r="AN9" i="19"/>
  <c r="N38" i="19"/>
  <c r="N28" i="19"/>
  <c r="N68" i="10"/>
  <c r="AN5" i="17"/>
  <c r="N48" i="24"/>
  <c r="N108" i="15"/>
  <c r="AN9" i="22"/>
  <c r="AN9" i="10"/>
  <c r="Q9" i="10"/>
  <c r="W9" i="10"/>
  <c r="S73" i="10" s="1"/>
  <c r="N68" i="7"/>
  <c r="AN4" i="15"/>
  <c r="R4" i="15"/>
  <c r="W6" i="37"/>
  <c r="AN6" i="37"/>
  <c r="AM6" i="37" s="1"/>
  <c r="AN6" i="35"/>
  <c r="AM6" i="35" s="1"/>
  <c r="W6" i="35"/>
  <c r="AN7" i="4"/>
  <c r="AN6" i="14"/>
  <c r="AN9" i="14"/>
  <c r="AN11" i="33"/>
  <c r="Q128" i="35"/>
  <c r="Q98" i="60"/>
  <c r="Q138" i="37"/>
  <c r="AN12" i="4"/>
  <c r="N88" i="37"/>
  <c r="AN11" i="7"/>
  <c r="AN15" i="8"/>
  <c r="AN12" i="24"/>
  <c r="AN11" i="8"/>
  <c r="N88" i="17"/>
  <c r="N58" i="19"/>
  <c r="AN8" i="24"/>
  <c r="AN8" i="33"/>
  <c r="AM8" i="33" s="1"/>
  <c r="W9" i="34"/>
  <c r="S73" i="34" s="1"/>
  <c r="AN9" i="34"/>
  <c r="AN5" i="14"/>
  <c r="N58" i="6"/>
  <c r="N28" i="24"/>
  <c r="N68" i="37"/>
  <c r="AN6" i="17"/>
  <c r="N88" i="34"/>
  <c r="AN5" i="19"/>
  <c r="N48" i="7"/>
  <c r="N38" i="33"/>
  <c r="AN7" i="7"/>
  <c r="N38" i="17"/>
  <c r="N78" i="22"/>
  <c r="N28" i="16"/>
  <c r="N108" i="6"/>
  <c r="N48" i="37"/>
  <c r="AN4" i="10"/>
  <c r="R4" i="10"/>
  <c r="N118" i="8"/>
  <c r="N88" i="22"/>
  <c r="AF7" i="60"/>
  <c r="V54" i="60"/>
  <c r="U56" i="60" s="1"/>
  <c r="BC8" i="60"/>
  <c r="AL8" i="60"/>
  <c r="BB8" i="60"/>
  <c r="U71" i="60"/>
  <c r="T71" i="60" s="1"/>
  <c r="AJ9" i="60"/>
  <c r="N90" i="4"/>
  <c r="N89" i="4"/>
  <c r="Z9" i="60"/>
  <c r="S70" i="60"/>
  <c r="S69" i="60" s="1"/>
  <c r="N80" i="60"/>
  <c r="N79" i="60"/>
  <c r="AK10" i="60"/>
  <c r="U82" i="60" s="1"/>
  <c r="AH10" i="60"/>
  <c r="AI10" i="60"/>
  <c r="Q80" i="60"/>
  <c r="AG10" i="60"/>
  <c r="AM10" i="60" s="1"/>
  <c r="S10" i="60"/>
  <c r="U79" i="34"/>
  <c r="U59" i="5"/>
  <c r="U79" i="16"/>
  <c r="O25" i="33"/>
  <c r="U79" i="5"/>
  <c r="U89" i="34"/>
  <c r="O25" i="17"/>
  <c r="U29" i="7"/>
  <c r="U39" i="33"/>
  <c r="U59" i="34"/>
  <c r="U49" i="14"/>
  <c r="U79" i="10"/>
  <c r="U19" i="14"/>
  <c r="U39" i="16"/>
  <c r="U69" i="19"/>
  <c r="U129" i="8"/>
  <c r="AO9" i="20"/>
  <c r="Q5" i="7"/>
  <c r="AO11" i="8"/>
  <c r="AO10" i="33"/>
  <c r="AO7" i="7"/>
  <c r="AO8" i="20"/>
  <c r="AO9" i="16"/>
  <c r="AO5" i="19"/>
  <c r="AO11" i="11"/>
  <c r="AO9" i="33"/>
  <c r="AO6" i="35"/>
  <c r="AO9" i="17"/>
  <c r="AO4" i="7"/>
  <c r="AO12" i="24"/>
  <c r="P12" i="16"/>
  <c r="AO10" i="14"/>
  <c r="P14" i="6"/>
  <c r="AO11" i="5"/>
  <c r="P13" i="4"/>
  <c r="AZ13" i="34"/>
  <c r="AO14" i="8"/>
  <c r="U59" i="22"/>
  <c r="U89" i="24"/>
  <c r="U69" i="35"/>
  <c r="U99" i="11"/>
  <c r="U89" i="17"/>
  <c r="U29" i="15"/>
  <c r="U39" i="10"/>
  <c r="U49" i="34"/>
  <c r="O25" i="34"/>
  <c r="U89" i="19"/>
  <c r="U99" i="8"/>
  <c r="O25" i="4"/>
  <c r="O25" i="14"/>
  <c r="U69" i="14"/>
  <c r="U29" i="14"/>
  <c r="AO13" i="8"/>
  <c r="AP4" i="7"/>
  <c r="AO7" i="6"/>
  <c r="AO10" i="6"/>
  <c r="AO4" i="20"/>
  <c r="AO14" i="15"/>
  <c r="AO4" i="19"/>
  <c r="AO4" i="11"/>
  <c r="AO7" i="24"/>
  <c r="AO6" i="8"/>
  <c r="AP4" i="10"/>
  <c r="AO7" i="10"/>
  <c r="AO8" i="4"/>
  <c r="AO6" i="10"/>
  <c r="AO11" i="22"/>
  <c r="AZ12" i="7"/>
  <c r="AO13" i="6"/>
  <c r="AQ15" i="37"/>
  <c r="AO6" i="11"/>
  <c r="AO6" i="17"/>
  <c r="AO9" i="15"/>
  <c r="AO6" i="22"/>
  <c r="AQ14" i="33"/>
  <c r="AZ12" i="60"/>
  <c r="U39" i="15"/>
  <c r="U69" i="7"/>
  <c r="U69" i="11"/>
  <c r="U69" i="16"/>
  <c r="U119" i="8"/>
  <c r="V49" i="34"/>
  <c r="V39" i="33"/>
  <c r="U19" i="34"/>
  <c r="U39" i="6"/>
  <c r="U19" i="4"/>
  <c r="U49" i="22"/>
  <c r="U69" i="4"/>
  <c r="U79" i="17"/>
  <c r="U19" i="15"/>
  <c r="U99" i="24"/>
  <c r="P12" i="60"/>
  <c r="AO12" i="6"/>
  <c r="AP4" i="5"/>
  <c r="AO8" i="37"/>
  <c r="AO8" i="24"/>
  <c r="AO10" i="5"/>
  <c r="AO14" i="17"/>
  <c r="AO13" i="15"/>
  <c r="AO7" i="22"/>
  <c r="AO4" i="37"/>
  <c r="AO7" i="37"/>
  <c r="AZ14" i="10"/>
  <c r="AO8" i="22"/>
  <c r="O25" i="8"/>
  <c r="U29" i="33"/>
  <c r="O25" i="16"/>
  <c r="U39" i="4"/>
  <c r="U119" i="17"/>
  <c r="U109" i="17"/>
  <c r="U79" i="24"/>
  <c r="U39" i="8"/>
  <c r="U79" i="7"/>
  <c r="U39" i="20"/>
  <c r="U99" i="10"/>
  <c r="U19" i="8"/>
  <c r="V29" i="33"/>
  <c r="U19" i="16"/>
  <c r="U39" i="7"/>
  <c r="U49" i="17"/>
  <c r="O25" i="35"/>
  <c r="U89" i="16"/>
  <c r="U79" i="11"/>
  <c r="U29" i="8"/>
  <c r="U29" i="5"/>
  <c r="U109" i="10"/>
  <c r="U39" i="11"/>
  <c r="U29" i="34"/>
  <c r="O25" i="22"/>
  <c r="U59" i="11"/>
  <c r="U59" i="19"/>
  <c r="U39" i="5"/>
  <c r="U89" i="8"/>
  <c r="AO10" i="16"/>
  <c r="V79" i="60"/>
  <c r="AO12" i="10"/>
  <c r="AP4" i="17"/>
  <c r="AO9" i="24"/>
  <c r="AO10" i="8"/>
  <c r="AO5" i="7"/>
  <c r="AO5" i="17"/>
  <c r="AO15" i="15"/>
  <c r="AO4" i="22"/>
  <c r="AO8" i="19"/>
  <c r="AO5" i="4"/>
  <c r="AO4" i="4"/>
  <c r="AO5" i="24"/>
  <c r="AO8" i="7"/>
  <c r="AO7" i="11"/>
  <c r="AP4" i="16"/>
  <c r="P12" i="35"/>
  <c r="AZ11" i="14"/>
  <c r="P12" i="19"/>
  <c r="AZ13" i="11"/>
  <c r="U29" i="6"/>
  <c r="P13" i="34"/>
  <c r="U59" i="35"/>
  <c r="U89" i="10"/>
  <c r="U19" i="35"/>
  <c r="U99" i="33"/>
  <c r="U69" i="8"/>
  <c r="U89" i="35"/>
  <c r="U49" i="11"/>
  <c r="U59" i="17"/>
  <c r="U19" i="22"/>
  <c r="U29" i="11"/>
  <c r="U99" i="15"/>
  <c r="U49" i="19"/>
  <c r="U29" i="17"/>
  <c r="U39" i="37"/>
  <c r="U39" i="17"/>
  <c r="U19" i="10"/>
  <c r="AO11" i="24"/>
  <c r="Q85" i="60"/>
  <c r="AQ14" i="35"/>
  <c r="Q5" i="17"/>
  <c r="AP4" i="8"/>
  <c r="AO9" i="5"/>
  <c r="AO9" i="7"/>
  <c r="AO15" i="17"/>
  <c r="AO4" i="15"/>
  <c r="AO9" i="22"/>
  <c r="AO6" i="37"/>
  <c r="AO6" i="20"/>
  <c r="AO5" i="34"/>
  <c r="AO8" i="35"/>
  <c r="AO9" i="11"/>
  <c r="AO7" i="33"/>
  <c r="AZ12" i="35"/>
  <c r="AZ13" i="33"/>
  <c r="AO10" i="20"/>
  <c r="P11" i="14"/>
  <c r="AZ15" i="10"/>
  <c r="AZ15" i="6"/>
  <c r="AZ12" i="5"/>
  <c r="O25" i="15"/>
  <c r="AO8" i="34"/>
  <c r="AP4" i="22"/>
  <c r="U89" i="5"/>
  <c r="V59" i="35"/>
  <c r="U39" i="19"/>
  <c r="U69" i="6"/>
  <c r="V19" i="35"/>
  <c r="U109" i="8"/>
  <c r="V89" i="35"/>
  <c r="U19" i="5"/>
  <c r="U49" i="5"/>
  <c r="U79" i="14"/>
  <c r="U79" i="8"/>
  <c r="U59" i="4"/>
  <c r="U79" i="33"/>
  <c r="U39" i="22"/>
  <c r="U49" i="8"/>
  <c r="U79" i="19"/>
  <c r="V39" i="37"/>
  <c r="O25" i="10"/>
  <c r="Q5" i="5"/>
  <c r="AP5" i="15"/>
  <c r="AO6" i="33"/>
  <c r="AO8" i="6"/>
  <c r="AO9" i="6"/>
  <c r="AO10" i="17"/>
  <c r="AO6" i="15"/>
  <c r="AO9" i="10"/>
  <c r="AO5" i="16"/>
  <c r="AO5" i="37"/>
  <c r="AO8" i="17"/>
  <c r="AO5" i="33"/>
  <c r="AO5" i="6"/>
  <c r="Q6" i="4"/>
  <c r="AO6" i="19"/>
  <c r="AO5" i="20"/>
  <c r="AO7" i="4"/>
  <c r="AZ12" i="19"/>
  <c r="P12" i="5"/>
  <c r="AO12" i="4"/>
  <c r="U89" i="33"/>
  <c r="AO4" i="5"/>
  <c r="AO10" i="37"/>
  <c r="U109" i="6"/>
  <c r="U19" i="24"/>
  <c r="U49" i="15"/>
  <c r="U19" i="6"/>
  <c r="U119" i="15"/>
  <c r="U129" i="17"/>
  <c r="V99" i="33"/>
  <c r="U89" i="60"/>
  <c r="U99" i="17"/>
  <c r="O25" i="5"/>
  <c r="U59" i="16"/>
  <c r="U99" i="34"/>
  <c r="U59" i="14"/>
  <c r="U59" i="8"/>
  <c r="U69" i="5"/>
  <c r="U49" i="24"/>
  <c r="U29" i="10"/>
  <c r="U39" i="35"/>
  <c r="U59" i="24"/>
  <c r="AO11" i="60"/>
  <c r="AO10" i="22"/>
  <c r="AP4" i="24"/>
  <c r="Q5" i="22"/>
  <c r="AO4" i="24"/>
  <c r="AO11" i="6"/>
  <c r="AO4" i="8"/>
  <c r="AO4" i="17"/>
  <c r="AO11" i="15"/>
  <c r="AO4" i="10"/>
  <c r="AO7" i="20"/>
  <c r="P15" i="15"/>
  <c r="AO8" i="5"/>
  <c r="AO7" i="19"/>
  <c r="P15" i="17"/>
  <c r="P11" i="20"/>
  <c r="AO11" i="16"/>
  <c r="P12" i="22"/>
  <c r="P13" i="11"/>
  <c r="U69" i="24"/>
  <c r="AO9" i="37"/>
  <c r="AO12" i="15"/>
  <c r="O25" i="24"/>
  <c r="U49" i="16"/>
  <c r="U29" i="4"/>
  <c r="O25" i="6"/>
  <c r="U29" i="20"/>
  <c r="U129" i="15"/>
  <c r="O25" i="20"/>
  <c r="U49" i="33"/>
  <c r="U79" i="6"/>
  <c r="U79" i="4"/>
  <c r="O25" i="7"/>
  <c r="U79" i="37"/>
  <c r="U59" i="10"/>
  <c r="U79" i="35"/>
  <c r="U49" i="6"/>
  <c r="U69" i="22"/>
  <c r="U99" i="4"/>
  <c r="U59" i="33"/>
  <c r="U29" i="19"/>
  <c r="AO10" i="19"/>
  <c r="AP4" i="4"/>
  <c r="AO4" i="34"/>
  <c r="AO10" i="4"/>
  <c r="AO5" i="35"/>
  <c r="AO8" i="33"/>
  <c r="AO13" i="17"/>
  <c r="AO4" i="14"/>
  <c r="AO5" i="10"/>
  <c r="AP4" i="6"/>
  <c r="AO9" i="4"/>
  <c r="AO6" i="5"/>
  <c r="AO9" i="8"/>
  <c r="AP5" i="4"/>
  <c r="AO8" i="8"/>
  <c r="AO7" i="8"/>
  <c r="AO6" i="24"/>
  <c r="AO11" i="35"/>
  <c r="AO12" i="34"/>
  <c r="P13" i="33"/>
  <c r="AZ13" i="24"/>
  <c r="AO11" i="19"/>
  <c r="AO13" i="10"/>
  <c r="AO12" i="11"/>
  <c r="AO11" i="7"/>
  <c r="P11" i="37"/>
  <c r="P15" i="8"/>
  <c r="AZ11" i="37"/>
  <c r="AZ13" i="4"/>
  <c r="AQ11" i="60"/>
  <c r="AO6" i="34"/>
  <c r="AO10" i="11"/>
  <c r="AO7" i="15"/>
  <c r="U49" i="10"/>
  <c r="U59" i="20"/>
  <c r="O25" i="19"/>
  <c r="U59" i="6"/>
  <c r="U89" i="11"/>
  <c r="U89" i="15"/>
  <c r="U19" i="20"/>
  <c r="V49" i="33"/>
  <c r="U29" i="37"/>
  <c r="U69" i="33"/>
  <c r="U69" i="37"/>
  <c r="U19" i="7"/>
  <c r="U19" i="37"/>
  <c r="U59" i="37"/>
  <c r="U79" i="15"/>
  <c r="V39" i="35"/>
  <c r="AO10" i="35"/>
  <c r="AP6" i="4"/>
  <c r="AO4" i="33"/>
  <c r="AO7" i="5"/>
  <c r="AO4" i="35"/>
  <c r="AO9" i="34"/>
  <c r="AO11" i="17"/>
  <c r="AO8" i="14"/>
  <c r="AO11" i="10"/>
  <c r="AO8" i="15"/>
  <c r="AO5" i="11"/>
  <c r="AO6" i="7"/>
  <c r="Q5" i="4"/>
  <c r="AP4" i="14"/>
  <c r="AO10" i="15"/>
  <c r="AZ11" i="20"/>
  <c r="P13" i="24"/>
  <c r="U59" i="7"/>
  <c r="AO12" i="17"/>
  <c r="U39" i="24"/>
  <c r="U19" i="19"/>
  <c r="U69" i="20"/>
  <c r="U29" i="35"/>
  <c r="U59" i="15"/>
  <c r="U49" i="35"/>
  <c r="O25" i="11"/>
  <c r="O25" i="37"/>
  <c r="U39" i="34"/>
  <c r="U79" i="22"/>
  <c r="U89" i="6"/>
  <c r="U69" i="17"/>
  <c r="U69" i="10"/>
  <c r="U49" i="4"/>
  <c r="AO9" i="14"/>
  <c r="Q5" i="24"/>
  <c r="AO4" i="6"/>
  <c r="AO6" i="4"/>
  <c r="AO10" i="24"/>
  <c r="AO12" i="8"/>
  <c r="AO4" i="16"/>
  <c r="AO6" i="14"/>
  <c r="AO10" i="10"/>
  <c r="AO6" i="16"/>
  <c r="AO7" i="16"/>
  <c r="AP4" i="19"/>
  <c r="AO8" i="11"/>
  <c r="AO7" i="17"/>
  <c r="AP4" i="15"/>
  <c r="AO7" i="35"/>
  <c r="AO7" i="34"/>
  <c r="AZ12" i="22"/>
  <c r="P12" i="7"/>
  <c r="AO5" i="22"/>
  <c r="U29" i="22"/>
  <c r="U49" i="37"/>
  <c r="U69" i="15"/>
  <c r="U49" i="20"/>
  <c r="U19" i="33"/>
  <c r="U19" i="17"/>
  <c r="U29" i="16"/>
  <c r="U109" i="15"/>
  <c r="V49" i="35"/>
  <c r="U29" i="24"/>
  <c r="U99" i="6"/>
  <c r="V69" i="37"/>
  <c r="U19" i="11"/>
  <c r="V19" i="37"/>
  <c r="U79" i="20"/>
  <c r="V39" i="34"/>
  <c r="U89" i="22"/>
  <c r="U39" i="14"/>
  <c r="U89" i="7"/>
  <c r="U69" i="34"/>
  <c r="U49" i="7"/>
  <c r="AP12" i="60"/>
  <c r="AO11" i="33"/>
  <c r="Q5" i="10"/>
  <c r="AO10" i="34"/>
  <c r="AO5" i="5"/>
  <c r="AO9" i="35"/>
  <c r="AO8" i="16"/>
  <c r="AO9" i="19"/>
  <c r="AO8" i="10"/>
  <c r="AO7" i="14"/>
  <c r="AO6" i="6"/>
  <c r="AO5" i="15"/>
  <c r="AP5" i="5"/>
  <c r="AP4" i="20"/>
  <c r="AO5" i="14"/>
  <c r="AO5" i="8"/>
  <c r="AQ15" i="34"/>
  <c r="AO12" i="33"/>
  <c r="AZ12" i="16"/>
  <c r="P14" i="10"/>
  <c r="AO15" i="8"/>
  <c r="AZ14" i="6"/>
  <c r="AP4" i="11"/>
  <c r="V79" i="33"/>
  <c r="V29" i="37"/>
  <c r="V79" i="37"/>
  <c r="V59" i="34"/>
  <c r="V19" i="34"/>
  <c r="V79" i="35"/>
  <c r="V59" i="33"/>
  <c r="V59" i="37"/>
  <c r="V69" i="33"/>
  <c r="Q13" i="34"/>
  <c r="Q12" i="35"/>
  <c r="Q13" i="33"/>
  <c r="Q11" i="37"/>
  <c r="AA8" i="60" l="1"/>
  <c r="Q90" i="37"/>
  <c r="Q110" i="33"/>
  <c r="Q100" i="35"/>
  <c r="Q110" i="34"/>
  <c r="AN14" i="6"/>
  <c r="N128" i="10"/>
  <c r="AN12" i="16"/>
  <c r="Q30" i="10"/>
  <c r="N108" i="7"/>
  <c r="AN12" i="22"/>
  <c r="S4" i="16"/>
  <c r="W6" i="4"/>
  <c r="Q30" i="24"/>
  <c r="N118" i="24"/>
  <c r="AN11" i="20"/>
  <c r="Q30" i="4"/>
  <c r="Q108" i="60"/>
  <c r="AN13" i="4"/>
  <c r="AN11" i="37"/>
  <c r="N138" i="8"/>
  <c r="N98" i="37"/>
  <c r="AN13" i="24"/>
  <c r="N118" i="33"/>
  <c r="N118" i="11"/>
  <c r="N108" i="22"/>
  <c r="N98" i="20"/>
  <c r="N138" i="17"/>
  <c r="N138" i="15"/>
  <c r="Q30" i="22"/>
  <c r="N108" i="5"/>
  <c r="AN12" i="19"/>
  <c r="Q40" i="4"/>
  <c r="Q30" i="5"/>
  <c r="AN12" i="5"/>
  <c r="AN15" i="6"/>
  <c r="AN15" i="10"/>
  <c r="Q15" i="10"/>
  <c r="W15" i="10"/>
  <c r="S133" i="10" s="1"/>
  <c r="N98" i="14"/>
  <c r="AN13" i="33"/>
  <c r="AM13" i="33" s="1"/>
  <c r="AN12" i="35"/>
  <c r="AM12" i="35" s="1"/>
  <c r="W12" i="35"/>
  <c r="S103" i="35" s="1"/>
  <c r="X6" i="17"/>
  <c r="Y6" i="17"/>
  <c r="Q30" i="17"/>
  <c r="Q138" i="35"/>
  <c r="N118" i="34"/>
  <c r="AN13" i="11"/>
  <c r="N108" i="19"/>
  <c r="AN11" i="14"/>
  <c r="N108" i="35"/>
  <c r="AN14" i="10"/>
  <c r="Q14" i="10"/>
  <c r="N108" i="60"/>
  <c r="AN12" i="60"/>
  <c r="W12" i="60"/>
  <c r="Q12" i="60"/>
  <c r="Q138" i="33"/>
  <c r="AN12" i="7"/>
  <c r="AN13" i="34"/>
  <c r="AM13" i="34" s="1"/>
  <c r="N118" i="4"/>
  <c r="N128" i="6"/>
  <c r="N108" i="16"/>
  <c r="Q30" i="7"/>
  <c r="S4" i="33"/>
  <c r="S4" i="17"/>
  <c r="S4" i="4"/>
  <c r="S4" i="14"/>
  <c r="AJ10" i="60"/>
  <c r="U81" i="60"/>
  <c r="N50" i="7"/>
  <c r="N49" i="7"/>
  <c r="N69" i="34"/>
  <c r="AK9" i="34"/>
  <c r="AI9" i="34"/>
  <c r="V71" i="34" s="1"/>
  <c r="AH9" i="34"/>
  <c r="N70" i="34"/>
  <c r="N90" i="7"/>
  <c r="N89" i="7"/>
  <c r="N39" i="14"/>
  <c r="N40" i="14"/>
  <c r="Q70" i="10"/>
  <c r="AG9" i="10"/>
  <c r="AM9" i="10" s="1"/>
  <c r="S9" i="10"/>
  <c r="N89" i="22"/>
  <c r="N90" i="22"/>
  <c r="N79" i="20"/>
  <c r="N80" i="20"/>
  <c r="P21" i="11"/>
  <c r="N19" i="11"/>
  <c r="N20" i="11"/>
  <c r="N99" i="6"/>
  <c r="N100" i="6"/>
  <c r="N30" i="24"/>
  <c r="N29" i="24"/>
  <c r="N110" i="15"/>
  <c r="N109" i="15"/>
  <c r="N29" i="16"/>
  <c r="N30" i="16"/>
  <c r="N20" i="17"/>
  <c r="P21" i="17"/>
  <c r="N19" i="17"/>
  <c r="AI4" i="33"/>
  <c r="N19" i="33"/>
  <c r="N20" i="33"/>
  <c r="P21" i="33"/>
  <c r="AH4" i="33"/>
  <c r="AK4" i="33"/>
  <c r="N50" i="20"/>
  <c r="N49" i="20"/>
  <c r="N69" i="15"/>
  <c r="N70" i="15"/>
  <c r="AK7" i="37"/>
  <c r="AI7" i="37"/>
  <c r="V51" i="37" s="1"/>
  <c r="AH7" i="37"/>
  <c r="N49" i="37"/>
  <c r="N50" i="37"/>
  <c r="N29" i="22"/>
  <c r="N30" i="22"/>
  <c r="N49" i="4"/>
  <c r="N50" i="4"/>
  <c r="AK9" i="10"/>
  <c r="AI9" i="10"/>
  <c r="V71" i="10" s="1"/>
  <c r="AH9" i="10"/>
  <c r="N70" i="10"/>
  <c r="N69" i="10"/>
  <c r="N70" i="17"/>
  <c r="N69" i="17"/>
  <c r="N89" i="6"/>
  <c r="N90" i="6"/>
  <c r="N79" i="22"/>
  <c r="N80" i="22"/>
  <c r="AK6" i="34"/>
  <c r="AI6" i="34"/>
  <c r="V41" i="34" s="1"/>
  <c r="AH6" i="34"/>
  <c r="N39" i="34"/>
  <c r="N40" i="34"/>
  <c r="N4" i="37"/>
  <c r="V4" i="37"/>
  <c r="R5" i="37"/>
  <c r="AG4" i="37"/>
  <c r="AD4" i="37"/>
  <c r="T4" i="37"/>
  <c r="U4" i="37"/>
  <c r="S32" i="37" s="1"/>
  <c r="S21" i="37"/>
  <c r="V4" i="11"/>
  <c r="R5" i="11"/>
  <c r="AG4" i="11"/>
  <c r="AM4" i="11" s="1"/>
  <c r="N4" i="11"/>
  <c r="T4" i="11"/>
  <c r="U4" i="11"/>
  <c r="AD4" i="11"/>
  <c r="S21" i="11"/>
  <c r="AH7" i="35"/>
  <c r="AI7" i="35"/>
  <c r="V51" i="35" s="1"/>
  <c r="AK7" i="35"/>
  <c r="N49" i="35"/>
  <c r="N50" i="35"/>
  <c r="N59" i="15"/>
  <c r="N60" i="15"/>
  <c r="AM5" i="35"/>
  <c r="AH5" i="35"/>
  <c r="AI5" i="35"/>
  <c r="V31" i="35" s="1"/>
  <c r="N29" i="35"/>
  <c r="AK5" i="35"/>
  <c r="N30" i="35"/>
  <c r="N69" i="20"/>
  <c r="N70" i="20"/>
  <c r="P21" i="19"/>
  <c r="N20" i="19"/>
  <c r="N19" i="19"/>
  <c r="N39" i="24"/>
  <c r="N40" i="24"/>
  <c r="S7" i="10"/>
  <c r="AG7" i="10"/>
  <c r="AM7" i="10" s="1"/>
  <c r="Q50" i="10"/>
  <c r="N60" i="7"/>
  <c r="N59" i="7"/>
  <c r="N80" i="15"/>
  <c r="N79" i="15"/>
  <c r="S8" i="10"/>
  <c r="AG8" i="10"/>
  <c r="AM8" i="10" s="1"/>
  <c r="Q60" i="10"/>
  <c r="AK8" i="37"/>
  <c r="AH8" i="37"/>
  <c r="AI8" i="37"/>
  <c r="V61" i="37" s="1"/>
  <c r="N60" i="37"/>
  <c r="N59" i="37"/>
  <c r="S43" i="34"/>
  <c r="P21" i="37"/>
  <c r="N19" i="37"/>
  <c r="N20" i="37"/>
  <c r="AI4" i="37"/>
  <c r="AH4" i="37"/>
  <c r="AK4" i="37"/>
  <c r="P21" i="7"/>
  <c r="N19" i="7"/>
  <c r="N20" i="7"/>
  <c r="N70" i="37"/>
  <c r="AK9" i="37"/>
  <c r="AI9" i="37"/>
  <c r="V71" i="37" s="1"/>
  <c r="AH9" i="37"/>
  <c r="N69" i="37"/>
  <c r="N69" i="33"/>
  <c r="AK9" i="33"/>
  <c r="AI9" i="33"/>
  <c r="V71" i="33" s="1"/>
  <c r="AH9" i="33"/>
  <c r="N70" i="33"/>
  <c r="AK5" i="37"/>
  <c r="AH5" i="37"/>
  <c r="AI5" i="37"/>
  <c r="V31" i="37" s="1"/>
  <c r="N29" i="37"/>
  <c r="N30" i="37"/>
  <c r="N20" i="20"/>
  <c r="P21" i="20"/>
  <c r="N19" i="20"/>
  <c r="N90" i="15"/>
  <c r="N89" i="15"/>
  <c r="N90" i="11"/>
  <c r="N89" i="11"/>
  <c r="N59" i="6"/>
  <c r="N60" i="6"/>
  <c r="AD4" i="19"/>
  <c r="U4" i="19"/>
  <c r="S32" i="19" s="1"/>
  <c r="AG4" i="19"/>
  <c r="AM4" i="19" s="1"/>
  <c r="R5" i="19"/>
  <c r="N4" i="19"/>
  <c r="V4" i="19"/>
  <c r="T4" i="19"/>
  <c r="S21" i="19"/>
  <c r="N59" i="20"/>
  <c r="N60" i="20"/>
  <c r="N50" i="10"/>
  <c r="N49" i="10"/>
  <c r="AI7" i="10"/>
  <c r="V51" i="10" s="1"/>
  <c r="AH7" i="10"/>
  <c r="AK7" i="10"/>
  <c r="N30" i="19"/>
  <c r="N29" i="19"/>
  <c r="AK8" i="33"/>
  <c r="AI8" i="33"/>
  <c r="V61" i="33" s="1"/>
  <c r="AH8" i="33"/>
  <c r="N59" i="33"/>
  <c r="N60" i="33"/>
  <c r="N100" i="4"/>
  <c r="N99" i="4"/>
  <c r="S43" i="35"/>
  <c r="N69" i="22"/>
  <c r="N70" i="22"/>
  <c r="N49" i="6"/>
  <c r="N50" i="6"/>
  <c r="AH10" i="35"/>
  <c r="AK10" i="35"/>
  <c r="AI10" i="35"/>
  <c r="V81" i="35" s="1"/>
  <c r="N79" i="35"/>
  <c r="N80" i="35"/>
  <c r="N59" i="10"/>
  <c r="AK8" i="10"/>
  <c r="AI8" i="10"/>
  <c r="V61" i="10" s="1"/>
  <c r="AH8" i="10"/>
  <c r="N60" i="10"/>
  <c r="AK10" i="37"/>
  <c r="AH10" i="37"/>
  <c r="AI10" i="37"/>
  <c r="V81" i="37" s="1"/>
  <c r="N80" i="37"/>
  <c r="N79" i="37"/>
  <c r="AG4" i="7"/>
  <c r="AM4" i="7" s="1"/>
  <c r="AI4" i="7" s="1"/>
  <c r="N4" i="7"/>
  <c r="R5" i="7"/>
  <c r="S5" i="7" s="1"/>
  <c r="U4" i="7"/>
  <c r="S32" i="7" s="1"/>
  <c r="T4" i="7"/>
  <c r="S21" i="7"/>
  <c r="AD4" i="7"/>
  <c r="V4" i="7"/>
  <c r="N79" i="4"/>
  <c r="N80" i="4"/>
  <c r="N80" i="6"/>
  <c r="N79" i="6"/>
  <c r="AH7" i="33"/>
  <c r="AI7" i="33"/>
  <c r="V51" i="33" s="1"/>
  <c r="N50" i="33"/>
  <c r="AK7" i="33"/>
  <c r="N49" i="33"/>
  <c r="S21" i="20"/>
  <c r="AD4" i="20"/>
  <c r="T4" i="20"/>
  <c r="AG4" i="20"/>
  <c r="AM4" i="20" s="1"/>
  <c r="R5" i="20"/>
  <c r="N5" i="20" s="1"/>
  <c r="V4" i="20"/>
  <c r="N4" i="20"/>
  <c r="U4" i="20"/>
  <c r="S32" i="20" s="1"/>
  <c r="Q90" i="60"/>
  <c r="S11" i="60"/>
  <c r="AG11" i="60"/>
  <c r="AM11" i="60" s="1"/>
  <c r="N129" i="15"/>
  <c r="N30" i="20"/>
  <c r="N29" i="20"/>
  <c r="AG4" i="6"/>
  <c r="AM4" i="6" s="1"/>
  <c r="AI4" i="6" s="1"/>
  <c r="R5" i="6"/>
  <c r="N4" i="6"/>
  <c r="T4" i="6"/>
  <c r="U4" i="6"/>
  <c r="S32" i="6" s="1"/>
  <c r="S21" i="6"/>
  <c r="AD4" i="6"/>
  <c r="V4" i="6"/>
  <c r="N29" i="4"/>
  <c r="N30" i="4"/>
  <c r="N50" i="16"/>
  <c r="N49" i="16"/>
  <c r="S21" i="24"/>
  <c r="T4" i="24"/>
  <c r="N4" i="24"/>
  <c r="U4" i="24"/>
  <c r="S32" i="24" s="1"/>
  <c r="V4" i="24"/>
  <c r="AG4" i="24"/>
  <c r="AM4" i="24" s="1"/>
  <c r="AI4" i="24" s="1"/>
  <c r="R5" i="24"/>
  <c r="AD4" i="24"/>
  <c r="S4" i="11"/>
  <c r="S4" i="20"/>
  <c r="N70" i="24"/>
  <c r="N69" i="24"/>
  <c r="N60" i="24"/>
  <c r="N59" i="24"/>
  <c r="AK6" i="35"/>
  <c r="N40" i="35"/>
  <c r="AI6" i="35"/>
  <c r="V41" i="35" s="1"/>
  <c r="AH6" i="35"/>
  <c r="N39" i="35"/>
  <c r="N30" i="10"/>
  <c r="N29" i="10"/>
  <c r="N49" i="24"/>
  <c r="N50" i="24"/>
  <c r="N69" i="5"/>
  <c r="N70" i="5"/>
  <c r="N60" i="8"/>
  <c r="N59" i="8"/>
  <c r="N60" i="14"/>
  <c r="N59" i="14"/>
  <c r="AM12" i="34"/>
  <c r="AK12" i="34"/>
  <c r="AI12" i="34"/>
  <c r="V101" i="34" s="1"/>
  <c r="AH12" i="34"/>
  <c r="N99" i="34"/>
  <c r="N100" i="34"/>
  <c r="N59" i="16"/>
  <c r="N60" i="16"/>
  <c r="V4" i="5"/>
  <c r="AG4" i="5"/>
  <c r="AM4" i="5" s="1"/>
  <c r="AI4" i="5" s="1"/>
  <c r="N4" i="5"/>
  <c r="R5" i="5"/>
  <c r="T4" i="5"/>
  <c r="U4" i="5"/>
  <c r="S32" i="5" s="1"/>
  <c r="AD4" i="5"/>
  <c r="S21" i="5"/>
  <c r="N99" i="17"/>
  <c r="N100" i="17"/>
  <c r="N90" i="60"/>
  <c r="N89" i="60"/>
  <c r="AI11" i="60"/>
  <c r="V91" i="60" s="1"/>
  <c r="AK11" i="60"/>
  <c r="U92" i="60" s="1"/>
  <c r="AH11" i="60"/>
  <c r="N129" i="17"/>
  <c r="N119" i="15"/>
  <c r="P31" i="15"/>
  <c r="N120" i="15"/>
  <c r="P21" i="6"/>
  <c r="N20" i="6"/>
  <c r="N19" i="6"/>
  <c r="N49" i="15"/>
  <c r="N50" i="15"/>
  <c r="P21" i="24"/>
  <c r="N19" i="24"/>
  <c r="N20" i="24"/>
  <c r="N110" i="6"/>
  <c r="N109" i="6"/>
  <c r="S4" i="5"/>
  <c r="P35" i="20"/>
  <c r="S4" i="6"/>
  <c r="N90" i="33"/>
  <c r="AK11" i="33"/>
  <c r="AI11" i="33"/>
  <c r="V91" i="33" s="1"/>
  <c r="AH11" i="33"/>
  <c r="N89" i="33"/>
  <c r="N4" i="10"/>
  <c r="R5" i="10"/>
  <c r="AG4" i="10"/>
  <c r="AM4" i="10" s="1"/>
  <c r="AK4" i="10" s="1"/>
  <c r="U4" i="10"/>
  <c r="AD4" i="10"/>
  <c r="S21" i="10"/>
  <c r="T4" i="10"/>
  <c r="V4" i="10"/>
  <c r="N80" i="19"/>
  <c r="N79" i="19"/>
  <c r="N50" i="8"/>
  <c r="N49" i="8"/>
  <c r="N40" i="22"/>
  <c r="N39" i="22"/>
  <c r="AK10" i="33"/>
  <c r="AI10" i="33"/>
  <c r="V81" i="33" s="1"/>
  <c r="AH10" i="33"/>
  <c r="N79" i="33"/>
  <c r="N80" i="33"/>
  <c r="N59" i="4"/>
  <c r="N60" i="4"/>
  <c r="N80" i="8"/>
  <c r="N79" i="8"/>
  <c r="N80" i="14"/>
  <c r="N79" i="14"/>
  <c r="N49" i="5"/>
  <c r="N50" i="5"/>
  <c r="N19" i="5"/>
  <c r="P21" i="5"/>
  <c r="N20" i="5"/>
  <c r="N109" i="8"/>
  <c r="N110" i="8"/>
  <c r="N69" i="6"/>
  <c r="N70" i="6"/>
  <c r="Q90" i="10"/>
  <c r="AG11" i="10"/>
  <c r="AM11" i="10" s="1"/>
  <c r="S11" i="10"/>
  <c r="N39" i="19"/>
  <c r="N40" i="19"/>
  <c r="N89" i="5"/>
  <c r="N90" i="5"/>
  <c r="S4" i="7"/>
  <c r="R35" i="20"/>
  <c r="S21" i="15"/>
  <c r="AD4" i="15"/>
  <c r="T4" i="15"/>
  <c r="AG4" i="15"/>
  <c r="AM4" i="15" s="1"/>
  <c r="U4" i="15"/>
  <c r="S32" i="15" s="1"/>
  <c r="R5" i="15"/>
  <c r="V4" i="15"/>
  <c r="N4" i="15"/>
  <c r="Z10" i="60"/>
  <c r="S80" i="60"/>
  <c r="S79" i="60" s="1"/>
  <c r="N19" i="10"/>
  <c r="P21" i="10"/>
  <c r="N20" i="10"/>
  <c r="N39" i="17"/>
  <c r="N40" i="17"/>
  <c r="AI6" i="37"/>
  <c r="V41" i="37" s="1"/>
  <c r="AK6" i="37"/>
  <c r="AH6" i="37"/>
  <c r="N40" i="37"/>
  <c r="N39" i="37"/>
  <c r="N29" i="17"/>
  <c r="N30" i="17"/>
  <c r="N49" i="19"/>
  <c r="N50" i="19"/>
  <c r="N100" i="15"/>
  <c r="N99" i="15"/>
  <c r="N29" i="11"/>
  <c r="N30" i="11"/>
  <c r="P21" i="22"/>
  <c r="N20" i="22"/>
  <c r="N19" i="22"/>
  <c r="N59" i="17"/>
  <c r="N60" i="17"/>
  <c r="N50" i="11"/>
  <c r="N49" i="11"/>
  <c r="N90" i="35"/>
  <c r="AH11" i="35"/>
  <c r="AK11" i="35"/>
  <c r="AI11" i="35"/>
  <c r="V91" i="35" s="1"/>
  <c r="N89" i="35"/>
  <c r="N70" i="8"/>
  <c r="N69" i="8"/>
  <c r="AK12" i="33"/>
  <c r="AI12" i="33"/>
  <c r="V101" i="33" s="1"/>
  <c r="AH12" i="33"/>
  <c r="N99" i="33"/>
  <c r="N100" i="33"/>
  <c r="P21" i="35"/>
  <c r="AK4" i="35"/>
  <c r="AI4" i="35"/>
  <c r="AH4" i="35"/>
  <c r="N20" i="35"/>
  <c r="N19" i="35"/>
  <c r="AI11" i="10"/>
  <c r="V91" i="10" s="1"/>
  <c r="AK11" i="10"/>
  <c r="AH11" i="10"/>
  <c r="N90" i="10"/>
  <c r="N89" i="10"/>
  <c r="AH8" i="35"/>
  <c r="AK8" i="35"/>
  <c r="AI8" i="35"/>
  <c r="V61" i="35" s="1"/>
  <c r="N59" i="35"/>
  <c r="N60" i="35"/>
  <c r="N30" i="6"/>
  <c r="N29" i="6"/>
  <c r="AL9" i="60"/>
  <c r="BC9" i="60"/>
  <c r="BB9" i="60"/>
  <c r="N90" i="8"/>
  <c r="N89" i="8"/>
  <c r="AM11" i="33"/>
  <c r="S43" i="37"/>
  <c r="N40" i="5"/>
  <c r="N39" i="5"/>
  <c r="N60" i="19"/>
  <c r="N59" i="19"/>
  <c r="AG12" i="10"/>
  <c r="AM12" i="10" s="1"/>
  <c r="S12" i="10"/>
  <c r="Q100" i="10"/>
  <c r="N59" i="11"/>
  <c r="N60" i="11"/>
  <c r="U4" i="22"/>
  <c r="S32" i="22" s="1"/>
  <c r="AG4" i="22"/>
  <c r="AM4" i="22" s="1"/>
  <c r="V4" i="22"/>
  <c r="R5" i="22"/>
  <c r="N4" i="22"/>
  <c r="T4" i="22"/>
  <c r="AD4" i="22"/>
  <c r="S21" i="22"/>
  <c r="AM5" i="34"/>
  <c r="N29" i="34"/>
  <c r="AK5" i="34"/>
  <c r="AI5" i="34"/>
  <c r="V31" i="34" s="1"/>
  <c r="AH5" i="34"/>
  <c r="N30" i="34"/>
  <c r="N39" i="11"/>
  <c r="N40" i="11"/>
  <c r="AK13" i="10"/>
  <c r="AI13" i="10"/>
  <c r="V111" i="10" s="1"/>
  <c r="AH13" i="10"/>
  <c r="N109" i="10"/>
  <c r="N110" i="10"/>
  <c r="N29" i="5"/>
  <c r="N30" i="5"/>
  <c r="N30" i="8"/>
  <c r="N29" i="8"/>
  <c r="N79" i="11"/>
  <c r="N80" i="11"/>
  <c r="N90" i="16"/>
  <c r="N89" i="16"/>
  <c r="AD4" i="35"/>
  <c r="U4" i="35"/>
  <c r="S32" i="35" s="1"/>
  <c r="R5" i="35"/>
  <c r="V4" i="35"/>
  <c r="AG4" i="35"/>
  <c r="N4" i="35"/>
  <c r="T4" i="35"/>
  <c r="S21" i="35"/>
  <c r="N50" i="17"/>
  <c r="N49" i="17"/>
  <c r="N40" i="7"/>
  <c r="N39" i="7"/>
  <c r="N20" i="16"/>
  <c r="P21" i="16"/>
  <c r="N19" i="16"/>
  <c r="P21" i="8"/>
  <c r="N19" i="8"/>
  <c r="N20" i="8"/>
  <c r="S4" i="10"/>
  <c r="S4" i="15"/>
  <c r="X16" i="19"/>
  <c r="N5" i="19"/>
  <c r="P35" i="19"/>
  <c r="S4" i="24"/>
  <c r="AI12" i="10"/>
  <c r="V101" i="10" s="1"/>
  <c r="AH12" i="10"/>
  <c r="AK12" i="10"/>
  <c r="N100" i="10"/>
  <c r="N99" i="10"/>
  <c r="N39" i="20"/>
  <c r="N40" i="20"/>
  <c r="N79" i="7"/>
  <c r="N80" i="7"/>
  <c r="N40" i="8"/>
  <c r="N39" i="8"/>
  <c r="Q110" i="10"/>
  <c r="AG13" i="10"/>
  <c r="AM13" i="10" s="1"/>
  <c r="S13" i="10"/>
  <c r="N80" i="24"/>
  <c r="N79" i="24"/>
  <c r="N109" i="17"/>
  <c r="N110" i="17"/>
  <c r="P31" i="17"/>
  <c r="N119" i="17"/>
  <c r="N120" i="17"/>
  <c r="N40" i="4"/>
  <c r="N39" i="4"/>
  <c r="R5" i="16"/>
  <c r="T4" i="16"/>
  <c r="AD4" i="16"/>
  <c r="V4" i="16"/>
  <c r="U4" i="16"/>
  <c r="S32" i="16" s="1"/>
  <c r="S21" i="16"/>
  <c r="N4" i="16"/>
  <c r="AG4" i="16"/>
  <c r="AM4" i="16" s="1"/>
  <c r="AK4" i="16" s="1"/>
  <c r="AH5" i="33"/>
  <c r="AI5" i="33"/>
  <c r="V31" i="33" s="1"/>
  <c r="AK5" i="33"/>
  <c r="N29" i="33"/>
  <c r="N30" i="33"/>
  <c r="S21" i="8"/>
  <c r="AD4" i="8"/>
  <c r="T4" i="8"/>
  <c r="U4" i="8"/>
  <c r="S32" i="8" s="1"/>
  <c r="AG4" i="8"/>
  <c r="AM4" i="8" s="1"/>
  <c r="R5" i="8"/>
  <c r="V4" i="8"/>
  <c r="N4" i="8"/>
  <c r="Y16" i="19"/>
  <c r="R35" i="19"/>
  <c r="V64" i="60"/>
  <c r="U66" i="60" s="1"/>
  <c r="AF8" i="60"/>
  <c r="N100" i="24"/>
  <c r="N99" i="24"/>
  <c r="P21" i="15"/>
  <c r="N20" i="15"/>
  <c r="N19" i="15"/>
  <c r="AH4" i="15"/>
  <c r="AK4" i="15"/>
  <c r="N80" i="17"/>
  <c r="N79" i="17"/>
  <c r="N70" i="4"/>
  <c r="N69" i="4"/>
  <c r="N49" i="22"/>
  <c r="N50" i="22"/>
  <c r="N19" i="4"/>
  <c r="N20" i="4"/>
  <c r="P21" i="4"/>
  <c r="N39" i="6"/>
  <c r="N40" i="6"/>
  <c r="N20" i="34"/>
  <c r="N19" i="34"/>
  <c r="P21" i="34"/>
  <c r="AK4" i="34"/>
  <c r="AH4" i="34"/>
  <c r="AI4" i="34"/>
  <c r="P31" i="8"/>
  <c r="N120" i="8"/>
  <c r="N119" i="8"/>
  <c r="N70" i="16"/>
  <c r="N69" i="16"/>
  <c r="N70" i="11"/>
  <c r="N69" i="11"/>
  <c r="N70" i="7"/>
  <c r="N69" i="7"/>
  <c r="N39" i="15"/>
  <c r="N40" i="15"/>
  <c r="S4" i="22"/>
  <c r="S4" i="19"/>
  <c r="N30" i="14"/>
  <c r="N29" i="14"/>
  <c r="N70" i="14"/>
  <c r="N69" i="14"/>
  <c r="S21" i="14"/>
  <c r="U4" i="14"/>
  <c r="S32" i="14" s="1"/>
  <c r="V4" i="14"/>
  <c r="R5" i="14"/>
  <c r="N5" i="14" s="1"/>
  <c r="T4" i="14"/>
  <c r="AG4" i="14"/>
  <c r="AM4" i="14" s="1"/>
  <c r="AK4" i="14" s="1"/>
  <c r="N4" i="14"/>
  <c r="AD4" i="14"/>
  <c r="S10" i="10"/>
  <c r="AG10" i="10"/>
  <c r="AM10" i="10" s="1"/>
  <c r="Q80" i="10"/>
  <c r="S21" i="4"/>
  <c r="T4" i="4"/>
  <c r="U4" i="4"/>
  <c r="S32" i="4" s="1"/>
  <c r="AG4" i="4"/>
  <c r="AM4" i="4" s="1"/>
  <c r="R5" i="4"/>
  <c r="S5" i="4" s="1"/>
  <c r="V4" i="4"/>
  <c r="N4" i="4"/>
  <c r="AD4" i="4"/>
  <c r="N99" i="8"/>
  <c r="N100" i="8"/>
  <c r="N90" i="19"/>
  <c r="N89" i="19"/>
  <c r="U4" i="34"/>
  <c r="S32" i="34" s="1"/>
  <c r="T4" i="34"/>
  <c r="S21" i="34"/>
  <c r="AD4" i="34"/>
  <c r="R5" i="34"/>
  <c r="AG4" i="34"/>
  <c r="V4" i="34"/>
  <c r="N4" i="34"/>
  <c r="S43" i="33"/>
  <c r="AI7" i="34"/>
  <c r="V51" i="34" s="1"/>
  <c r="AH7" i="34"/>
  <c r="N49" i="34"/>
  <c r="N50" i="34"/>
  <c r="AK7" i="34"/>
  <c r="N40" i="10"/>
  <c r="N39" i="10"/>
  <c r="N30" i="15"/>
  <c r="N29" i="15"/>
  <c r="N90" i="17"/>
  <c r="N89" i="17"/>
  <c r="AM4" i="33"/>
  <c r="N99" i="11"/>
  <c r="N100" i="11"/>
  <c r="AM9" i="35"/>
  <c r="N69" i="35"/>
  <c r="AI9" i="35"/>
  <c r="V71" i="35" s="1"/>
  <c r="AK9" i="35"/>
  <c r="AH9" i="35"/>
  <c r="N70" i="35"/>
  <c r="N89" i="24"/>
  <c r="N90" i="24"/>
  <c r="N60" i="22"/>
  <c r="N59" i="22"/>
  <c r="P35" i="14"/>
  <c r="X16" i="14"/>
  <c r="S4" i="37"/>
  <c r="S4" i="34"/>
  <c r="V81" i="60"/>
  <c r="AM9" i="34"/>
  <c r="N129" i="8"/>
  <c r="N69" i="19"/>
  <c r="N70" i="19"/>
  <c r="N40" i="16"/>
  <c r="N39" i="16"/>
  <c r="P21" i="14"/>
  <c r="N19" i="14"/>
  <c r="N20" i="14"/>
  <c r="N80" i="10"/>
  <c r="AH10" i="10"/>
  <c r="AI10" i="10"/>
  <c r="V81" i="10" s="1"/>
  <c r="AK10" i="10"/>
  <c r="N79" i="10"/>
  <c r="N49" i="14"/>
  <c r="N50" i="14"/>
  <c r="AI8" i="34"/>
  <c r="V61" i="34" s="1"/>
  <c r="AH8" i="34"/>
  <c r="AK8" i="34"/>
  <c r="N60" i="34"/>
  <c r="N59" i="34"/>
  <c r="AH6" i="33"/>
  <c r="N39" i="33"/>
  <c r="N40" i="33"/>
  <c r="AK6" i="33"/>
  <c r="AI6" i="33"/>
  <c r="V41" i="33" s="1"/>
  <c r="N30" i="7"/>
  <c r="N29" i="7"/>
  <c r="AD4" i="17"/>
  <c r="R5" i="17"/>
  <c r="V4" i="17"/>
  <c r="AG4" i="17"/>
  <c r="AM4" i="17" s="1"/>
  <c r="AK4" i="17" s="1"/>
  <c r="N4" i="17"/>
  <c r="T4" i="17"/>
  <c r="S21" i="17"/>
  <c r="U4" i="17"/>
  <c r="S32" i="17" s="1"/>
  <c r="AM11" i="34"/>
  <c r="N89" i="34"/>
  <c r="N90" i="34"/>
  <c r="AI11" i="34"/>
  <c r="V91" i="34" s="1"/>
  <c r="AK11" i="34"/>
  <c r="AH11" i="34"/>
  <c r="N79" i="5"/>
  <c r="N80" i="5"/>
  <c r="S21" i="33"/>
  <c r="AG4" i="33"/>
  <c r="N4" i="33"/>
  <c r="R5" i="33"/>
  <c r="V4" i="33"/>
  <c r="T4" i="33"/>
  <c r="U4" i="33"/>
  <c r="S32" i="33" s="1"/>
  <c r="AD4" i="33"/>
  <c r="N80" i="16"/>
  <c r="N79" i="16"/>
  <c r="AM7" i="37"/>
  <c r="N59" i="5"/>
  <c r="N60" i="5"/>
  <c r="AM10" i="34"/>
  <c r="N80" i="34"/>
  <c r="AK10" i="34"/>
  <c r="AH10" i="34"/>
  <c r="AI10" i="34"/>
  <c r="V81" i="34" s="1"/>
  <c r="N79" i="34"/>
  <c r="Y16" i="14"/>
  <c r="R35" i="14"/>
  <c r="S4" i="35"/>
  <c r="S4" i="8"/>
  <c r="U99" i="60"/>
  <c r="Q25" i="33"/>
  <c r="Q93" i="40"/>
  <c r="E107" i="40"/>
  <c r="O35" i="20"/>
  <c r="D107" i="40"/>
  <c r="V19" i="10"/>
  <c r="R93" i="40"/>
  <c r="V89" i="10"/>
  <c r="Q105" i="10"/>
  <c r="O35" i="35"/>
  <c r="G95" i="40"/>
  <c r="O35" i="16"/>
  <c r="L87" i="40"/>
  <c r="O35" i="14"/>
  <c r="O35" i="4"/>
  <c r="S91" i="40"/>
  <c r="V89" i="34"/>
  <c r="Q6" i="24"/>
  <c r="Q5" i="20"/>
  <c r="AQ4" i="10"/>
  <c r="Q6" i="11"/>
  <c r="AP5" i="19"/>
  <c r="AZ15" i="33"/>
  <c r="P12" i="20"/>
  <c r="AZ12" i="14"/>
  <c r="AZ13" i="19"/>
  <c r="AO12" i="22"/>
  <c r="AZ15" i="11"/>
  <c r="AO15" i="6"/>
  <c r="U109" i="33"/>
  <c r="U109" i="11"/>
  <c r="Q25" i="17"/>
  <c r="T88" i="40"/>
  <c r="G90" i="40"/>
  <c r="T93" i="40"/>
  <c r="Q95" i="10"/>
  <c r="Q25" i="7"/>
  <c r="V19" i="33"/>
  <c r="G93" i="40"/>
  <c r="AP5" i="20"/>
  <c r="P16" i="8"/>
  <c r="AQ5" i="5"/>
  <c r="AP5" i="16"/>
  <c r="AZ12" i="20"/>
  <c r="AO11" i="14"/>
  <c r="AO14" i="6"/>
  <c r="AO13" i="11"/>
  <c r="AZ15" i="4"/>
  <c r="V109" i="33"/>
  <c r="Q25" i="4"/>
  <c r="O35" i="11"/>
  <c r="Q65" i="10"/>
  <c r="Q88" i="40"/>
  <c r="T89" i="40"/>
  <c r="V99" i="34"/>
  <c r="G107" i="40"/>
  <c r="I107" i="40"/>
  <c r="M107" i="40"/>
  <c r="V19" i="14"/>
  <c r="V49" i="37"/>
  <c r="AO12" i="60"/>
  <c r="AQ4" i="24"/>
  <c r="AP5" i="24"/>
  <c r="AP5" i="7"/>
  <c r="AQ4" i="6"/>
  <c r="AP6" i="11"/>
  <c r="AP5" i="6"/>
  <c r="AZ15" i="34"/>
  <c r="U99" i="22"/>
  <c r="U89" i="20"/>
  <c r="U109" i="24"/>
  <c r="U99" i="35"/>
  <c r="U89" i="14"/>
  <c r="Q25" i="14"/>
  <c r="R87" i="40"/>
  <c r="V19" i="11"/>
  <c r="V59" i="10"/>
  <c r="Q92" i="40"/>
  <c r="S95" i="40"/>
  <c r="Q25" i="6"/>
  <c r="R95" i="40"/>
  <c r="F107" i="40"/>
  <c r="B107" i="40"/>
  <c r="O35" i="33"/>
  <c r="AQ4" i="5"/>
  <c r="Q6" i="7"/>
  <c r="Q5" i="15"/>
  <c r="AQ4" i="20"/>
  <c r="Q5" i="11"/>
  <c r="Q5" i="6"/>
  <c r="AQ16" i="34"/>
  <c r="AO12" i="16"/>
  <c r="P15" i="10"/>
  <c r="U109" i="34"/>
  <c r="S92" i="40"/>
  <c r="V19" i="5"/>
  <c r="V29" i="34"/>
  <c r="Q25" i="10"/>
  <c r="K107" i="40"/>
  <c r="N107" i="40"/>
  <c r="S94" i="40"/>
  <c r="AQ4" i="7"/>
  <c r="P16" i="17"/>
  <c r="AP5" i="11"/>
  <c r="Q7" i="4"/>
  <c r="Q6" i="5"/>
  <c r="AO13" i="34"/>
  <c r="AZ15" i="24"/>
  <c r="AZ14" i="11"/>
  <c r="AZ13" i="7"/>
  <c r="AZ12" i="37"/>
  <c r="U99" i="5"/>
  <c r="V99" i="35"/>
  <c r="V109" i="34"/>
  <c r="AQ12" i="60"/>
  <c r="Q90" i="40"/>
  <c r="Q91" i="40"/>
  <c r="R90" i="40"/>
  <c r="Q95" i="60"/>
  <c r="R94" i="40"/>
  <c r="L107" i="40"/>
  <c r="Q89" i="40"/>
  <c r="T94" i="40"/>
  <c r="G94" i="40"/>
  <c r="G96" i="40"/>
  <c r="Q25" i="15"/>
  <c r="Q85" i="10"/>
  <c r="O35" i="17"/>
  <c r="Q6" i="22"/>
  <c r="AQ4" i="8"/>
  <c r="AQ4" i="16"/>
  <c r="AO16" i="17"/>
  <c r="AP7" i="4"/>
  <c r="AP6" i="5"/>
  <c r="AO14" i="10"/>
  <c r="P14" i="11"/>
  <c r="Q87" i="40"/>
  <c r="V19" i="7"/>
  <c r="V89" i="60"/>
  <c r="V19" i="6"/>
  <c r="O35" i="5"/>
  <c r="G87" i="40"/>
  <c r="S88" i="40"/>
  <c r="V19" i="8"/>
  <c r="V79" i="10"/>
  <c r="S90" i="40"/>
  <c r="Q25" i="37"/>
  <c r="Q25" i="35"/>
  <c r="AP13" i="60"/>
  <c r="AQ4" i="17"/>
  <c r="AP5" i="22"/>
  <c r="AQ4" i="15"/>
  <c r="Q5" i="8"/>
  <c r="AO12" i="35"/>
  <c r="AO13" i="33"/>
  <c r="AQ15" i="33"/>
  <c r="AO13" i="24"/>
  <c r="P13" i="7"/>
  <c r="P13" i="5"/>
  <c r="P12" i="37"/>
  <c r="AQ16" i="37"/>
  <c r="U129" i="6"/>
  <c r="U99" i="7"/>
  <c r="O35" i="37"/>
  <c r="H107" i="40"/>
  <c r="G91" i="40"/>
  <c r="O35" i="6"/>
  <c r="V19" i="24"/>
  <c r="V19" i="15"/>
  <c r="V19" i="16"/>
  <c r="O35" i="8"/>
  <c r="Q25" i="22"/>
  <c r="S107" i="40"/>
  <c r="Q25" i="34"/>
  <c r="R89" i="40"/>
  <c r="V19" i="17"/>
  <c r="R107" i="40"/>
  <c r="Q25" i="8"/>
  <c r="AZ13" i="60"/>
  <c r="AQ4" i="11"/>
  <c r="P16" i="15"/>
  <c r="Q6" i="20"/>
  <c r="AP5" i="8"/>
  <c r="AZ14" i="34"/>
  <c r="P14" i="33"/>
  <c r="AZ13" i="5"/>
  <c r="AO13" i="4"/>
  <c r="U119" i="6"/>
  <c r="U99" i="19"/>
  <c r="J107" i="40"/>
  <c r="O35" i="7"/>
  <c r="O35" i="24"/>
  <c r="V89" i="33"/>
  <c r="Q25" i="19"/>
  <c r="O35" i="34"/>
  <c r="V69" i="35"/>
  <c r="K87" i="40"/>
  <c r="AQ4" i="4"/>
  <c r="AP5" i="10"/>
  <c r="AQ4" i="14"/>
  <c r="Q5" i="14"/>
  <c r="AP6" i="20"/>
  <c r="AZ13" i="35"/>
  <c r="P14" i="34"/>
  <c r="AZ14" i="33"/>
  <c r="AO12" i="19"/>
  <c r="AZ13" i="22"/>
  <c r="AO15" i="10"/>
  <c r="AO12" i="7"/>
  <c r="AO12" i="5"/>
  <c r="P14" i="4"/>
  <c r="Q25" i="16"/>
  <c r="U129" i="10"/>
  <c r="U119" i="10"/>
  <c r="V69" i="10"/>
  <c r="Q107" i="40"/>
  <c r="V29" i="35"/>
  <c r="R92" i="40"/>
  <c r="P107" i="40"/>
  <c r="O107" i="40"/>
  <c r="C107" i="40"/>
  <c r="O35" i="15"/>
  <c r="V19" i="22"/>
  <c r="Q25" i="24"/>
  <c r="S87" i="40"/>
  <c r="V79" i="34"/>
  <c r="Q6" i="10"/>
  <c r="AP5" i="17"/>
  <c r="AQ4" i="19"/>
  <c r="AP5" i="14"/>
  <c r="AO16" i="15"/>
  <c r="P13" i="35"/>
  <c r="AO11" i="20"/>
  <c r="AZ14" i="24"/>
  <c r="AZ13" i="16"/>
  <c r="AO16" i="8"/>
  <c r="P15" i="6"/>
  <c r="AO11" i="37"/>
  <c r="U99" i="16"/>
  <c r="U109" i="4"/>
  <c r="Q75" i="10"/>
  <c r="Q55" i="10"/>
  <c r="V19" i="19"/>
  <c r="R91" i="40"/>
  <c r="Q25" i="11"/>
  <c r="T87" i="40"/>
  <c r="T107" i="40"/>
  <c r="V109" i="10"/>
  <c r="R88" i="40"/>
  <c r="V69" i="34"/>
  <c r="P13" i="60"/>
  <c r="AQ15" i="35"/>
  <c r="AQ4" i="22"/>
  <c r="AZ14" i="4"/>
  <c r="U89" i="37"/>
  <c r="G92" i="40"/>
  <c r="S89" i="40"/>
  <c r="T90" i="40"/>
  <c r="V49" i="10"/>
  <c r="O35" i="19"/>
  <c r="V19" i="20"/>
  <c r="Q25" i="20"/>
  <c r="Q25" i="5"/>
  <c r="O35" i="10"/>
  <c r="T91" i="40"/>
  <c r="V99" i="10"/>
  <c r="O35" i="22"/>
  <c r="Q115" i="10"/>
  <c r="V19" i="4"/>
  <c r="T92" i="40"/>
  <c r="S93" i="40"/>
  <c r="Q5" i="19"/>
  <c r="Q5" i="16"/>
  <c r="P14" i="24"/>
  <c r="P13" i="16"/>
  <c r="P12" i="14"/>
  <c r="P13" i="19"/>
  <c r="P13" i="22"/>
  <c r="N87" i="40"/>
  <c r="M87" i="40"/>
  <c r="Q35" i="7"/>
  <c r="Q35" i="4"/>
  <c r="Q15" i="33"/>
  <c r="Q15" i="34"/>
  <c r="Q12" i="37"/>
  <c r="Q14" i="34"/>
  <c r="Q13" i="35"/>
  <c r="Q14" i="33"/>
  <c r="AH4" i="5" l="1"/>
  <c r="AA9" i="60"/>
  <c r="AF9" i="60" s="1"/>
  <c r="AH4" i="6"/>
  <c r="S35" i="14"/>
  <c r="AH4" i="14"/>
  <c r="U21" i="14" s="1"/>
  <c r="AI4" i="10"/>
  <c r="V21" i="10" s="1"/>
  <c r="AH4" i="10"/>
  <c r="U21" i="10" s="1"/>
  <c r="AK4" i="24"/>
  <c r="Q120" i="33"/>
  <c r="Q110" i="35"/>
  <c r="Q120" i="34"/>
  <c r="Q100" i="37"/>
  <c r="Q130" i="34"/>
  <c r="Q130" i="33"/>
  <c r="N118" i="22"/>
  <c r="N118" i="19"/>
  <c r="N108" i="14"/>
  <c r="N118" i="16"/>
  <c r="N128" i="24"/>
  <c r="S5" i="16"/>
  <c r="Q30" i="16"/>
  <c r="S5" i="19"/>
  <c r="Q30" i="19"/>
  <c r="AN14" i="4"/>
  <c r="Q38" i="22"/>
  <c r="N118" i="60"/>
  <c r="N138" i="6"/>
  <c r="AN13" i="16"/>
  <c r="AN14" i="24"/>
  <c r="N118" i="35"/>
  <c r="Q38" i="19"/>
  <c r="Q40" i="10"/>
  <c r="W6" i="10"/>
  <c r="N128" i="4"/>
  <c r="AN13" i="22"/>
  <c r="AN14" i="33"/>
  <c r="AM14" i="33" s="1"/>
  <c r="N128" i="34"/>
  <c r="AN13" i="35"/>
  <c r="AM13" i="35" s="1"/>
  <c r="Q30" i="14"/>
  <c r="S5" i="14"/>
  <c r="Q38" i="14"/>
  <c r="Q38" i="4"/>
  <c r="AN13" i="5"/>
  <c r="N128" i="33"/>
  <c r="AN14" i="34"/>
  <c r="Q40" i="20"/>
  <c r="W6" i="20"/>
  <c r="Q38" i="11"/>
  <c r="AN13" i="60"/>
  <c r="Q13" i="60"/>
  <c r="AQ17" i="37"/>
  <c r="N108" i="37"/>
  <c r="N118" i="5"/>
  <c r="N118" i="7"/>
  <c r="S5" i="8"/>
  <c r="Q30" i="8"/>
  <c r="Q38" i="15"/>
  <c r="Q38" i="17"/>
  <c r="N128" i="11"/>
  <c r="Q38" i="16"/>
  <c r="Q38" i="8"/>
  <c r="Q40" i="22"/>
  <c r="W6" i="22"/>
  <c r="Q118" i="60"/>
  <c r="W12" i="37"/>
  <c r="AN12" i="37"/>
  <c r="AM12" i="37" s="1"/>
  <c r="AN13" i="7"/>
  <c r="AN14" i="11"/>
  <c r="AN15" i="24"/>
  <c r="Q40" i="5"/>
  <c r="W6" i="5"/>
  <c r="Q50" i="4"/>
  <c r="Q38" i="7"/>
  <c r="N138" i="10"/>
  <c r="AQ17" i="34"/>
  <c r="S5" i="6"/>
  <c r="Q30" i="6"/>
  <c r="S5" i="11"/>
  <c r="Q30" i="11"/>
  <c r="Q38" i="20"/>
  <c r="Q30" i="15"/>
  <c r="S5" i="15"/>
  <c r="X6" i="15"/>
  <c r="Y6" i="15"/>
  <c r="Q40" i="7"/>
  <c r="W6" i="7"/>
  <c r="Q38" i="5"/>
  <c r="AN15" i="34"/>
  <c r="AM15" i="34" s="1"/>
  <c r="W15" i="34"/>
  <c r="Q38" i="6"/>
  <c r="Q38" i="24"/>
  <c r="AN15" i="4"/>
  <c r="AN12" i="20"/>
  <c r="Q48" i="5"/>
  <c r="AN15" i="11"/>
  <c r="AN13" i="19"/>
  <c r="AN12" i="14"/>
  <c r="N108" i="20"/>
  <c r="AN15" i="33"/>
  <c r="W15" i="33"/>
  <c r="Q40" i="11"/>
  <c r="W6" i="11"/>
  <c r="Q38" i="10"/>
  <c r="X6" i="20"/>
  <c r="Y6" i="20"/>
  <c r="Q30" i="20"/>
  <c r="S5" i="20"/>
  <c r="Q40" i="24"/>
  <c r="W6" i="24"/>
  <c r="S30" i="4"/>
  <c r="S30" i="7"/>
  <c r="U22" i="16"/>
  <c r="V21" i="7"/>
  <c r="U22" i="17"/>
  <c r="U82" i="34"/>
  <c r="AJ8" i="34"/>
  <c r="U61" i="34"/>
  <c r="T61" i="34" s="1"/>
  <c r="AJ10" i="10"/>
  <c r="U81" i="10"/>
  <c r="T81" i="10" s="1"/>
  <c r="U72" i="35"/>
  <c r="AH4" i="4"/>
  <c r="S24" i="14"/>
  <c r="V21" i="34"/>
  <c r="U21" i="15"/>
  <c r="Z13" i="10"/>
  <c r="S110" i="10"/>
  <c r="S109" i="10" s="1"/>
  <c r="AJ12" i="10"/>
  <c r="U101" i="10"/>
  <c r="T101" i="10" s="1"/>
  <c r="S5" i="22"/>
  <c r="AG5" i="22"/>
  <c r="AM5" i="22" s="1"/>
  <c r="R6" i="22"/>
  <c r="V5" i="22"/>
  <c r="S34" i="22" s="1"/>
  <c r="T5" i="22"/>
  <c r="S31" i="22"/>
  <c r="AD5" i="22"/>
  <c r="U5" i="22"/>
  <c r="S42" i="22" s="1"/>
  <c r="N5" i="22"/>
  <c r="U62" i="35"/>
  <c r="V21" i="35"/>
  <c r="S5" i="10"/>
  <c r="N5" i="10"/>
  <c r="AG5" i="10"/>
  <c r="AM5" i="10" s="1"/>
  <c r="R6" i="10"/>
  <c r="V5" i="10"/>
  <c r="S34" i="10" s="1"/>
  <c r="S31" i="10"/>
  <c r="AD5" i="10"/>
  <c r="T5" i="10"/>
  <c r="U5" i="10"/>
  <c r="S42" i="10" s="1"/>
  <c r="Z4" i="5"/>
  <c r="S20" i="5"/>
  <c r="Z4" i="20"/>
  <c r="S20" i="20"/>
  <c r="AI4" i="20"/>
  <c r="V5" i="19"/>
  <c r="S34" i="19" s="1"/>
  <c r="AG5" i="19"/>
  <c r="AM5" i="19" s="1"/>
  <c r="T5" i="19"/>
  <c r="U5" i="19"/>
  <c r="S42" i="19" s="1"/>
  <c r="AD5" i="19"/>
  <c r="S31" i="19"/>
  <c r="R6" i="19"/>
  <c r="AH4" i="20"/>
  <c r="U71" i="33"/>
  <c r="T71" i="33" s="1"/>
  <c r="AJ9" i="33"/>
  <c r="U52" i="35"/>
  <c r="U42" i="34"/>
  <c r="U72" i="10"/>
  <c r="AH11" i="37"/>
  <c r="AK11" i="37"/>
  <c r="AI11" i="37"/>
  <c r="V91" i="37" s="1"/>
  <c r="N90" i="37"/>
  <c r="N89" i="37"/>
  <c r="S24" i="34"/>
  <c r="AJ4" i="34"/>
  <c r="U21" i="34"/>
  <c r="AK4" i="4"/>
  <c r="U32" i="33"/>
  <c r="AE4" i="35"/>
  <c r="S26" i="35"/>
  <c r="S24" i="22"/>
  <c r="AJ8" i="35"/>
  <c r="U61" i="35"/>
  <c r="T61" i="35" s="1"/>
  <c r="U22" i="35"/>
  <c r="S24" i="15"/>
  <c r="S20" i="11"/>
  <c r="Z4" i="11"/>
  <c r="U62" i="33"/>
  <c r="AK4" i="19"/>
  <c r="Z7" i="10"/>
  <c r="S50" i="10"/>
  <c r="AJ5" i="35"/>
  <c r="U31" i="35"/>
  <c r="T31" i="35" s="1"/>
  <c r="V21" i="33"/>
  <c r="Z9" i="10"/>
  <c r="S70" i="10"/>
  <c r="S69" i="10" s="1"/>
  <c r="AG14" i="10"/>
  <c r="AM14" i="10" s="1"/>
  <c r="Q120" i="10"/>
  <c r="S14" i="10"/>
  <c r="Q130" i="10"/>
  <c r="S15" i="10"/>
  <c r="AG15" i="10"/>
  <c r="AM15" i="10" s="1"/>
  <c r="N110" i="4"/>
  <c r="N109" i="4"/>
  <c r="S43" i="4"/>
  <c r="N100" i="16"/>
  <c r="N99" i="16"/>
  <c r="U22" i="34"/>
  <c r="AI4" i="4"/>
  <c r="S20" i="24"/>
  <c r="Z4" i="24"/>
  <c r="AK4" i="22"/>
  <c r="U5" i="15"/>
  <c r="S42" i="15" s="1"/>
  <c r="N5" i="15"/>
  <c r="R6" i="15"/>
  <c r="AG5" i="15"/>
  <c r="AM5" i="15" s="1"/>
  <c r="T5" i="15"/>
  <c r="V5" i="15"/>
  <c r="S34" i="15" s="1"/>
  <c r="AD5" i="15"/>
  <c r="S31" i="15"/>
  <c r="AJ4" i="5"/>
  <c r="U21" i="5"/>
  <c r="AJ11" i="60"/>
  <c r="U91" i="60"/>
  <c r="T91" i="60" s="1"/>
  <c r="AE4" i="5"/>
  <c r="S26" i="5"/>
  <c r="AE4" i="24"/>
  <c r="S26" i="24"/>
  <c r="AE4" i="20"/>
  <c r="S26" i="20"/>
  <c r="AJ8" i="10"/>
  <c r="U61" i="10"/>
  <c r="T61" i="10" s="1"/>
  <c r="U72" i="33"/>
  <c r="AJ7" i="35"/>
  <c r="U51" i="35"/>
  <c r="T51" i="35" s="1"/>
  <c r="AE4" i="37"/>
  <c r="S26" i="37"/>
  <c r="P31" i="10"/>
  <c r="AK14" i="10"/>
  <c r="AI14" i="10"/>
  <c r="V121" i="10" s="1"/>
  <c r="AH14" i="10"/>
  <c r="N120" i="10"/>
  <c r="N119" i="10"/>
  <c r="R45" i="17"/>
  <c r="Y16" i="17"/>
  <c r="AH15" i="10"/>
  <c r="AK15" i="10"/>
  <c r="N129" i="10"/>
  <c r="AI15" i="10"/>
  <c r="V131" i="10" s="1"/>
  <c r="S20" i="16"/>
  <c r="Z4" i="16"/>
  <c r="U22" i="14"/>
  <c r="N5" i="34"/>
  <c r="V5" i="34"/>
  <c r="S34" i="34" s="1"/>
  <c r="R6" i="34"/>
  <c r="AG5" i="34"/>
  <c r="AD5" i="34"/>
  <c r="U5" i="34"/>
  <c r="S42" i="34" s="1"/>
  <c r="T5" i="34"/>
  <c r="S31" i="34"/>
  <c r="S5" i="34"/>
  <c r="S20" i="19"/>
  <c r="Z4" i="19"/>
  <c r="I15" i="49"/>
  <c r="S24" i="8"/>
  <c r="AJ5" i="33"/>
  <c r="U31" i="33"/>
  <c r="T31" i="33" s="1"/>
  <c r="S35" i="19"/>
  <c r="AJ5" i="34"/>
  <c r="U31" i="34"/>
  <c r="T31" i="34" s="1"/>
  <c r="AJ4" i="10"/>
  <c r="V21" i="5"/>
  <c r="N5" i="24"/>
  <c r="V5" i="24"/>
  <c r="S34" i="24" s="1"/>
  <c r="R6" i="24"/>
  <c r="S6" i="24" s="1"/>
  <c r="AG5" i="24"/>
  <c r="AM5" i="24" s="1"/>
  <c r="T5" i="24"/>
  <c r="U5" i="24"/>
  <c r="S42" i="24" s="1"/>
  <c r="AD5" i="24"/>
  <c r="S31" i="24"/>
  <c r="R6" i="7"/>
  <c r="V5" i="7"/>
  <c r="S34" i="7" s="1"/>
  <c r="U5" i="7"/>
  <c r="S42" i="7" s="1"/>
  <c r="AD5" i="7"/>
  <c r="T5" i="7"/>
  <c r="AG5" i="7"/>
  <c r="AM5" i="7" s="1"/>
  <c r="S31" i="7"/>
  <c r="N5" i="7"/>
  <c r="S26" i="19"/>
  <c r="AE4" i="19"/>
  <c r="P45" i="17"/>
  <c r="X16" i="17"/>
  <c r="N99" i="19"/>
  <c r="N100" i="19"/>
  <c r="N119" i="6"/>
  <c r="P31" i="6"/>
  <c r="N120" i="6"/>
  <c r="S20" i="8"/>
  <c r="Z4" i="8"/>
  <c r="AE4" i="33"/>
  <c r="S26" i="33"/>
  <c r="AI4" i="17"/>
  <c r="U42" i="33"/>
  <c r="Z4" i="34"/>
  <c r="S20" i="34"/>
  <c r="AE4" i="34"/>
  <c r="S26" i="34"/>
  <c r="Z4" i="22"/>
  <c r="S20" i="22"/>
  <c r="I16" i="44"/>
  <c r="I16" i="49"/>
  <c r="AG5" i="8"/>
  <c r="AM5" i="8" s="1"/>
  <c r="R6" i="8"/>
  <c r="V5" i="8"/>
  <c r="S34" i="8" s="1"/>
  <c r="U5" i="8"/>
  <c r="S42" i="8" s="1"/>
  <c r="S31" i="8"/>
  <c r="T5" i="8"/>
  <c r="AD5" i="8"/>
  <c r="N5" i="8"/>
  <c r="AH4" i="16"/>
  <c r="I15" i="46"/>
  <c r="AI4" i="16"/>
  <c r="AJ13" i="10"/>
  <c r="U111" i="10"/>
  <c r="T111" i="10" s="1"/>
  <c r="AI4" i="15"/>
  <c r="AJ4" i="15" s="1"/>
  <c r="I16" i="48"/>
  <c r="U91" i="33"/>
  <c r="T91" i="33" s="1"/>
  <c r="AJ11" i="33"/>
  <c r="AH4" i="24"/>
  <c r="AD5" i="6"/>
  <c r="U5" i="6"/>
  <c r="S42" i="6" s="1"/>
  <c r="T5" i="6"/>
  <c r="S31" i="6"/>
  <c r="N5" i="6"/>
  <c r="V5" i="6"/>
  <c r="S34" i="6" s="1"/>
  <c r="AG5" i="6"/>
  <c r="AM5" i="6" s="1"/>
  <c r="R6" i="6"/>
  <c r="U62" i="10"/>
  <c r="AE4" i="11"/>
  <c r="S26" i="11"/>
  <c r="U5" i="37"/>
  <c r="S42" i="37" s="1"/>
  <c r="AD5" i="37"/>
  <c r="S31" i="37"/>
  <c r="N5" i="37"/>
  <c r="T5" i="37"/>
  <c r="R6" i="37"/>
  <c r="V5" i="37"/>
  <c r="S34" i="37" s="1"/>
  <c r="AG5" i="37"/>
  <c r="S5" i="37"/>
  <c r="AJ7" i="37"/>
  <c r="U51" i="37"/>
  <c r="T51" i="37" s="1"/>
  <c r="AH4" i="17"/>
  <c r="T81" i="60"/>
  <c r="N100" i="7"/>
  <c r="N99" i="7"/>
  <c r="N129" i="6"/>
  <c r="S20" i="35"/>
  <c r="Z4" i="35"/>
  <c r="S24" i="17"/>
  <c r="Z4" i="37"/>
  <c r="S20" i="37"/>
  <c r="U52" i="34"/>
  <c r="I15" i="44"/>
  <c r="AK4" i="8"/>
  <c r="I16" i="46"/>
  <c r="U32" i="34"/>
  <c r="AJ11" i="10"/>
  <c r="U91" i="10"/>
  <c r="T91" i="10" s="1"/>
  <c r="AJ6" i="37"/>
  <c r="U41" i="37"/>
  <c r="T41" i="37" s="1"/>
  <c r="U22" i="10"/>
  <c r="I15" i="48"/>
  <c r="S5" i="5"/>
  <c r="R6" i="5"/>
  <c r="AD5" i="5"/>
  <c r="T5" i="5"/>
  <c r="U5" i="5"/>
  <c r="S42" i="5" s="1"/>
  <c r="S31" i="5"/>
  <c r="AG5" i="5"/>
  <c r="AM5" i="5" s="1"/>
  <c r="N5" i="5"/>
  <c r="V5" i="5"/>
  <c r="S34" i="5" s="1"/>
  <c r="S24" i="24"/>
  <c r="AK4" i="6"/>
  <c r="AK4" i="7"/>
  <c r="U22" i="37"/>
  <c r="AJ8" i="37"/>
  <c r="U61" i="37"/>
  <c r="T61" i="37" s="1"/>
  <c r="S32" i="11"/>
  <c r="S24" i="37"/>
  <c r="I16" i="47"/>
  <c r="AJ9" i="34"/>
  <c r="U71" i="34"/>
  <c r="T71" i="34" s="1"/>
  <c r="AJ11" i="34"/>
  <c r="U91" i="34"/>
  <c r="T91" i="34" s="1"/>
  <c r="S5" i="17"/>
  <c r="V5" i="17"/>
  <c r="S34" i="17" s="1"/>
  <c r="AG5" i="17"/>
  <c r="AM5" i="17" s="1"/>
  <c r="U5" i="17"/>
  <c r="S42" i="17" s="1"/>
  <c r="AD5" i="17"/>
  <c r="T5" i="17"/>
  <c r="S31" i="17"/>
  <c r="N5" i="17"/>
  <c r="R6" i="17"/>
  <c r="N6" i="17" s="1"/>
  <c r="Z10" i="10"/>
  <c r="S80" i="10"/>
  <c r="S79" i="10" s="1"/>
  <c r="S20" i="15"/>
  <c r="Z4" i="15"/>
  <c r="U112" i="10"/>
  <c r="U92" i="10"/>
  <c r="AJ12" i="33"/>
  <c r="U101" i="33"/>
  <c r="T101" i="33" s="1"/>
  <c r="U92" i="35"/>
  <c r="U42" i="37"/>
  <c r="AE4" i="15"/>
  <c r="S26" i="15"/>
  <c r="S24" i="10"/>
  <c r="U92" i="33"/>
  <c r="AJ12" i="34"/>
  <c r="U101" i="34"/>
  <c r="T101" i="34" s="1"/>
  <c r="AJ6" i="35"/>
  <c r="U41" i="35"/>
  <c r="T41" i="35" s="1"/>
  <c r="S90" i="60"/>
  <c r="S89" i="60" s="1"/>
  <c r="Z11" i="60"/>
  <c r="U52" i="33"/>
  <c r="AJ9" i="37"/>
  <c r="U71" i="37"/>
  <c r="T71" i="37" s="1"/>
  <c r="AJ4" i="37"/>
  <c r="U21" i="37"/>
  <c r="U62" i="37"/>
  <c r="I15" i="47"/>
  <c r="U52" i="37"/>
  <c r="N99" i="5"/>
  <c r="N100" i="5"/>
  <c r="S24" i="33"/>
  <c r="U92" i="34"/>
  <c r="S26" i="17"/>
  <c r="AE4" i="17"/>
  <c r="AJ6" i="33"/>
  <c r="U41" i="33"/>
  <c r="T41" i="33" s="1"/>
  <c r="AE4" i="14"/>
  <c r="S26" i="14"/>
  <c r="S20" i="10"/>
  <c r="Z4" i="10"/>
  <c r="U91" i="35"/>
  <c r="T91" i="35" s="1"/>
  <c r="AJ11" i="35"/>
  <c r="AK4" i="5"/>
  <c r="V21" i="37"/>
  <c r="U72" i="34"/>
  <c r="N109" i="34"/>
  <c r="AI13" i="34"/>
  <c r="V111" i="34" s="1"/>
  <c r="AK13" i="34"/>
  <c r="AH13" i="34"/>
  <c r="N110" i="34"/>
  <c r="V5" i="33"/>
  <c r="S34" i="33" s="1"/>
  <c r="T5" i="33"/>
  <c r="AD5" i="33"/>
  <c r="U5" i="33"/>
  <c r="S42" i="33" s="1"/>
  <c r="S31" i="33"/>
  <c r="N5" i="33"/>
  <c r="R6" i="33"/>
  <c r="AG5" i="33"/>
  <c r="S5" i="33"/>
  <c r="AJ7" i="34"/>
  <c r="U51" i="34"/>
  <c r="T51" i="34" s="1"/>
  <c r="S26" i="4"/>
  <c r="H20" i="44"/>
  <c r="AE4" i="4"/>
  <c r="AE4" i="8"/>
  <c r="S26" i="8"/>
  <c r="S24" i="16"/>
  <c r="U102" i="33"/>
  <c r="S20" i="6"/>
  <c r="Z4" i="6"/>
  <c r="U22" i="24"/>
  <c r="V21" i="6"/>
  <c r="S24" i="5"/>
  <c r="U102" i="34"/>
  <c r="I16" i="45"/>
  <c r="I16" i="50"/>
  <c r="U31" i="37"/>
  <c r="T31" i="37" s="1"/>
  <c r="AJ5" i="37"/>
  <c r="U72" i="37"/>
  <c r="AI4" i="11"/>
  <c r="U22" i="33"/>
  <c r="Z4" i="14"/>
  <c r="S20" i="14"/>
  <c r="N90" i="14"/>
  <c r="N89" i="14"/>
  <c r="AI12" i="35"/>
  <c r="V101" i="35" s="1"/>
  <c r="AH12" i="35"/>
  <c r="AK12" i="35"/>
  <c r="N99" i="35"/>
  <c r="N100" i="35"/>
  <c r="N110" i="24"/>
  <c r="N109" i="24"/>
  <c r="N89" i="20"/>
  <c r="N90" i="20"/>
  <c r="N99" i="22"/>
  <c r="N100" i="22"/>
  <c r="AI4" i="14"/>
  <c r="AJ4" i="14" s="1"/>
  <c r="AE4" i="16"/>
  <c r="S26" i="16"/>
  <c r="AI4" i="8"/>
  <c r="S26" i="22"/>
  <c r="AE4" i="22"/>
  <c r="AJ10" i="33"/>
  <c r="U81" i="33"/>
  <c r="T81" i="33" s="1"/>
  <c r="AE4" i="10"/>
  <c r="S26" i="10"/>
  <c r="V21" i="24"/>
  <c r="U21" i="6"/>
  <c r="AJ4" i="6"/>
  <c r="U42" i="35"/>
  <c r="I15" i="45"/>
  <c r="AJ7" i="33"/>
  <c r="U51" i="33"/>
  <c r="T51" i="33" s="1"/>
  <c r="I15" i="50"/>
  <c r="U32" i="37"/>
  <c r="Z8" i="10"/>
  <c r="S60" i="10"/>
  <c r="S59" i="10" s="1"/>
  <c r="AH4" i="19"/>
  <c r="N5" i="11"/>
  <c r="AG5" i="11"/>
  <c r="AM5" i="11" s="1"/>
  <c r="R6" i="11"/>
  <c r="V5" i="11"/>
  <c r="S34" i="11" s="1"/>
  <c r="T5" i="11"/>
  <c r="U5" i="11"/>
  <c r="S42" i="11" s="1"/>
  <c r="AD5" i="11"/>
  <c r="S31" i="11"/>
  <c r="AJ4" i="33"/>
  <c r="U21" i="33"/>
  <c r="T21" i="33" s="1"/>
  <c r="AK4" i="11"/>
  <c r="S20" i="4"/>
  <c r="Z4" i="4"/>
  <c r="Q100" i="60"/>
  <c r="S12" i="60"/>
  <c r="AG12" i="60"/>
  <c r="AM12" i="60" s="1"/>
  <c r="U82" i="10"/>
  <c r="S24" i="4"/>
  <c r="AH4" i="8"/>
  <c r="S24" i="35"/>
  <c r="AI4" i="22"/>
  <c r="BC10" i="60"/>
  <c r="AL10" i="60"/>
  <c r="BB10" i="60"/>
  <c r="Z4" i="7"/>
  <c r="S20" i="7"/>
  <c r="Z11" i="10"/>
  <c r="S90" i="10"/>
  <c r="S89" i="10" s="1"/>
  <c r="S32" i="10"/>
  <c r="S24" i="6"/>
  <c r="S24" i="20"/>
  <c r="S24" i="7"/>
  <c r="AJ10" i="37"/>
  <c r="U81" i="37"/>
  <c r="T81" i="37" s="1"/>
  <c r="U82" i="35"/>
  <c r="U52" i="10"/>
  <c r="S24" i="19"/>
  <c r="AI4" i="19"/>
  <c r="U32" i="35"/>
  <c r="S24" i="11"/>
  <c r="AJ6" i="34"/>
  <c r="U41" i="34"/>
  <c r="T41" i="34" s="1"/>
  <c r="AJ9" i="10"/>
  <c r="U71" i="10"/>
  <c r="T71" i="10" s="1"/>
  <c r="AH4" i="11"/>
  <c r="Z4" i="17"/>
  <c r="S20" i="17"/>
  <c r="S103" i="60"/>
  <c r="N110" i="11"/>
  <c r="N109" i="11"/>
  <c r="AI13" i="33"/>
  <c r="V111" i="33" s="1"/>
  <c r="N109" i="33"/>
  <c r="N110" i="33"/>
  <c r="AH13" i="33"/>
  <c r="AK13" i="33"/>
  <c r="S5" i="24"/>
  <c r="AJ10" i="34"/>
  <c r="U81" i="34"/>
  <c r="T81" i="34" s="1"/>
  <c r="U62" i="34"/>
  <c r="U71" i="35"/>
  <c r="T71" i="35" s="1"/>
  <c r="AJ9" i="35"/>
  <c r="R6" i="4"/>
  <c r="V5" i="4"/>
  <c r="S34" i="4" s="1"/>
  <c r="AG5" i="4"/>
  <c r="AM5" i="4" s="1"/>
  <c r="U5" i="4"/>
  <c r="S42" i="4" s="1"/>
  <c r="T5" i="4"/>
  <c r="AD5" i="4"/>
  <c r="S31" i="4"/>
  <c r="N5" i="4"/>
  <c r="R6" i="14"/>
  <c r="V5" i="14"/>
  <c r="S34" i="14" s="1"/>
  <c r="AG5" i="14"/>
  <c r="AM5" i="14" s="1"/>
  <c r="U5" i="14"/>
  <c r="S42" i="14" s="1"/>
  <c r="AD5" i="14"/>
  <c r="T5" i="14"/>
  <c r="S31" i="14"/>
  <c r="U22" i="15"/>
  <c r="R6" i="16"/>
  <c r="V5" i="16"/>
  <c r="S34" i="16" s="1"/>
  <c r="T5" i="16"/>
  <c r="U5" i="16"/>
  <c r="S42" i="16" s="1"/>
  <c r="AD5" i="16"/>
  <c r="S31" i="16"/>
  <c r="AG5" i="16"/>
  <c r="AM5" i="16" s="1"/>
  <c r="N5" i="16"/>
  <c r="U102" i="10"/>
  <c r="U5" i="35"/>
  <c r="S42" i="35" s="1"/>
  <c r="AD5" i="35"/>
  <c r="T5" i="35"/>
  <c r="S31" i="35"/>
  <c r="AG5" i="35"/>
  <c r="N5" i="35"/>
  <c r="R6" i="35"/>
  <c r="V5" i="35"/>
  <c r="S34" i="35" s="1"/>
  <c r="S5" i="35"/>
  <c r="S100" i="10"/>
  <c r="S99" i="10" s="1"/>
  <c r="Z12" i="10"/>
  <c r="AJ4" i="35"/>
  <c r="U21" i="35"/>
  <c r="AH4" i="22"/>
  <c r="U82" i="33"/>
  <c r="S35" i="20"/>
  <c r="AE4" i="6"/>
  <c r="S26" i="6"/>
  <c r="T5" i="20"/>
  <c r="S31" i="20"/>
  <c r="U5" i="20"/>
  <c r="S42" i="20" s="1"/>
  <c r="AD5" i="20"/>
  <c r="R6" i="20"/>
  <c r="S6" i="20" s="1"/>
  <c r="AG5" i="20"/>
  <c r="AM5" i="20" s="1"/>
  <c r="V5" i="20"/>
  <c r="S34" i="20" s="1"/>
  <c r="S26" i="7"/>
  <c r="AE4" i="7"/>
  <c r="U82" i="37"/>
  <c r="AJ10" i="35"/>
  <c r="U81" i="35"/>
  <c r="T81" i="35" s="1"/>
  <c r="AJ8" i="33"/>
  <c r="U61" i="33"/>
  <c r="T61" i="33" s="1"/>
  <c r="U51" i="10"/>
  <c r="T51" i="10" s="1"/>
  <c r="AJ7" i="10"/>
  <c r="AK4" i="20"/>
  <c r="AH4" i="7"/>
  <c r="S20" i="33"/>
  <c r="Z4" i="33"/>
  <c r="N100" i="60"/>
  <c r="N99" i="60"/>
  <c r="AI12" i="60"/>
  <c r="V101" i="60" s="1"/>
  <c r="AH12" i="60"/>
  <c r="AK12" i="60"/>
  <c r="U102" i="60" s="1"/>
  <c r="AM11" i="37"/>
  <c r="O87" i="40"/>
  <c r="U119" i="33"/>
  <c r="U109" i="5"/>
  <c r="U119" i="11"/>
  <c r="U99" i="20"/>
  <c r="T71" i="40"/>
  <c r="V129" i="10"/>
  <c r="O45" i="15"/>
  <c r="E108" i="40"/>
  <c r="V29" i="8"/>
  <c r="Q69" i="40"/>
  <c r="T74" i="40"/>
  <c r="G31" i="40"/>
  <c r="G34" i="40"/>
  <c r="O45" i="4"/>
  <c r="K108" i="40"/>
  <c r="G35" i="40"/>
  <c r="AO13" i="60"/>
  <c r="AP7" i="10"/>
  <c r="Q8" i="4"/>
  <c r="AZ14" i="35"/>
  <c r="AZ13" i="14"/>
  <c r="AZ15" i="19"/>
  <c r="P14" i="22"/>
  <c r="R71" i="40"/>
  <c r="AO16" i="6"/>
  <c r="U119" i="4"/>
  <c r="V119" i="33"/>
  <c r="U129" i="24"/>
  <c r="Q35" i="15"/>
  <c r="U129" i="34"/>
  <c r="Q35" i="22"/>
  <c r="Q35" i="10"/>
  <c r="P27" i="40"/>
  <c r="T68" i="40"/>
  <c r="V29" i="15"/>
  <c r="Q127" i="40"/>
  <c r="S27" i="40"/>
  <c r="O45" i="8"/>
  <c r="O45" i="37"/>
  <c r="N127" i="40"/>
  <c r="C87" i="40"/>
  <c r="B127" i="40"/>
  <c r="M127" i="40"/>
  <c r="N27" i="40"/>
  <c r="T67" i="40"/>
  <c r="P108" i="40"/>
  <c r="AQ6" i="4"/>
  <c r="AP6" i="24"/>
  <c r="AQ5" i="11"/>
  <c r="AP6" i="14"/>
  <c r="Q6" i="19"/>
  <c r="AO14" i="34"/>
  <c r="AZ15" i="16"/>
  <c r="AO13" i="7"/>
  <c r="AO13" i="5"/>
  <c r="AO12" i="37"/>
  <c r="U119" i="34"/>
  <c r="V29" i="22"/>
  <c r="R72" i="40"/>
  <c r="S67" i="40"/>
  <c r="O127" i="40"/>
  <c r="G98" i="40"/>
  <c r="O45" i="34"/>
  <c r="V29" i="7"/>
  <c r="V29" i="6"/>
  <c r="Q27" i="40"/>
  <c r="R108" i="40"/>
  <c r="T95" i="40"/>
  <c r="H87" i="40"/>
  <c r="V29" i="4"/>
  <c r="O45" i="20"/>
  <c r="G70" i="40"/>
  <c r="V89" i="37"/>
  <c r="Q7" i="22"/>
  <c r="AQ5" i="8"/>
  <c r="AP6" i="19"/>
  <c r="AP8" i="4"/>
  <c r="AO13" i="35"/>
  <c r="AO15" i="24"/>
  <c r="AZ14" i="22"/>
  <c r="U109" i="35"/>
  <c r="U129" i="11"/>
  <c r="O45" i="22"/>
  <c r="V29" i="10"/>
  <c r="R68" i="40"/>
  <c r="O45" i="24"/>
  <c r="F27" i="40"/>
  <c r="O45" i="6"/>
  <c r="S72" i="40"/>
  <c r="O45" i="17"/>
  <c r="L127" i="40"/>
  <c r="R69" i="40"/>
  <c r="F127" i="40"/>
  <c r="K27" i="40"/>
  <c r="T108" i="40"/>
  <c r="V29" i="20"/>
  <c r="P87" i="40"/>
  <c r="AQ5" i="7"/>
  <c r="AP6" i="22"/>
  <c r="Q7" i="20"/>
  <c r="AO15" i="33"/>
  <c r="AO14" i="24"/>
  <c r="AO12" i="14"/>
  <c r="P14" i="7"/>
  <c r="AZ13" i="37"/>
  <c r="AO14" i="4"/>
  <c r="AZ15" i="5"/>
  <c r="P13" i="37"/>
  <c r="AZ14" i="5"/>
  <c r="AO15" i="4"/>
  <c r="T72" i="40"/>
  <c r="V109" i="35"/>
  <c r="Q35" i="8"/>
  <c r="O45" i="10"/>
  <c r="L108" i="40"/>
  <c r="S108" i="40"/>
  <c r="V29" i="24"/>
  <c r="S127" i="40"/>
  <c r="Q35" i="37"/>
  <c r="D87" i="40"/>
  <c r="G33" i="40"/>
  <c r="D67" i="40"/>
  <c r="V29" i="11"/>
  <c r="B27" i="40"/>
  <c r="R96" i="40"/>
  <c r="AQ5" i="24"/>
  <c r="Q7" i="17"/>
  <c r="Q6" i="16"/>
  <c r="AP7" i="20"/>
  <c r="AO16" i="10"/>
  <c r="P14" i="5"/>
  <c r="U109" i="7"/>
  <c r="Q45" i="24"/>
  <c r="O45" i="19"/>
  <c r="Q135" i="10"/>
  <c r="C127" i="40"/>
  <c r="R75" i="40"/>
  <c r="R67" i="40"/>
  <c r="AQ16" i="35"/>
  <c r="Q6" i="14"/>
  <c r="P14" i="35"/>
  <c r="Q35" i="6"/>
  <c r="B87" i="40"/>
  <c r="G32" i="40"/>
  <c r="P127" i="40"/>
  <c r="G97" i="40"/>
  <c r="R127" i="40"/>
  <c r="H127" i="40"/>
  <c r="Q70" i="40"/>
  <c r="Q35" i="5"/>
  <c r="E87" i="40"/>
  <c r="S74" i="40"/>
  <c r="Q72" i="40"/>
  <c r="K127" i="40"/>
  <c r="O45" i="11"/>
  <c r="B108" i="40"/>
  <c r="O45" i="16"/>
  <c r="AP14" i="60"/>
  <c r="AZ15" i="60"/>
  <c r="AP6" i="7"/>
  <c r="AQ5" i="14"/>
  <c r="Q6" i="6"/>
  <c r="AP6" i="16"/>
  <c r="AO14" i="33"/>
  <c r="AO13" i="22"/>
  <c r="AZ14" i="7"/>
  <c r="P15" i="4"/>
  <c r="P14" i="19"/>
  <c r="P16" i="10"/>
  <c r="AZ14" i="19"/>
  <c r="Q35" i="14"/>
  <c r="U109" i="19"/>
  <c r="V29" i="19"/>
  <c r="C67" i="40"/>
  <c r="S68" i="40"/>
  <c r="J127" i="40"/>
  <c r="F108" i="40"/>
  <c r="R74" i="40"/>
  <c r="O45" i="5"/>
  <c r="O45" i="33"/>
  <c r="I127" i="40"/>
  <c r="Q35" i="24"/>
  <c r="E127" i="40"/>
  <c r="R27" i="40"/>
  <c r="Q7" i="7"/>
  <c r="AQ5" i="20"/>
  <c r="AQ6" i="5"/>
  <c r="AQ5" i="19"/>
  <c r="AP7" i="17"/>
  <c r="Q7" i="11"/>
  <c r="AZ15" i="35"/>
  <c r="P13" i="20"/>
  <c r="AO13" i="16"/>
  <c r="AZ15" i="22"/>
  <c r="AZ14" i="16"/>
  <c r="AZ15" i="7"/>
  <c r="T70" i="40"/>
  <c r="T69" i="40"/>
  <c r="V29" i="16"/>
  <c r="AO12" i="20"/>
  <c r="Q35" i="16"/>
  <c r="U109" i="16"/>
  <c r="U109" i="60"/>
  <c r="U99" i="14"/>
  <c r="I108" i="40"/>
  <c r="G108" i="40"/>
  <c r="Q94" i="40"/>
  <c r="T127" i="40"/>
  <c r="H27" i="40"/>
  <c r="V119" i="10"/>
  <c r="O27" i="40"/>
  <c r="M27" i="40"/>
  <c r="O108" i="40"/>
  <c r="I27" i="40"/>
  <c r="F87" i="40"/>
  <c r="C108" i="40"/>
  <c r="Q35" i="17"/>
  <c r="L27" i="40"/>
  <c r="Q67" i="40"/>
  <c r="Q105" i="60"/>
  <c r="S73" i="40"/>
  <c r="D127" i="40"/>
  <c r="P14" i="60"/>
  <c r="AP6" i="10"/>
  <c r="Q6" i="15"/>
  <c r="AQ7" i="4"/>
  <c r="AP6" i="6"/>
  <c r="Q6" i="8"/>
  <c r="AP7" i="11"/>
  <c r="P15" i="33"/>
  <c r="AZ13" i="20"/>
  <c r="AO13" i="19"/>
  <c r="AO15" i="11"/>
  <c r="G76" i="40"/>
  <c r="U119" i="24"/>
  <c r="Q35" i="11"/>
  <c r="Q35" i="20"/>
  <c r="S71" i="40"/>
  <c r="G71" i="40"/>
  <c r="Q35" i="34"/>
  <c r="G67" i="40"/>
  <c r="D108" i="40"/>
  <c r="AQ13" i="60"/>
  <c r="Q71" i="40"/>
  <c r="S96" i="40"/>
  <c r="Q35" i="33"/>
  <c r="R73" i="40"/>
  <c r="R70" i="40"/>
  <c r="V99" i="60"/>
  <c r="S69" i="40"/>
  <c r="O45" i="14"/>
  <c r="O45" i="35"/>
  <c r="AZ14" i="60"/>
  <c r="AQ5" i="10"/>
  <c r="P16" i="6"/>
  <c r="Q7" i="5"/>
  <c r="AP6" i="8"/>
  <c r="AO15" i="34"/>
  <c r="P15" i="11"/>
  <c r="AQ16" i="33"/>
  <c r="G30" i="40"/>
  <c r="V29" i="5"/>
  <c r="AQ5" i="16"/>
  <c r="U99" i="37"/>
  <c r="U129" i="4"/>
  <c r="G36" i="40"/>
  <c r="J63" i="58" s="1"/>
  <c r="J108" i="40"/>
  <c r="Q125" i="10"/>
  <c r="I87" i="40"/>
  <c r="AQ5" i="4"/>
  <c r="O45" i="7"/>
  <c r="Q108" i="40"/>
  <c r="V29" i="17"/>
  <c r="S75" i="40"/>
  <c r="G27" i="40"/>
  <c r="S70" i="40"/>
  <c r="H108" i="40"/>
  <c r="E27" i="40"/>
  <c r="M108" i="40"/>
  <c r="T73" i="40"/>
  <c r="AQ5" i="15"/>
  <c r="Q6" i="17"/>
  <c r="AP6" i="15"/>
  <c r="AQ5" i="6"/>
  <c r="AP7" i="5"/>
  <c r="Q35" i="19"/>
  <c r="U109" i="22"/>
  <c r="U129" i="33"/>
  <c r="G73" i="40"/>
  <c r="C27" i="40"/>
  <c r="J87" i="40"/>
  <c r="J27" i="40"/>
  <c r="T27" i="40"/>
  <c r="G74" i="40"/>
  <c r="D27" i="40"/>
  <c r="Q68" i="40"/>
  <c r="G127" i="40"/>
  <c r="Q73" i="40"/>
  <c r="G72" i="40"/>
  <c r="V29" i="14"/>
  <c r="Q35" i="35"/>
  <c r="AQ5" i="17"/>
  <c r="AP6" i="17"/>
  <c r="AQ5" i="22"/>
  <c r="P15" i="34"/>
  <c r="P15" i="24"/>
  <c r="P14" i="16"/>
  <c r="AO14" i="11"/>
  <c r="G75" i="40"/>
  <c r="N108" i="40"/>
  <c r="P13" i="14"/>
  <c r="L67" i="40"/>
  <c r="K67" i="40"/>
  <c r="V129" i="34"/>
  <c r="V99" i="37"/>
  <c r="Q45" i="20"/>
  <c r="Q14" i="35"/>
  <c r="Q13" i="37"/>
  <c r="Q15" i="35"/>
  <c r="U24" i="57"/>
  <c r="V74" i="60" l="1"/>
  <c r="U76" i="60" s="1"/>
  <c r="T21" i="34"/>
  <c r="S19" i="14"/>
  <c r="S19" i="34"/>
  <c r="I16" i="51"/>
  <c r="S19" i="17"/>
  <c r="Z5" i="7"/>
  <c r="BC5" i="7" s="1"/>
  <c r="Z5" i="4"/>
  <c r="BC5" i="4" s="1"/>
  <c r="T21" i="10"/>
  <c r="S19" i="5"/>
  <c r="I15" i="51"/>
  <c r="AA10" i="60"/>
  <c r="V84" i="60" s="1"/>
  <c r="U86" i="60" s="1"/>
  <c r="T21" i="37"/>
  <c r="Q130" i="35"/>
  <c r="Q110" i="37"/>
  <c r="Q120" i="35"/>
  <c r="N118" i="14"/>
  <c r="N128" i="16"/>
  <c r="N138" i="24"/>
  <c r="N138" i="34"/>
  <c r="Q48" i="22"/>
  <c r="Q48" i="17"/>
  <c r="Q48" i="6"/>
  <c r="S6" i="17"/>
  <c r="Q40" i="17"/>
  <c r="W6" i="17"/>
  <c r="Q48" i="15"/>
  <c r="Q48" i="4"/>
  <c r="Q48" i="16"/>
  <c r="AQ17" i="33"/>
  <c r="N138" i="11"/>
  <c r="Q50" i="5"/>
  <c r="Q48" i="10"/>
  <c r="AN14" i="60"/>
  <c r="Q14" i="60"/>
  <c r="Q128" i="60"/>
  <c r="AN13" i="20"/>
  <c r="N138" i="33"/>
  <c r="S6" i="8"/>
  <c r="Q40" i="8"/>
  <c r="W6" i="8"/>
  <c r="Q68" i="4"/>
  <c r="S6" i="15"/>
  <c r="Q40" i="15"/>
  <c r="W6" i="15"/>
  <c r="N128" i="60"/>
  <c r="AN15" i="7"/>
  <c r="AN14" i="16"/>
  <c r="AN15" i="22"/>
  <c r="N118" i="20"/>
  <c r="AN15" i="35"/>
  <c r="AM15" i="35" s="1"/>
  <c r="W15" i="35"/>
  <c r="AG7" i="11"/>
  <c r="AM7" i="11" s="1"/>
  <c r="S7" i="11"/>
  <c r="Q50" i="11"/>
  <c r="Q48" i="19"/>
  <c r="Q58" i="5"/>
  <c r="Q48" i="20"/>
  <c r="Q50" i="7"/>
  <c r="AN14" i="19"/>
  <c r="N128" i="19"/>
  <c r="N138" i="4"/>
  <c r="AN14" i="7"/>
  <c r="S6" i="6"/>
  <c r="Q40" i="6"/>
  <c r="W6" i="6"/>
  <c r="Q48" i="14"/>
  <c r="W15" i="60"/>
  <c r="AN15" i="60"/>
  <c r="Q15" i="60"/>
  <c r="N128" i="35"/>
  <c r="Q40" i="14"/>
  <c r="S6" i="14"/>
  <c r="W6" i="14"/>
  <c r="AQ17" i="35"/>
  <c r="N128" i="5"/>
  <c r="S6" i="16"/>
  <c r="Q40" i="16"/>
  <c r="W6" i="16"/>
  <c r="Q50" i="17"/>
  <c r="Q48" i="24"/>
  <c r="AN14" i="5"/>
  <c r="N118" i="37"/>
  <c r="AN15" i="5"/>
  <c r="AN13" i="37"/>
  <c r="AM13" i="37" s="1"/>
  <c r="N128" i="7"/>
  <c r="Q50" i="20"/>
  <c r="Q48" i="7"/>
  <c r="AN14" i="22"/>
  <c r="Q48" i="8"/>
  <c r="Q50" i="22"/>
  <c r="AN15" i="16"/>
  <c r="S6" i="19"/>
  <c r="Q40" i="19"/>
  <c r="W6" i="19"/>
  <c r="Q48" i="11"/>
  <c r="Q58" i="4"/>
  <c r="N128" i="22"/>
  <c r="AN15" i="19"/>
  <c r="AN13" i="14"/>
  <c r="AN14" i="35"/>
  <c r="AM14" i="35" s="1"/>
  <c r="Q60" i="4"/>
  <c r="S40" i="20"/>
  <c r="S36" i="17"/>
  <c r="AE5" i="17"/>
  <c r="S30" i="35"/>
  <c r="Z5" i="35"/>
  <c r="AI5" i="14"/>
  <c r="V31" i="14" s="1"/>
  <c r="AH5" i="14"/>
  <c r="AK5" i="14"/>
  <c r="S19" i="7"/>
  <c r="T23" i="10"/>
  <c r="V23" i="10"/>
  <c r="AL4" i="6"/>
  <c r="BC4" i="6"/>
  <c r="BB4" i="6"/>
  <c r="BB4" i="35"/>
  <c r="AL4" i="35"/>
  <c r="BC4" i="35"/>
  <c r="AA4" i="35"/>
  <c r="V21" i="16"/>
  <c r="BC4" i="19"/>
  <c r="AL4" i="19"/>
  <c r="BB4" i="19"/>
  <c r="U22" i="19"/>
  <c r="BC4" i="5"/>
  <c r="AL4" i="5"/>
  <c r="BB4" i="5"/>
  <c r="AK15" i="33"/>
  <c r="AI15" i="33"/>
  <c r="V131" i="33" s="1"/>
  <c r="AH15" i="33"/>
  <c r="N129" i="33"/>
  <c r="N109" i="22"/>
  <c r="N110" i="22"/>
  <c r="S30" i="19"/>
  <c r="Z5" i="19"/>
  <c r="AJ12" i="60"/>
  <c r="U101" i="60"/>
  <c r="T101" i="60" s="1"/>
  <c r="AE5" i="16"/>
  <c r="S36" i="16"/>
  <c r="BB4" i="7"/>
  <c r="AL4" i="7"/>
  <c r="BC4" i="7"/>
  <c r="AE5" i="11"/>
  <c r="S36" i="11"/>
  <c r="S19" i="6"/>
  <c r="AJ13" i="34"/>
  <c r="U111" i="34"/>
  <c r="T111" i="34" s="1"/>
  <c r="BC4" i="10"/>
  <c r="AL4" i="10"/>
  <c r="BB4" i="10"/>
  <c r="AI5" i="17"/>
  <c r="V31" i="17" s="1"/>
  <c r="AH5" i="17"/>
  <c r="AK5" i="17"/>
  <c r="S19" i="35"/>
  <c r="S36" i="37"/>
  <c r="AE5" i="37"/>
  <c r="S45" i="17"/>
  <c r="S6" i="7"/>
  <c r="R7" i="7"/>
  <c r="S7" i="7" s="1"/>
  <c r="V6" i="7"/>
  <c r="AG6" i="7"/>
  <c r="AM6" i="7" s="1"/>
  <c r="U6" i="7"/>
  <c r="S52" i="7" s="1"/>
  <c r="T6" i="7"/>
  <c r="AD6" i="7"/>
  <c r="S41" i="7"/>
  <c r="N6" i="7"/>
  <c r="S19" i="19"/>
  <c r="U22" i="22"/>
  <c r="Z14" i="10"/>
  <c r="S120" i="10"/>
  <c r="S119" i="10" s="1"/>
  <c r="AE5" i="19"/>
  <c r="S36" i="19"/>
  <c r="AL13" i="10"/>
  <c r="BC13" i="10"/>
  <c r="BB13" i="10"/>
  <c r="N129" i="4"/>
  <c r="N100" i="37"/>
  <c r="N99" i="37"/>
  <c r="AI12" i="37"/>
  <c r="AK12" i="37"/>
  <c r="AH12" i="37"/>
  <c r="AI5" i="5"/>
  <c r="AH5" i="5"/>
  <c r="AK5" i="5"/>
  <c r="BC7" i="10"/>
  <c r="AL7" i="10"/>
  <c r="BB7" i="10"/>
  <c r="AD6" i="35"/>
  <c r="T6" i="35"/>
  <c r="S41" i="35"/>
  <c r="U6" i="35"/>
  <c r="S52" i="35" s="1"/>
  <c r="N6" i="35"/>
  <c r="AG6" i="35"/>
  <c r="V6" i="35"/>
  <c r="S44" i="35" s="1"/>
  <c r="R7" i="35"/>
  <c r="S6" i="35"/>
  <c r="U6" i="14"/>
  <c r="S52" i="14" s="1"/>
  <c r="V6" i="14"/>
  <c r="S44" i="14" s="1"/>
  <c r="T6" i="14"/>
  <c r="AD6" i="14"/>
  <c r="S41" i="14"/>
  <c r="N6" i="14"/>
  <c r="AG6" i="14"/>
  <c r="AM6" i="14" s="1"/>
  <c r="R7" i="14"/>
  <c r="Z5" i="33"/>
  <c r="S30" i="33"/>
  <c r="U112" i="34"/>
  <c r="S19" i="10"/>
  <c r="AE5" i="6"/>
  <c r="S36" i="6"/>
  <c r="U21" i="16"/>
  <c r="AJ4" i="16"/>
  <c r="S19" i="22"/>
  <c r="V21" i="17"/>
  <c r="Z5" i="34"/>
  <c r="S30" i="34"/>
  <c r="Z5" i="20"/>
  <c r="S30" i="20"/>
  <c r="Z5" i="11"/>
  <c r="S30" i="11"/>
  <c r="S103" i="37"/>
  <c r="Q110" i="60"/>
  <c r="S13" i="60"/>
  <c r="AG13" i="60"/>
  <c r="AM13" i="60" s="1"/>
  <c r="P31" i="24"/>
  <c r="N119" i="24"/>
  <c r="N120" i="24"/>
  <c r="T23" i="6"/>
  <c r="V23" i="6"/>
  <c r="Z12" i="60"/>
  <c r="S100" i="60"/>
  <c r="S99" i="60" s="1"/>
  <c r="AL4" i="15"/>
  <c r="BC4" i="15"/>
  <c r="BB4" i="15"/>
  <c r="S30" i="17"/>
  <c r="Z5" i="17"/>
  <c r="AE5" i="5"/>
  <c r="S36" i="5"/>
  <c r="U22" i="8"/>
  <c r="AJ4" i="17"/>
  <c r="U21" i="17"/>
  <c r="U21" i="24"/>
  <c r="T21" i="24" s="1"/>
  <c r="AJ4" i="24"/>
  <c r="AL4" i="22"/>
  <c r="BC4" i="22"/>
  <c r="BB4" i="22"/>
  <c r="AE5" i="24"/>
  <c r="S36" i="24"/>
  <c r="BC4" i="16"/>
  <c r="BB4" i="16"/>
  <c r="AL4" i="16"/>
  <c r="U121" i="10"/>
  <c r="T121" i="10" s="1"/>
  <c r="AJ14" i="10"/>
  <c r="T21" i="5"/>
  <c r="BC4" i="24"/>
  <c r="AL4" i="24"/>
  <c r="BB4" i="24"/>
  <c r="AL4" i="11"/>
  <c r="BC4" i="11"/>
  <c r="BB4" i="11"/>
  <c r="V23" i="35"/>
  <c r="T23" i="35"/>
  <c r="U92" i="37"/>
  <c r="AE5" i="10"/>
  <c r="S36" i="10"/>
  <c r="AE5" i="22"/>
  <c r="S36" i="22"/>
  <c r="N100" i="14"/>
  <c r="N99" i="14"/>
  <c r="N110" i="60"/>
  <c r="N109" i="60"/>
  <c r="AH13" i="60"/>
  <c r="AI13" i="60"/>
  <c r="V111" i="60" s="1"/>
  <c r="AK13" i="60"/>
  <c r="U112" i="60" s="1"/>
  <c r="N109" i="16"/>
  <c r="N110" i="16"/>
  <c r="Z5" i="16"/>
  <c r="S30" i="16"/>
  <c r="S29" i="16" s="1"/>
  <c r="AK5" i="16"/>
  <c r="AI5" i="16"/>
  <c r="V31" i="16" s="1"/>
  <c r="AH5" i="16"/>
  <c r="BB4" i="33"/>
  <c r="BC4" i="33"/>
  <c r="H22" i="44"/>
  <c r="AL4" i="33"/>
  <c r="AA4" i="33"/>
  <c r="T23" i="7"/>
  <c r="V23" i="7"/>
  <c r="Z5" i="24"/>
  <c r="S30" i="24"/>
  <c r="T23" i="22"/>
  <c r="V23" i="22"/>
  <c r="V6" i="33"/>
  <c r="AG6" i="33"/>
  <c r="R7" i="33"/>
  <c r="AD6" i="33"/>
  <c r="T6" i="33"/>
  <c r="U6" i="33"/>
  <c r="S52" i="33" s="1"/>
  <c r="S41" i="33"/>
  <c r="N6" i="33"/>
  <c r="S6" i="33"/>
  <c r="S19" i="15"/>
  <c r="R7" i="5"/>
  <c r="V6" i="5"/>
  <c r="S44" i="5" s="1"/>
  <c r="AG6" i="5"/>
  <c r="AM6" i="5" s="1"/>
  <c r="U6" i="5"/>
  <c r="S52" i="5" s="1"/>
  <c r="AD6" i="5"/>
  <c r="T6" i="5"/>
  <c r="S41" i="5"/>
  <c r="N6" i="5"/>
  <c r="AE5" i="8"/>
  <c r="S36" i="8"/>
  <c r="V23" i="19"/>
  <c r="T23" i="19"/>
  <c r="S19" i="16"/>
  <c r="S19" i="24"/>
  <c r="S19" i="11"/>
  <c r="AJ11" i="37"/>
  <c r="U91" i="37"/>
  <c r="T91" i="37" s="1"/>
  <c r="AK5" i="19"/>
  <c r="AI5" i="19"/>
  <c r="V31" i="19" s="1"/>
  <c r="AH5" i="19"/>
  <c r="R45" i="20"/>
  <c r="Y16" i="20"/>
  <c r="N110" i="19"/>
  <c r="N109" i="19"/>
  <c r="S43" i="7"/>
  <c r="S43" i="5"/>
  <c r="Z5" i="14"/>
  <c r="S30" i="14"/>
  <c r="S19" i="33"/>
  <c r="U6" i="16"/>
  <c r="S52" i="16" s="1"/>
  <c r="T6" i="16"/>
  <c r="S41" i="16"/>
  <c r="N6" i="16"/>
  <c r="AD6" i="16"/>
  <c r="R7" i="16"/>
  <c r="V6" i="16"/>
  <c r="S44" i="16" s="1"/>
  <c r="AG6" i="16"/>
  <c r="AM6" i="16" s="1"/>
  <c r="H20" i="45"/>
  <c r="S36" i="4"/>
  <c r="S29" i="4" s="1"/>
  <c r="AE5" i="4"/>
  <c r="V6" i="11"/>
  <c r="S44" i="11" s="1"/>
  <c r="AG6" i="11"/>
  <c r="AM6" i="11" s="1"/>
  <c r="T6" i="11"/>
  <c r="T16" i="11" s="1"/>
  <c r="U6" i="11"/>
  <c r="AD6" i="11"/>
  <c r="S41" i="11"/>
  <c r="N6" i="11"/>
  <c r="T23" i="14"/>
  <c r="V23" i="14"/>
  <c r="U22" i="7"/>
  <c r="S30" i="5"/>
  <c r="Z5" i="5"/>
  <c r="V23" i="11"/>
  <c r="T23" i="11"/>
  <c r="V23" i="33"/>
  <c r="T23" i="33"/>
  <c r="U122" i="10"/>
  <c r="V23" i="20"/>
  <c r="T23" i="20"/>
  <c r="AJ4" i="4"/>
  <c r="V21" i="4"/>
  <c r="BC9" i="10"/>
  <c r="AL9" i="10"/>
  <c r="BB9" i="10"/>
  <c r="U22" i="4"/>
  <c r="H33" i="44"/>
  <c r="P45" i="20"/>
  <c r="N6" i="20"/>
  <c r="X16" i="20"/>
  <c r="S30" i="6"/>
  <c r="Z5" i="6"/>
  <c r="S43" i="20"/>
  <c r="T23" i="5"/>
  <c r="V23" i="5"/>
  <c r="Z15" i="10"/>
  <c r="S130" i="10"/>
  <c r="S129" i="10" s="1"/>
  <c r="AG6" i="19"/>
  <c r="AM6" i="19" s="1"/>
  <c r="R7" i="19"/>
  <c r="AD6" i="19"/>
  <c r="V6" i="19"/>
  <c r="T6" i="19"/>
  <c r="U6" i="19"/>
  <c r="S52" i="19" s="1"/>
  <c r="S41" i="19"/>
  <c r="N6" i="19"/>
  <c r="S40" i="24"/>
  <c r="S133" i="33"/>
  <c r="W16" i="33"/>
  <c r="N110" i="7"/>
  <c r="N109" i="7"/>
  <c r="AJ4" i="7"/>
  <c r="U21" i="7"/>
  <c r="T21" i="7" s="1"/>
  <c r="U21" i="22"/>
  <c r="AJ4" i="22"/>
  <c r="U112" i="33"/>
  <c r="V21" i="19"/>
  <c r="H19" i="44"/>
  <c r="BB4" i="4"/>
  <c r="AL4" i="4"/>
  <c r="BC4" i="4"/>
  <c r="AI5" i="11"/>
  <c r="V31" i="11" s="1"/>
  <c r="AH5" i="11"/>
  <c r="AK5" i="11"/>
  <c r="V21" i="8"/>
  <c r="BC10" i="10"/>
  <c r="AL10" i="10"/>
  <c r="BB10" i="10"/>
  <c r="U22" i="6"/>
  <c r="Z5" i="37"/>
  <c r="S30" i="37"/>
  <c r="T23" i="34"/>
  <c r="V23" i="34"/>
  <c r="AK5" i="24"/>
  <c r="AI5" i="24"/>
  <c r="AH5" i="24"/>
  <c r="AE5" i="34"/>
  <c r="S36" i="34"/>
  <c r="AE5" i="15"/>
  <c r="S36" i="15"/>
  <c r="V21" i="20"/>
  <c r="AG6" i="10"/>
  <c r="AM6" i="10" s="1"/>
  <c r="T6" i="10"/>
  <c r="T16" i="10" s="1"/>
  <c r="S41" i="10"/>
  <c r="U6" i="10"/>
  <c r="AD6" i="10"/>
  <c r="N6" i="10"/>
  <c r="V6" i="10"/>
  <c r="S6" i="5"/>
  <c r="S43" i="22"/>
  <c r="Z5" i="8"/>
  <c r="S30" i="8"/>
  <c r="U22" i="20"/>
  <c r="AI5" i="20"/>
  <c r="V31" i="20" s="1"/>
  <c r="AH5" i="20"/>
  <c r="AK5" i="20"/>
  <c r="S36" i="35"/>
  <c r="AE5" i="35"/>
  <c r="U111" i="33"/>
  <c r="T111" i="33" s="1"/>
  <c r="AJ13" i="33"/>
  <c r="V21" i="22"/>
  <c r="S19" i="4"/>
  <c r="T21" i="6"/>
  <c r="AL4" i="14"/>
  <c r="BC4" i="14"/>
  <c r="BB4" i="14"/>
  <c r="V23" i="8"/>
  <c r="T23" i="8"/>
  <c r="T23" i="15"/>
  <c r="V23" i="15"/>
  <c r="U6" i="17"/>
  <c r="S52" i="17" s="1"/>
  <c r="AD6" i="17"/>
  <c r="R7" i="17"/>
  <c r="V6" i="17"/>
  <c r="S44" i="17" s="1"/>
  <c r="AG6" i="17"/>
  <c r="AM6" i="17" s="1"/>
  <c r="T6" i="17"/>
  <c r="S41" i="17"/>
  <c r="S19" i="37"/>
  <c r="R7" i="6"/>
  <c r="V6" i="6"/>
  <c r="AG6" i="6"/>
  <c r="AM6" i="6" s="1"/>
  <c r="AD6" i="6"/>
  <c r="U6" i="6"/>
  <c r="S52" i="6" s="1"/>
  <c r="T6" i="6"/>
  <c r="S41" i="6"/>
  <c r="N6" i="6"/>
  <c r="V21" i="15"/>
  <c r="T21" i="15" s="1"/>
  <c r="BC4" i="8"/>
  <c r="BB4" i="8"/>
  <c r="AL4" i="8"/>
  <c r="R7" i="24"/>
  <c r="AG6" i="24"/>
  <c r="AM6" i="24" s="1"/>
  <c r="V6" i="24"/>
  <c r="S44" i="24" s="1"/>
  <c r="U6" i="24"/>
  <c r="S52" i="24" s="1"/>
  <c r="AD6" i="24"/>
  <c r="T6" i="24"/>
  <c r="S41" i="24"/>
  <c r="N6" i="24"/>
  <c r="AH5" i="10"/>
  <c r="AK5" i="10"/>
  <c r="AI5" i="10"/>
  <c r="R7" i="22"/>
  <c r="V6" i="22"/>
  <c r="AG6" i="22"/>
  <c r="AM6" i="22" s="1"/>
  <c r="AD6" i="22"/>
  <c r="T6" i="22"/>
  <c r="U6" i="22"/>
  <c r="S52" i="22" s="1"/>
  <c r="S41" i="22"/>
  <c r="N6" i="22"/>
  <c r="S43" i="11"/>
  <c r="N129" i="11"/>
  <c r="R45" i="15"/>
  <c r="Y16" i="15"/>
  <c r="S6" i="22"/>
  <c r="AH13" i="35"/>
  <c r="AK13" i="35"/>
  <c r="AI13" i="35"/>
  <c r="V111" i="35" s="1"/>
  <c r="N109" i="35"/>
  <c r="N110" i="35"/>
  <c r="AG6" i="20"/>
  <c r="AM6" i="20" s="1"/>
  <c r="R7" i="20"/>
  <c r="AD6" i="20"/>
  <c r="T6" i="20"/>
  <c r="U6" i="20"/>
  <c r="S52" i="20" s="1"/>
  <c r="V6" i="20"/>
  <c r="S44" i="20" s="1"/>
  <c r="S41" i="20"/>
  <c r="T21" i="35"/>
  <c r="AH5" i="4"/>
  <c r="AK5" i="4"/>
  <c r="AI5" i="4"/>
  <c r="V31" i="4" s="1"/>
  <c r="U22" i="11"/>
  <c r="U21" i="19"/>
  <c r="AJ4" i="19"/>
  <c r="U102" i="35"/>
  <c r="AE5" i="33"/>
  <c r="S36" i="33"/>
  <c r="BC11" i="60"/>
  <c r="BB11" i="60"/>
  <c r="AL11" i="60"/>
  <c r="AL4" i="37"/>
  <c r="BC4" i="37"/>
  <c r="BB4" i="37"/>
  <c r="AA4" i="37"/>
  <c r="AI5" i="6"/>
  <c r="AH5" i="6"/>
  <c r="AK5" i="6"/>
  <c r="S19" i="8"/>
  <c r="AH5" i="7"/>
  <c r="AK5" i="7"/>
  <c r="AI5" i="7"/>
  <c r="V6" i="34"/>
  <c r="S44" i="34" s="1"/>
  <c r="AD6" i="34"/>
  <c r="S41" i="34"/>
  <c r="U6" i="34"/>
  <c r="S52" i="34" s="1"/>
  <c r="N6" i="34"/>
  <c r="T6" i="34"/>
  <c r="AG6" i="34"/>
  <c r="R7" i="34"/>
  <c r="S6" i="34"/>
  <c r="U132" i="10"/>
  <c r="T23" i="24"/>
  <c r="V23" i="24"/>
  <c r="S19" i="20"/>
  <c r="AK5" i="22"/>
  <c r="AI5" i="22"/>
  <c r="V31" i="22" s="1"/>
  <c r="AH5" i="22"/>
  <c r="S6" i="11"/>
  <c r="S133" i="34"/>
  <c r="W16" i="34"/>
  <c r="P45" i="15"/>
  <c r="N6" i="15"/>
  <c r="X16" i="15"/>
  <c r="AM14" i="34"/>
  <c r="AI14" i="34"/>
  <c r="V121" i="34" s="1"/>
  <c r="AH14" i="34"/>
  <c r="N120" i="34"/>
  <c r="N119" i="34"/>
  <c r="AK14" i="34"/>
  <c r="P31" i="34"/>
  <c r="AE5" i="20"/>
  <c r="S36" i="20"/>
  <c r="BC4" i="17"/>
  <c r="AL4" i="17"/>
  <c r="BB4" i="17"/>
  <c r="V23" i="16"/>
  <c r="T23" i="16"/>
  <c r="AJ12" i="35"/>
  <c r="U101" i="35"/>
  <c r="T101" i="35" s="1"/>
  <c r="H28" i="44"/>
  <c r="V23" i="4"/>
  <c r="T23" i="4"/>
  <c r="U22" i="5"/>
  <c r="V23" i="17"/>
  <c r="T23" i="17"/>
  <c r="U6" i="37"/>
  <c r="S52" i="37" s="1"/>
  <c r="AD6" i="37"/>
  <c r="N6" i="37"/>
  <c r="S41" i="37"/>
  <c r="R7" i="37"/>
  <c r="V6" i="37"/>
  <c r="S44" i="37" s="1"/>
  <c r="AG6" i="37"/>
  <c r="T6" i="37"/>
  <c r="S6" i="37"/>
  <c r="AG6" i="8"/>
  <c r="AM6" i="8" s="1"/>
  <c r="T6" i="8"/>
  <c r="R7" i="8"/>
  <c r="V6" i="8"/>
  <c r="S44" i="8" s="1"/>
  <c r="U6" i="8"/>
  <c r="S52" i="8" s="1"/>
  <c r="AD6" i="8"/>
  <c r="S41" i="8"/>
  <c r="N6" i="8"/>
  <c r="BC4" i="34"/>
  <c r="AL4" i="34"/>
  <c r="BB4" i="34"/>
  <c r="AA4" i="34"/>
  <c r="AJ15" i="10"/>
  <c r="U131" i="10"/>
  <c r="T131" i="10" s="1"/>
  <c r="V23" i="37"/>
  <c r="T23" i="37"/>
  <c r="AH5" i="15"/>
  <c r="AK5" i="15"/>
  <c r="AI5" i="15"/>
  <c r="V31" i="15" s="1"/>
  <c r="AL4" i="20"/>
  <c r="BC4" i="20"/>
  <c r="BB4" i="20"/>
  <c r="S30" i="10"/>
  <c r="Z5" i="10"/>
  <c r="S30" i="22"/>
  <c r="Z5" i="22"/>
  <c r="U21" i="4"/>
  <c r="S43" i="24"/>
  <c r="AH15" i="34"/>
  <c r="AK15" i="34"/>
  <c r="AI15" i="34"/>
  <c r="V131" i="34" s="1"/>
  <c r="N129" i="34"/>
  <c r="Z5" i="15"/>
  <c r="S30" i="15"/>
  <c r="S29" i="15" s="1"/>
  <c r="N129" i="24"/>
  <c r="W16" i="10"/>
  <c r="S43" i="10"/>
  <c r="N120" i="4"/>
  <c r="N119" i="4"/>
  <c r="P31" i="4"/>
  <c r="BC12" i="10"/>
  <c r="AL12" i="10"/>
  <c r="BB12" i="10"/>
  <c r="AE5" i="14"/>
  <c r="S36" i="14"/>
  <c r="V6" i="4"/>
  <c r="R7" i="4"/>
  <c r="AD6" i="4"/>
  <c r="T6" i="4"/>
  <c r="U6" i="4"/>
  <c r="S52" i="4" s="1"/>
  <c r="AG6" i="4"/>
  <c r="AM6" i="4" s="1"/>
  <c r="S41" i="4"/>
  <c r="N6" i="4"/>
  <c r="S6" i="4"/>
  <c r="AJ4" i="11"/>
  <c r="U21" i="11"/>
  <c r="AL11" i="10"/>
  <c r="BC11" i="10"/>
  <c r="BB11" i="10"/>
  <c r="U21" i="8"/>
  <c r="AJ4" i="8"/>
  <c r="AL8" i="10"/>
  <c r="BC8" i="10"/>
  <c r="BB8" i="10"/>
  <c r="V21" i="14"/>
  <c r="T21" i="14" s="1"/>
  <c r="V21" i="11"/>
  <c r="AI5" i="8"/>
  <c r="V31" i="8" s="1"/>
  <c r="AK5" i="8"/>
  <c r="AH5" i="8"/>
  <c r="AE5" i="7"/>
  <c r="S36" i="7"/>
  <c r="S29" i="7" s="1"/>
  <c r="R7" i="15"/>
  <c r="V6" i="15"/>
  <c r="S44" i="15" s="1"/>
  <c r="AG6" i="15"/>
  <c r="AM6" i="15" s="1"/>
  <c r="S41" i="15"/>
  <c r="U6" i="15"/>
  <c r="S52" i="15" s="1"/>
  <c r="AD6" i="15"/>
  <c r="T6" i="15"/>
  <c r="U21" i="20"/>
  <c r="AJ4" i="20"/>
  <c r="AM15" i="33"/>
  <c r="N100" i="20"/>
  <c r="N99" i="20"/>
  <c r="P31" i="11"/>
  <c r="N120" i="11"/>
  <c r="N119" i="11"/>
  <c r="N109" i="5"/>
  <c r="N110" i="5"/>
  <c r="N119" i="33"/>
  <c r="N120" i="33"/>
  <c r="P31" i="33"/>
  <c r="AK14" i="33"/>
  <c r="AI14" i="33"/>
  <c r="V121" i="33" s="1"/>
  <c r="AH14" i="33"/>
  <c r="S6" i="10"/>
  <c r="E28" i="40"/>
  <c r="B28" i="40"/>
  <c r="V129" i="35"/>
  <c r="N128" i="40"/>
  <c r="Q45" i="7"/>
  <c r="G37" i="40"/>
  <c r="P28" i="40"/>
  <c r="L7" i="40"/>
  <c r="M88" i="40"/>
  <c r="O28" i="40"/>
  <c r="V39" i="16"/>
  <c r="Q28" i="40"/>
  <c r="P88" i="40"/>
  <c r="Q45" i="34"/>
  <c r="P128" i="40"/>
  <c r="K128" i="40"/>
  <c r="V39" i="15"/>
  <c r="AP7" i="7"/>
  <c r="AQ6" i="14"/>
  <c r="Q8" i="5"/>
  <c r="AP7" i="14"/>
  <c r="U109" i="20"/>
  <c r="V49" i="11"/>
  <c r="U119" i="5"/>
  <c r="M128" i="40"/>
  <c r="O55" i="7"/>
  <c r="D128" i="40"/>
  <c r="I128" i="40"/>
  <c r="Q45" i="33"/>
  <c r="K28" i="40"/>
  <c r="Q45" i="5"/>
  <c r="V39" i="17"/>
  <c r="V39" i="22"/>
  <c r="V39" i="20"/>
  <c r="E88" i="40"/>
  <c r="Q109" i="40"/>
  <c r="Q45" i="10"/>
  <c r="AP7" i="15"/>
  <c r="Q55" i="11"/>
  <c r="T28" i="40"/>
  <c r="G7" i="40"/>
  <c r="J128" i="40"/>
  <c r="H28" i="40"/>
  <c r="H7" i="40"/>
  <c r="G38" i="40"/>
  <c r="I67" i="40"/>
  <c r="T128" i="40"/>
  <c r="O109" i="40"/>
  <c r="I109" i="40"/>
  <c r="O55" i="20"/>
  <c r="F109" i="40"/>
  <c r="G14" i="40"/>
  <c r="AP15" i="60"/>
  <c r="AQ6" i="17"/>
  <c r="Q8" i="22"/>
  <c r="Q8" i="20"/>
  <c r="Q7" i="19"/>
  <c r="AO14" i="35"/>
  <c r="AO15" i="22"/>
  <c r="AO14" i="7"/>
  <c r="AO13" i="37"/>
  <c r="P15" i="7"/>
  <c r="Q45" i="8"/>
  <c r="U129" i="5"/>
  <c r="U129" i="19"/>
  <c r="V39" i="7"/>
  <c r="T109" i="40"/>
  <c r="K109" i="40"/>
  <c r="M7" i="40"/>
  <c r="O55" i="5"/>
  <c r="AQ14" i="60"/>
  <c r="B128" i="40"/>
  <c r="H88" i="40"/>
  <c r="P109" i="40"/>
  <c r="Q7" i="40"/>
  <c r="N7" i="40"/>
  <c r="G28" i="40"/>
  <c r="L28" i="40"/>
  <c r="O55" i="4"/>
  <c r="L109" i="40"/>
  <c r="AQ6" i="15"/>
  <c r="AP7" i="22"/>
  <c r="P16" i="24"/>
  <c r="AQ8" i="4"/>
  <c r="AQ6" i="19"/>
  <c r="AP8" i="20"/>
  <c r="Q8" i="7"/>
  <c r="AZ15" i="20"/>
  <c r="AO15" i="16"/>
  <c r="AO13" i="14"/>
  <c r="P15" i="22"/>
  <c r="AP8" i="7"/>
  <c r="U129" i="7"/>
  <c r="Q45" i="14"/>
  <c r="T7" i="40"/>
  <c r="E7" i="40"/>
  <c r="G16" i="40"/>
  <c r="Q95" i="40"/>
  <c r="M67" i="40"/>
  <c r="O67" i="40"/>
  <c r="B67" i="40"/>
  <c r="V39" i="19"/>
  <c r="F28" i="40"/>
  <c r="R76" i="40"/>
  <c r="J67" i="40"/>
  <c r="V119" i="34"/>
  <c r="O55" i="37"/>
  <c r="B109" i="40"/>
  <c r="AP7" i="24"/>
  <c r="AQ6" i="8"/>
  <c r="AP7" i="19"/>
  <c r="AO15" i="35"/>
  <c r="P14" i="14"/>
  <c r="U129" i="60"/>
  <c r="U109" i="14"/>
  <c r="K88" i="40"/>
  <c r="V39" i="5"/>
  <c r="V39" i="11"/>
  <c r="O55" i="19"/>
  <c r="O88" i="40"/>
  <c r="Q45" i="22"/>
  <c r="S109" i="40"/>
  <c r="L88" i="40"/>
  <c r="I28" i="40"/>
  <c r="AO14" i="60"/>
  <c r="AQ6" i="10"/>
  <c r="Q7" i="24"/>
  <c r="P16" i="33"/>
  <c r="P16" i="11"/>
  <c r="Q7" i="6"/>
  <c r="P15" i="35"/>
  <c r="P15" i="16"/>
  <c r="AZ14" i="14"/>
  <c r="P15" i="5"/>
  <c r="AO16" i="24"/>
  <c r="AO16" i="4"/>
  <c r="U119" i="16"/>
  <c r="U109" i="37"/>
  <c r="U119" i="35"/>
  <c r="C7" i="40"/>
  <c r="E109" i="40"/>
  <c r="V39" i="14"/>
  <c r="N28" i="40"/>
  <c r="I7" i="40"/>
  <c r="R7" i="40"/>
  <c r="C28" i="40"/>
  <c r="J109" i="40"/>
  <c r="V39" i="10"/>
  <c r="O55" i="6"/>
  <c r="S7" i="40"/>
  <c r="F88" i="40"/>
  <c r="P67" i="40"/>
  <c r="AO15" i="60"/>
  <c r="AQ7" i="5"/>
  <c r="Q9" i="4"/>
  <c r="AO14" i="5"/>
  <c r="P14" i="37"/>
  <c r="U119" i="60"/>
  <c r="U129" i="22"/>
  <c r="U119" i="19"/>
  <c r="T47" i="40"/>
  <c r="N88" i="40"/>
  <c r="O55" i="14"/>
  <c r="Q115" i="60"/>
  <c r="C128" i="40"/>
  <c r="G77" i="40"/>
  <c r="O55" i="33"/>
  <c r="C109" i="40"/>
  <c r="Q74" i="40"/>
  <c r="G13" i="40"/>
  <c r="F7" i="40"/>
  <c r="T96" i="40"/>
  <c r="Q47" i="40"/>
  <c r="I88" i="40"/>
  <c r="V39" i="4"/>
  <c r="F67" i="40"/>
  <c r="AQ6" i="20"/>
  <c r="AQ6" i="22"/>
  <c r="Q7" i="16"/>
  <c r="Q8" i="17"/>
  <c r="AP7" i="6"/>
  <c r="AZ14" i="20"/>
  <c r="AO14" i="16"/>
  <c r="AO14" i="22"/>
  <c r="AO15" i="5"/>
  <c r="AZ14" i="37"/>
  <c r="Q45" i="15"/>
  <c r="U129" i="16"/>
  <c r="H128" i="40"/>
  <c r="R28" i="40"/>
  <c r="V109" i="60"/>
  <c r="R47" i="40"/>
  <c r="R109" i="40"/>
  <c r="H109" i="40"/>
  <c r="G12" i="40"/>
  <c r="D28" i="40"/>
  <c r="S128" i="40"/>
  <c r="V39" i="6"/>
  <c r="R128" i="40"/>
  <c r="Q45" i="37"/>
  <c r="E128" i="40"/>
  <c r="P15" i="60"/>
  <c r="AQ6" i="7"/>
  <c r="P16" i="4"/>
  <c r="P16" i="34"/>
  <c r="AP9" i="4"/>
  <c r="AP8" i="17"/>
  <c r="U119" i="22"/>
  <c r="C88" i="40"/>
  <c r="S28" i="40"/>
  <c r="J88" i="40"/>
  <c r="M109" i="40"/>
  <c r="B7" i="40"/>
  <c r="D109" i="40"/>
  <c r="G88" i="40"/>
  <c r="S97" i="40"/>
  <c r="V39" i="8"/>
  <c r="S47" i="40"/>
  <c r="P7" i="40"/>
  <c r="G15" i="40"/>
  <c r="G11" i="40"/>
  <c r="R97" i="40"/>
  <c r="AQ6" i="11"/>
  <c r="Q7" i="8"/>
  <c r="AP7" i="16"/>
  <c r="AO16" i="34"/>
  <c r="AO16" i="11"/>
  <c r="AO15" i="19"/>
  <c r="U129" i="35"/>
  <c r="U119" i="7"/>
  <c r="Q45" i="19"/>
  <c r="D7" i="40"/>
  <c r="R98" i="40"/>
  <c r="J28" i="40"/>
  <c r="Q128" i="40"/>
  <c r="O55" i="35"/>
  <c r="O7" i="40"/>
  <c r="M28" i="40"/>
  <c r="O55" i="16"/>
  <c r="E67" i="40"/>
  <c r="G109" i="40"/>
  <c r="K7" i="40"/>
  <c r="N109" i="40"/>
  <c r="O55" i="24"/>
  <c r="B88" i="40"/>
  <c r="D88" i="40"/>
  <c r="Q45" i="11"/>
  <c r="G78" i="40"/>
  <c r="Q45" i="4"/>
  <c r="O55" i="15"/>
  <c r="V129" i="33"/>
  <c r="AQ6" i="6"/>
  <c r="AQ6" i="16"/>
  <c r="AP7" i="8"/>
  <c r="Q8" i="11"/>
  <c r="AP8" i="10"/>
  <c r="P14" i="20"/>
  <c r="P15" i="19"/>
  <c r="AZ15" i="37"/>
  <c r="AO16" i="33"/>
  <c r="Q45" i="17"/>
  <c r="Q45" i="6"/>
  <c r="Q45" i="16"/>
  <c r="J7" i="40"/>
  <c r="S76" i="40"/>
  <c r="G10" i="40"/>
  <c r="Q45" i="35"/>
  <c r="N67" i="40"/>
  <c r="O128" i="40"/>
  <c r="G128" i="40"/>
  <c r="F128" i="40"/>
  <c r="L128" i="40"/>
  <c r="O55" i="17"/>
  <c r="V39" i="24"/>
  <c r="O55" i="22"/>
  <c r="O55" i="34"/>
  <c r="T75" i="40"/>
  <c r="O55" i="8"/>
  <c r="S98" i="40"/>
  <c r="H67" i="40"/>
  <c r="AQ6" i="24"/>
  <c r="Q7" i="15"/>
  <c r="AP8" i="11"/>
  <c r="Q7" i="14"/>
  <c r="AO13" i="20"/>
  <c r="AZ15" i="14"/>
  <c r="AO14" i="19"/>
  <c r="AO15" i="7"/>
  <c r="AP8" i="5"/>
  <c r="V109" i="37"/>
  <c r="Q55" i="7"/>
  <c r="V119" i="35"/>
  <c r="V24" i="57"/>
  <c r="F24" i="57"/>
  <c r="Q14" i="37"/>
  <c r="Q15" i="37"/>
  <c r="S29" i="37" l="1"/>
  <c r="T21" i="20"/>
  <c r="S45" i="15"/>
  <c r="T21" i="11"/>
  <c r="S29" i="8"/>
  <c r="AA4" i="24"/>
  <c r="AA11" i="60"/>
  <c r="AA4" i="22"/>
  <c r="V24" i="22" s="1"/>
  <c r="U26" i="22" s="1"/>
  <c r="AA4" i="15"/>
  <c r="V24" i="15" s="1"/>
  <c r="U26" i="15" s="1"/>
  <c r="AA4" i="7"/>
  <c r="AA8" i="10"/>
  <c r="V64" i="10" s="1"/>
  <c r="U66" i="10" s="1"/>
  <c r="AA4" i="6"/>
  <c r="AF4" i="6" s="1"/>
  <c r="S29" i="24"/>
  <c r="AF10" i="60"/>
  <c r="AA7" i="10"/>
  <c r="AF7" i="10" s="1"/>
  <c r="AA4" i="10"/>
  <c r="BB5" i="4"/>
  <c r="AA5" i="4" s="1"/>
  <c r="AA4" i="19"/>
  <c r="AA4" i="14"/>
  <c r="AA10" i="10"/>
  <c r="AF10" i="10" s="1"/>
  <c r="S29" i="6"/>
  <c r="T21" i="17"/>
  <c r="AA4" i="17"/>
  <c r="V24" i="17" s="1"/>
  <c r="U26" i="17" s="1"/>
  <c r="AA4" i="4"/>
  <c r="AF4" i="4" s="1"/>
  <c r="AA4" i="8"/>
  <c r="AF4" i="8" s="1"/>
  <c r="AA11" i="10"/>
  <c r="V94" i="10" s="1"/>
  <c r="U96" i="10" s="1"/>
  <c r="AA4" i="5"/>
  <c r="V24" i="5" s="1"/>
  <c r="U26" i="5" s="1"/>
  <c r="AA4" i="20"/>
  <c r="S45" i="20"/>
  <c r="BB5" i="7"/>
  <c r="AA5" i="7" s="1"/>
  <c r="AA4" i="11"/>
  <c r="AF4" i="11" s="1"/>
  <c r="S29" i="19"/>
  <c r="AA12" i="10"/>
  <c r="V104" i="10" s="1"/>
  <c r="U106" i="10" s="1"/>
  <c r="AL5" i="7"/>
  <c r="AA4" i="16"/>
  <c r="AF4" i="16" s="1"/>
  <c r="AA9" i="10"/>
  <c r="V74" i="10" s="1"/>
  <c r="U76" i="10" s="1"/>
  <c r="Z6" i="20"/>
  <c r="BC6" i="20" s="1"/>
  <c r="I15" i="52"/>
  <c r="H24" i="44"/>
  <c r="AA13" i="10"/>
  <c r="V114" i="10" s="1"/>
  <c r="U116" i="10" s="1"/>
  <c r="Z6" i="24"/>
  <c r="BC6" i="24" s="1"/>
  <c r="Q130" i="37"/>
  <c r="Q120" i="37"/>
  <c r="AN15" i="14"/>
  <c r="S7" i="14"/>
  <c r="Q50" i="14"/>
  <c r="S7" i="15"/>
  <c r="Q50" i="15"/>
  <c r="Q58" i="24"/>
  <c r="W15" i="37"/>
  <c r="AN15" i="37"/>
  <c r="AM15" i="37" s="1"/>
  <c r="N138" i="19"/>
  <c r="N128" i="20"/>
  <c r="AG8" i="11"/>
  <c r="AM8" i="11" s="1"/>
  <c r="S8" i="11"/>
  <c r="Q60" i="11"/>
  <c r="Q58" i="16"/>
  <c r="Q58" i="6"/>
  <c r="G119" i="40"/>
  <c r="G120" i="40" s="1"/>
  <c r="S7" i="8"/>
  <c r="Q50" i="8"/>
  <c r="Q58" i="11"/>
  <c r="R99" i="40"/>
  <c r="R100" i="40" s="1"/>
  <c r="S99" i="40"/>
  <c r="S100" i="40" s="1"/>
  <c r="Q58" i="7"/>
  <c r="N138" i="60"/>
  <c r="H119" i="40"/>
  <c r="H120" i="40" s="1"/>
  <c r="AN14" i="37"/>
  <c r="AM14" i="37" s="1"/>
  <c r="AN14" i="20"/>
  <c r="Q60" i="17"/>
  <c r="S7" i="16"/>
  <c r="Q50" i="16"/>
  <c r="Q58" i="22"/>
  <c r="Q58" i="20"/>
  <c r="N128" i="37"/>
  <c r="Q70" i="4"/>
  <c r="W9" i="4"/>
  <c r="Q68" i="5"/>
  <c r="N138" i="5"/>
  <c r="AN14" i="14"/>
  <c r="N138" i="16"/>
  <c r="N138" i="35"/>
  <c r="S7" i="6"/>
  <c r="Q50" i="6"/>
  <c r="S7" i="24"/>
  <c r="Q50" i="24"/>
  <c r="Q58" i="10"/>
  <c r="N128" i="14"/>
  <c r="Q58" i="8"/>
  <c r="N138" i="22"/>
  <c r="AN15" i="20"/>
  <c r="Q60" i="7"/>
  <c r="Q58" i="19"/>
  <c r="Q78" i="4"/>
  <c r="Q58" i="15"/>
  <c r="Q138" i="60"/>
  <c r="N138" i="7"/>
  <c r="S7" i="19"/>
  <c r="Q50" i="19"/>
  <c r="Q60" i="20"/>
  <c r="Q60" i="22"/>
  <c r="Q58" i="17"/>
  <c r="Q60" i="5"/>
  <c r="Q58" i="14"/>
  <c r="AF4" i="15"/>
  <c r="AF13" i="10"/>
  <c r="S50" i="7"/>
  <c r="AJ14" i="33"/>
  <c r="U121" i="33"/>
  <c r="T121" i="33" s="1"/>
  <c r="AH16" i="33"/>
  <c r="U132" i="34"/>
  <c r="R8" i="8"/>
  <c r="V7" i="8"/>
  <c r="S54" i="8" s="1"/>
  <c r="U7" i="8"/>
  <c r="S62" i="8" s="1"/>
  <c r="AD7" i="8"/>
  <c r="S51" i="8"/>
  <c r="N7" i="8"/>
  <c r="T7" i="8"/>
  <c r="AG7" i="8"/>
  <c r="AM7" i="8" s="1"/>
  <c r="V7" i="34"/>
  <c r="AG7" i="34"/>
  <c r="AD7" i="34"/>
  <c r="U7" i="34"/>
  <c r="S62" i="34" s="1"/>
  <c r="T7" i="34"/>
  <c r="S51" i="34"/>
  <c r="N7" i="34"/>
  <c r="R8" i="34"/>
  <c r="S7" i="34"/>
  <c r="S7" i="22"/>
  <c r="AD7" i="22"/>
  <c r="U7" i="22"/>
  <c r="S62" i="22" s="1"/>
  <c r="T7" i="22"/>
  <c r="S51" i="22"/>
  <c r="N7" i="22"/>
  <c r="R8" i="22"/>
  <c r="V7" i="22"/>
  <c r="S54" i="22" s="1"/>
  <c r="AG7" i="22"/>
  <c r="AM7" i="22" s="1"/>
  <c r="AK6" i="24"/>
  <c r="AI6" i="24"/>
  <c r="V41" i="24" s="1"/>
  <c r="AH6" i="24"/>
  <c r="S7" i="17"/>
  <c r="V7" i="17"/>
  <c r="AG7" i="17"/>
  <c r="AM7" i="17" s="1"/>
  <c r="U7" i="17"/>
  <c r="S62" i="17" s="1"/>
  <c r="T7" i="17"/>
  <c r="AD7" i="17"/>
  <c r="S51" i="17"/>
  <c r="N7" i="17"/>
  <c r="R8" i="17"/>
  <c r="AJ5" i="20"/>
  <c r="U31" i="20"/>
  <c r="T31" i="20" s="1"/>
  <c r="T33" i="15"/>
  <c r="V33" i="15"/>
  <c r="AJ5" i="19"/>
  <c r="U31" i="19"/>
  <c r="T31" i="19" s="1"/>
  <c r="T33" i="8"/>
  <c r="V33" i="8"/>
  <c r="T33" i="10"/>
  <c r="V33" i="10"/>
  <c r="V33" i="24"/>
  <c r="T33" i="24"/>
  <c r="Z6" i="35"/>
  <c r="S40" i="35"/>
  <c r="S29" i="17"/>
  <c r="S40" i="16"/>
  <c r="Z6" i="16"/>
  <c r="S40" i="6"/>
  <c r="Z6" i="6"/>
  <c r="S133" i="35"/>
  <c r="W16" i="35"/>
  <c r="Z6" i="17"/>
  <c r="S40" i="17"/>
  <c r="AG7" i="15"/>
  <c r="AM7" i="15" s="1"/>
  <c r="V7" i="15"/>
  <c r="S54" i="15" s="1"/>
  <c r="R8" i="15"/>
  <c r="AD7" i="15"/>
  <c r="T7" i="15"/>
  <c r="U7" i="15"/>
  <c r="S62" i="15" s="1"/>
  <c r="S51" i="15"/>
  <c r="N7" i="15"/>
  <c r="Z6" i="4"/>
  <c r="S40" i="4"/>
  <c r="AJ15" i="34"/>
  <c r="U131" i="34"/>
  <c r="T131" i="34" s="1"/>
  <c r="S40" i="11"/>
  <c r="Z6" i="11"/>
  <c r="U32" i="6"/>
  <c r="H33" i="45"/>
  <c r="U32" i="4"/>
  <c r="V31" i="10"/>
  <c r="V7" i="24"/>
  <c r="AG7" i="24"/>
  <c r="AM7" i="24" s="1"/>
  <c r="R8" i="24"/>
  <c r="T7" i="24"/>
  <c r="U7" i="24"/>
  <c r="S62" i="24" s="1"/>
  <c r="S51" i="24"/>
  <c r="AD7" i="24"/>
  <c r="N7" i="24"/>
  <c r="S46" i="17"/>
  <c r="AE6" i="17"/>
  <c r="AE6" i="10"/>
  <c r="AE16" i="10" s="1"/>
  <c r="H28" i="10" s="1"/>
  <c r="S46" i="10"/>
  <c r="AD16" i="10"/>
  <c r="H18" i="10" s="1"/>
  <c r="V7" i="16"/>
  <c r="S54" i="16" s="1"/>
  <c r="R8" i="16"/>
  <c r="AG7" i="16"/>
  <c r="AM7" i="16" s="1"/>
  <c r="T7" i="16"/>
  <c r="AD7" i="16"/>
  <c r="U7" i="16"/>
  <c r="S62" i="16" s="1"/>
  <c r="S51" i="16"/>
  <c r="N7" i="16"/>
  <c r="BC5" i="16"/>
  <c r="AL5" i="16"/>
  <c r="BB5" i="16"/>
  <c r="S29" i="34"/>
  <c r="V7" i="35"/>
  <c r="AG7" i="35"/>
  <c r="R8" i="35"/>
  <c r="AD7" i="35"/>
  <c r="U7" i="35"/>
  <c r="S62" i="35" s="1"/>
  <c r="T7" i="35"/>
  <c r="S51" i="35"/>
  <c r="N7" i="35"/>
  <c r="S7" i="35"/>
  <c r="T33" i="37"/>
  <c r="V33" i="37"/>
  <c r="AL5" i="19"/>
  <c r="BC5" i="19"/>
  <c r="BB5" i="19"/>
  <c r="U132" i="33"/>
  <c r="Z6" i="19"/>
  <c r="S40" i="19"/>
  <c r="P31" i="7"/>
  <c r="N120" i="7"/>
  <c r="N119" i="7"/>
  <c r="AK15" i="35"/>
  <c r="AI15" i="35"/>
  <c r="V131" i="35" s="1"/>
  <c r="AH15" i="35"/>
  <c r="N129" i="35"/>
  <c r="S43" i="15"/>
  <c r="U122" i="33"/>
  <c r="AF4" i="34"/>
  <c r="V24" i="34"/>
  <c r="U26" i="34" s="1"/>
  <c r="AH6" i="8"/>
  <c r="AK6" i="8"/>
  <c r="AI6" i="8"/>
  <c r="V41" i="8" s="1"/>
  <c r="U122" i="34"/>
  <c r="AJ5" i="22"/>
  <c r="U31" i="22"/>
  <c r="T31" i="22" s="1"/>
  <c r="AJ5" i="6"/>
  <c r="U31" i="6"/>
  <c r="AJ5" i="4"/>
  <c r="U31" i="4"/>
  <c r="T31" i="4" s="1"/>
  <c r="U32" i="10"/>
  <c r="AE6" i="6"/>
  <c r="S46" i="6"/>
  <c r="S52" i="10"/>
  <c r="S49" i="10" s="1"/>
  <c r="U16" i="10"/>
  <c r="V84" i="10"/>
  <c r="U86" i="10" s="1"/>
  <c r="AE6" i="16"/>
  <c r="S46" i="16"/>
  <c r="U32" i="19"/>
  <c r="AL12" i="60"/>
  <c r="BC12" i="60"/>
  <c r="BB12" i="60"/>
  <c r="AL5" i="34"/>
  <c r="BC5" i="34"/>
  <c r="BB5" i="34"/>
  <c r="AA5" i="34"/>
  <c r="S29" i="33"/>
  <c r="U32" i="5"/>
  <c r="P31" i="22"/>
  <c r="N120" i="22"/>
  <c r="N119" i="22"/>
  <c r="V33" i="7"/>
  <c r="T33" i="7"/>
  <c r="Z6" i="37"/>
  <c r="S40" i="37"/>
  <c r="V31" i="6"/>
  <c r="T33" i="33"/>
  <c r="V33" i="33"/>
  <c r="AJ5" i="10"/>
  <c r="U31" i="10"/>
  <c r="AH6" i="6"/>
  <c r="AK6" i="6"/>
  <c r="AI6" i="6"/>
  <c r="V41" i="6" s="1"/>
  <c r="V33" i="34"/>
  <c r="T33" i="34"/>
  <c r="BC5" i="6"/>
  <c r="AL5" i="6"/>
  <c r="BB5" i="6"/>
  <c r="AE6" i="11"/>
  <c r="S46" i="11"/>
  <c r="AE6" i="33"/>
  <c r="S46" i="33"/>
  <c r="H29" i="44"/>
  <c r="AF4" i="33"/>
  <c r="V24" i="33"/>
  <c r="U26" i="33" s="1"/>
  <c r="S29" i="5"/>
  <c r="H22" i="45"/>
  <c r="AL5" i="33"/>
  <c r="BC5" i="33"/>
  <c r="BB5" i="33"/>
  <c r="AA5" i="33"/>
  <c r="AJ5" i="5"/>
  <c r="U31" i="5"/>
  <c r="V33" i="11"/>
  <c r="T33" i="11"/>
  <c r="T21" i="16"/>
  <c r="N129" i="16"/>
  <c r="Z6" i="15"/>
  <c r="S40" i="15"/>
  <c r="Q120" i="60"/>
  <c r="AG14" i="60"/>
  <c r="AM14" i="60" s="1"/>
  <c r="S14" i="60"/>
  <c r="AJ5" i="8"/>
  <c r="U31" i="8"/>
  <c r="T31" i="8" s="1"/>
  <c r="AI6" i="4"/>
  <c r="V41" i="4" s="1"/>
  <c r="AK6" i="4"/>
  <c r="AH6" i="4"/>
  <c r="U32" i="22"/>
  <c r="AF4" i="37"/>
  <c r="V24" i="37"/>
  <c r="U26" i="37" s="1"/>
  <c r="AK16" i="33"/>
  <c r="U112" i="35"/>
  <c r="S44" i="6"/>
  <c r="AJ5" i="24"/>
  <c r="U31" i="24"/>
  <c r="S44" i="19"/>
  <c r="S52" i="11"/>
  <c r="U16" i="11"/>
  <c r="AE6" i="5"/>
  <c r="S46" i="5"/>
  <c r="T7" i="33"/>
  <c r="AD7" i="33"/>
  <c r="S51" i="33"/>
  <c r="N7" i="33"/>
  <c r="AG7" i="33"/>
  <c r="V7" i="33"/>
  <c r="S54" i="33" s="1"/>
  <c r="R8" i="33"/>
  <c r="U7" i="33"/>
  <c r="S62" i="33" s="1"/>
  <c r="S7" i="33"/>
  <c r="T33" i="5"/>
  <c r="V33" i="5"/>
  <c r="V16" i="11"/>
  <c r="Z13" i="60"/>
  <c r="S110" i="60"/>
  <c r="S109" i="60" s="1"/>
  <c r="R8" i="14"/>
  <c r="V7" i="14"/>
  <c r="AD7" i="14"/>
  <c r="U7" i="14"/>
  <c r="S62" i="14" s="1"/>
  <c r="T7" i="14"/>
  <c r="S51" i="14"/>
  <c r="N7" i="14"/>
  <c r="AG7" i="14"/>
  <c r="AM7" i="14" s="1"/>
  <c r="V31" i="5"/>
  <c r="U32" i="17"/>
  <c r="V24" i="7"/>
  <c r="U26" i="7" s="1"/>
  <c r="AF4" i="7"/>
  <c r="AF4" i="35"/>
  <c r="V24" i="35"/>
  <c r="U26" i="35" s="1"/>
  <c r="P31" i="19"/>
  <c r="N120" i="19"/>
  <c r="N119" i="19"/>
  <c r="N129" i="22"/>
  <c r="N120" i="60"/>
  <c r="N119" i="60"/>
  <c r="P31" i="60"/>
  <c r="AI14" i="60"/>
  <c r="V121" i="60" s="1"/>
  <c r="AK14" i="60"/>
  <c r="U122" i="60" s="1"/>
  <c r="AH14" i="60"/>
  <c r="U32" i="8"/>
  <c r="AJ14" i="34"/>
  <c r="U121" i="34"/>
  <c r="T121" i="34" s="1"/>
  <c r="AJ13" i="35"/>
  <c r="U111" i="35"/>
  <c r="T111" i="35" s="1"/>
  <c r="AG7" i="6"/>
  <c r="AM7" i="6" s="1"/>
  <c r="R8" i="6"/>
  <c r="V7" i="6"/>
  <c r="S54" i="6" s="1"/>
  <c r="AD7" i="6"/>
  <c r="U7" i="6"/>
  <c r="S62" i="6" s="1"/>
  <c r="T7" i="6"/>
  <c r="S51" i="6"/>
  <c r="N7" i="6"/>
  <c r="AH6" i="10"/>
  <c r="AI6" i="10"/>
  <c r="V41" i="10" s="1"/>
  <c r="AK6" i="10"/>
  <c r="AK16" i="10" s="1"/>
  <c r="V31" i="24"/>
  <c r="AE6" i="19"/>
  <c r="S46" i="19"/>
  <c r="BB5" i="5"/>
  <c r="BC5" i="5"/>
  <c r="AL5" i="5"/>
  <c r="BC5" i="17"/>
  <c r="BB5" i="17"/>
  <c r="AL5" i="17"/>
  <c r="AK6" i="14"/>
  <c r="AH6" i="14"/>
  <c r="AI6" i="14"/>
  <c r="AE6" i="7"/>
  <c r="S46" i="7"/>
  <c r="AJ5" i="17"/>
  <c r="U31" i="17"/>
  <c r="T31" i="17" s="1"/>
  <c r="AK14" i="35"/>
  <c r="P31" i="35"/>
  <c r="N119" i="35"/>
  <c r="N120" i="35"/>
  <c r="AI14" i="35"/>
  <c r="AH14" i="35"/>
  <c r="AH13" i="37"/>
  <c r="AK13" i="37"/>
  <c r="AI13" i="37"/>
  <c r="V111" i="37" s="1"/>
  <c r="N110" i="37"/>
  <c r="N109" i="37"/>
  <c r="Q130" i="60"/>
  <c r="AG15" i="60"/>
  <c r="AM15" i="60" s="1"/>
  <c r="S15" i="60"/>
  <c r="P31" i="16"/>
  <c r="N120" i="16"/>
  <c r="N119" i="16"/>
  <c r="BB5" i="22"/>
  <c r="AL5" i="22"/>
  <c r="BC5" i="22"/>
  <c r="U32" i="15"/>
  <c r="AE6" i="34"/>
  <c r="S46" i="34"/>
  <c r="Z6" i="22"/>
  <c r="S40" i="22"/>
  <c r="T21" i="22"/>
  <c r="U32" i="24"/>
  <c r="T21" i="19"/>
  <c r="AG7" i="19"/>
  <c r="AM7" i="19" s="1"/>
  <c r="T7" i="19"/>
  <c r="AD7" i="19"/>
  <c r="U7" i="19"/>
  <c r="S62" i="19" s="1"/>
  <c r="S51" i="19"/>
  <c r="N7" i="19"/>
  <c r="R8" i="19"/>
  <c r="V7" i="19"/>
  <c r="S54" i="19" s="1"/>
  <c r="T21" i="4"/>
  <c r="AI6" i="11"/>
  <c r="AH6" i="11"/>
  <c r="AK6" i="11"/>
  <c r="AK6" i="5"/>
  <c r="AI6" i="5"/>
  <c r="V41" i="5" s="1"/>
  <c r="AH6" i="5"/>
  <c r="S44" i="33"/>
  <c r="AJ12" i="37"/>
  <c r="U101" i="37"/>
  <c r="U32" i="14"/>
  <c r="N110" i="14"/>
  <c r="N109" i="14"/>
  <c r="S43" i="14"/>
  <c r="N129" i="60"/>
  <c r="AH15" i="60"/>
  <c r="AI15" i="60"/>
  <c r="AK15" i="60"/>
  <c r="S43" i="8"/>
  <c r="H20" i="46"/>
  <c r="S46" i="4"/>
  <c r="AE6" i="4"/>
  <c r="U31" i="15"/>
  <c r="T31" i="15" s="1"/>
  <c r="AJ5" i="15"/>
  <c r="R8" i="37"/>
  <c r="AG7" i="37"/>
  <c r="U7" i="37"/>
  <c r="S62" i="37" s="1"/>
  <c r="T7" i="37"/>
  <c r="AD7" i="37"/>
  <c r="N7" i="37"/>
  <c r="S51" i="37"/>
  <c r="V7" i="37"/>
  <c r="S54" i="37" s="1"/>
  <c r="S7" i="37"/>
  <c r="BC5" i="8"/>
  <c r="BB5" i="8"/>
  <c r="AL5" i="8"/>
  <c r="T21" i="8"/>
  <c r="AK6" i="19"/>
  <c r="AI6" i="19"/>
  <c r="AH6" i="19"/>
  <c r="H32" i="44"/>
  <c r="C50" i="44" s="1"/>
  <c r="I16" i="52"/>
  <c r="U102" i="37"/>
  <c r="AF4" i="10"/>
  <c r="V24" i="10"/>
  <c r="U26" i="10" s="1"/>
  <c r="AJ5" i="14"/>
  <c r="U31" i="14"/>
  <c r="T31" i="14" s="1"/>
  <c r="AL5" i="4"/>
  <c r="Z6" i="14"/>
  <c r="S40" i="14"/>
  <c r="S133" i="60"/>
  <c r="W16" i="60"/>
  <c r="N129" i="7"/>
  <c r="AE6" i="15"/>
  <c r="S46" i="15"/>
  <c r="N7" i="4"/>
  <c r="R8" i="4"/>
  <c r="V7" i="4"/>
  <c r="S54" i="4" s="1"/>
  <c r="AG7" i="4"/>
  <c r="AM7" i="4" s="1"/>
  <c r="AD7" i="4"/>
  <c r="U7" i="4"/>
  <c r="S62" i="4" s="1"/>
  <c r="T7" i="4"/>
  <c r="S51" i="4"/>
  <c r="S7" i="4"/>
  <c r="BC5" i="15"/>
  <c r="AL5" i="15"/>
  <c r="BB5" i="15"/>
  <c r="BC5" i="10"/>
  <c r="AL5" i="10"/>
  <c r="BB5" i="10"/>
  <c r="AE6" i="20"/>
  <c r="S46" i="20"/>
  <c r="S39" i="20" s="1"/>
  <c r="AH16" i="34"/>
  <c r="U32" i="11"/>
  <c r="AI16" i="34"/>
  <c r="H28" i="45"/>
  <c r="V33" i="4"/>
  <c r="T33" i="4"/>
  <c r="S7" i="5"/>
  <c r="AG7" i="5"/>
  <c r="AM7" i="5" s="1"/>
  <c r="R8" i="5"/>
  <c r="T7" i="5"/>
  <c r="S51" i="5"/>
  <c r="U7" i="5"/>
  <c r="S62" i="5" s="1"/>
  <c r="N7" i="5"/>
  <c r="V7" i="5"/>
  <c r="S54" i="5" s="1"/>
  <c r="AD7" i="5"/>
  <c r="S29" i="11"/>
  <c r="AE6" i="14"/>
  <c r="S46" i="14"/>
  <c r="AE6" i="35"/>
  <c r="S46" i="35"/>
  <c r="V101" i="37"/>
  <c r="AK6" i="7"/>
  <c r="AI6" i="7"/>
  <c r="V41" i="7" s="1"/>
  <c r="AH6" i="7"/>
  <c r="N129" i="19"/>
  <c r="N129" i="5"/>
  <c r="Z6" i="8"/>
  <c r="S40" i="8"/>
  <c r="S44" i="4"/>
  <c r="AE6" i="8"/>
  <c r="S46" i="8"/>
  <c r="V31" i="7"/>
  <c r="V94" i="60"/>
  <c r="U96" i="60" s="1"/>
  <c r="AF11" i="60"/>
  <c r="AD7" i="20"/>
  <c r="T7" i="20"/>
  <c r="N7" i="20"/>
  <c r="R8" i="20"/>
  <c r="AG7" i="20"/>
  <c r="AM7" i="20" s="1"/>
  <c r="V7" i="20"/>
  <c r="S54" i="20" s="1"/>
  <c r="U7" i="20"/>
  <c r="S62" i="20" s="1"/>
  <c r="S51" i="20"/>
  <c r="AE6" i="22"/>
  <c r="S46" i="22"/>
  <c r="AE6" i="24"/>
  <c r="S46" i="24"/>
  <c r="S39" i="24" s="1"/>
  <c r="AF4" i="14"/>
  <c r="V24" i="14"/>
  <c r="U26" i="14" s="1"/>
  <c r="T33" i="35"/>
  <c r="V33" i="35"/>
  <c r="AI16" i="33"/>
  <c r="AJ5" i="11"/>
  <c r="U31" i="11"/>
  <c r="T31" i="11" s="1"/>
  <c r="AL15" i="10"/>
  <c r="BB15" i="10"/>
  <c r="BC15" i="10"/>
  <c r="S29" i="14"/>
  <c r="AJ5" i="16"/>
  <c r="U31" i="16"/>
  <c r="T31" i="16" s="1"/>
  <c r="S29" i="22"/>
  <c r="AD16" i="11"/>
  <c r="H18" i="11" s="1"/>
  <c r="BC5" i="11"/>
  <c r="AL5" i="11"/>
  <c r="BB5" i="11"/>
  <c r="V33" i="19"/>
  <c r="T33" i="19"/>
  <c r="S44" i="7"/>
  <c r="AF4" i="19"/>
  <c r="V24" i="19"/>
  <c r="U26" i="19" s="1"/>
  <c r="AL5" i="35"/>
  <c r="BC5" i="35"/>
  <c r="BB5" i="35"/>
  <c r="AA5" i="35"/>
  <c r="H19" i="45"/>
  <c r="H24" i="45" s="1"/>
  <c r="Z7" i="11"/>
  <c r="S50" i="11"/>
  <c r="S43" i="17"/>
  <c r="Z6" i="10"/>
  <c r="S40" i="10"/>
  <c r="S16" i="10"/>
  <c r="V24" i="20"/>
  <c r="U26" i="20" s="1"/>
  <c r="AF4" i="20"/>
  <c r="AE6" i="37"/>
  <c r="S46" i="37"/>
  <c r="U32" i="7"/>
  <c r="AH6" i="20"/>
  <c r="AK6" i="20"/>
  <c r="AI6" i="20"/>
  <c r="AK6" i="22"/>
  <c r="AI6" i="22"/>
  <c r="V41" i="22" s="1"/>
  <c r="AH6" i="22"/>
  <c r="AK6" i="17"/>
  <c r="AI6" i="17"/>
  <c r="AH6" i="17"/>
  <c r="Z6" i="5"/>
  <c r="S40" i="5"/>
  <c r="AK16" i="34"/>
  <c r="BC5" i="14"/>
  <c r="AL5" i="14"/>
  <c r="BB5" i="14"/>
  <c r="Z6" i="33"/>
  <c r="S40" i="33"/>
  <c r="T33" i="22"/>
  <c r="V33" i="22"/>
  <c r="AF4" i="24"/>
  <c r="V24" i="24"/>
  <c r="U26" i="24" s="1"/>
  <c r="S29" i="20"/>
  <c r="V33" i="6"/>
  <c r="T33" i="6"/>
  <c r="N7" i="7"/>
  <c r="AG7" i="7"/>
  <c r="AM7" i="7" s="1"/>
  <c r="R8" i="7"/>
  <c r="V7" i="7"/>
  <c r="S54" i="7" s="1"/>
  <c r="AD7" i="7"/>
  <c r="T7" i="7"/>
  <c r="U7" i="7"/>
  <c r="S62" i="7" s="1"/>
  <c r="S51" i="7"/>
  <c r="V33" i="16"/>
  <c r="T33" i="16"/>
  <c r="S29" i="35"/>
  <c r="N119" i="5"/>
  <c r="P31" i="5"/>
  <c r="N120" i="5"/>
  <c r="S43" i="16"/>
  <c r="S43" i="6"/>
  <c r="AH7" i="11"/>
  <c r="AK7" i="11"/>
  <c r="AI7" i="11"/>
  <c r="V51" i="11" s="1"/>
  <c r="N109" i="20"/>
  <c r="N110" i="20"/>
  <c r="AI6" i="15"/>
  <c r="V41" i="15" s="1"/>
  <c r="AK6" i="15"/>
  <c r="AH6" i="15"/>
  <c r="V33" i="14"/>
  <c r="T33" i="14"/>
  <c r="V33" i="20"/>
  <c r="T33" i="20"/>
  <c r="S40" i="34"/>
  <c r="Z6" i="34"/>
  <c r="AJ5" i="7"/>
  <c r="U31" i="7"/>
  <c r="S44" i="22"/>
  <c r="U32" i="20"/>
  <c r="S44" i="10"/>
  <c r="V16" i="10"/>
  <c r="AL5" i="37"/>
  <c r="BC5" i="37"/>
  <c r="BB5" i="37"/>
  <c r="AA5" i="37"/>
  <c r="AH6" i="16"/>
  <c r="AK6" i="16"/>
  <c r="AI6" i="16"/>
  <c r="V41" i="16" s="1"/>
  <c r="BC5" i="24"/>
  <c r="AL5" i="24"/>
  <c r="BB5" i="24"/>
  <c r="U32" i="16"/>
  <c r="AJ13" i="60"/>
  <c r="U111" i="60"/>
  <c r="T111" i="60" s="1"/>
  <c r="S29" i="10"/>
  <c r="BB5" i="20"/>
  <c r="AL5" i="20"/>
  <c r="BC5" i="20"/>
  <c r="AL14" i="10"/>
  <c r="BB14" i="10"/>
  <c r="BC14" i="10"/>
  <c r="S40" i="7"/>
  <c r="Z6" i="7"/>
  <c r="AJ15" i="33"/>
  <c r="U131" i="33"/>
  <c r="T131" i="33" s="1"/>
  <c r="V33" i="17"/>
  <c r="T33" i="17"/>
  <c r="S43" i="19"/>
  <c r="S7" i="20"/>
  <c r="O47" i="40"/>
  <c r="I47" i="40"/>
  <c r="L47" i="40"/>
  <c r="E47" i="40"/>
  <c r="G51" i="40"/>
  <c r="D47" i="40"/>
  <c r="G50" i="40"/>
  <c r="G47" i="40"/>
  <c r="J47" i="40"/>
  <c r="B48" i="40"/>
  <c r="K47" i="40"/>
  <c r="G53" i="40"/>
  <c r="N47" i="40"/>
  <c r="E8" i="40"/>
  <c r="B47" i="40"/>
  <c r="F47" i="40"/>
  <c r="G54" i="40"/>
  <c r="C47" i="40"/>
  <c r="P47" i="40"/>
  <c r="H47" i="40"/>
  <c r="G55" i="40"/>
  <c r="E48" i="40"/>
  <c r="M47" i="40"/>
  <c r="G52" i="40"/>
  <c r="P29" i="40"/>
  <c r="G56" i="40"/>
  <c r="O29" i="40"/>
  <c r="V59" i="11"/>
  <c r="F110" i="40"/>
  <c r="O65" i="34"/>
  <c r="F89" i="40"/>
  <c r="G68" i="40"/>
  <c r="H129" i="40"/>
  <c r="O65" i="14"/>
  <c r="O65" i="37"/>
  <c r="B110" i="40"/>
  <c r="P110" i="40"/>
  <c r="R29" i="40"/>
  <c r="H90" i="40"/>
  <c r="M89" i="40"/>
  <c r="R78" i="40"/>
  <c r="AQ16" i="60"/>
  <c r="AQ7" i="22"/>
  <c r="P16" i="16"/>
  <c r="P15" i="20"/>
  <c r="AO16" i="22"/>
  <c r="AQ7" i="15"/>
  <c r="Q55" i="14"/>
  <c r="Q65" i="11"/>
  <c r="U119" i="37"/>
  <c r="Q55" i="34"/>
  <c r="N129" i="40"/>
  <c r="J29" i="40"/>
  <c r="O68" i="40"/>
  <c r="E129" i="40"/>
  <c r="V49" i="19"/>
  <c r="H89" i="40"/>
  <c r="AQ7" i="17"/>
  <c r="N89" i="40"/>
  <c r="Q8" i="24"/>
  <c r="AS4" i="34"/>
  <c r="AQ7" i="6"/>
  <c r="V119" i="37"/>
  <c r="Q55" i="6"/>
  <c r="Q55" i="22"/>
  <c r="Q55" i="17"/>
  <c r="T29" i="40"/>
  <c r="B29" i="40"/>
  <c r="P16" i="60"/>
  <c r="R129" i="40"/>
  <c r="R48" i="40"/>
  <c r="B89" i="40"/>
  <c r="K110" i="40"/>
  <c r="S129" i="40"/>
  <c r="C89" i="40"/>
  <c r="J89" i="40"/>
  <c r="K68" i="40"/>
  <c r="AQ15" i="60"/>
  <c r="T48" i="40"/>
  <c r="V49" i="7"/>
  <c r="P8" i="40"/>
  <c r="P16" i="35"/>
  <c r="P16" i="5"/>
  <c r="AQ7" i="14"/>
  <c r="Q8" i="14"/>
  <c r="AP8" i="19"/>
  <c r="AO16" i="16"/>
  <c r="I110" i="40"/>
  <c r="N29" i="40"/>
  <c r="G129" i="40"/>
  <c r="M8" i="40"/>
  <c r="I68" i="40"/>
  <c r="D129" i="40"/>
  <c r="C68" i="40"/>
  <c r="L29" i="40"/>
  <c r="J110" i="40"/>
  <c r="Q55" i="5"/>
  <c r="K129" i="40"/>
  <c r="O65" i="20"/>
  <c r="M68" i="40"/>
  <c r="O65" i="7"/>
  <c r="Q8" i="40"/>
  <c r="O8" i="40"/>
  <c r="AS4" i="60"/>
  <c r="AP8" i="24"/>
  <c r="AQ8" i="5"/>
  <c r="AQ7" i="19"/>
  <c r="AP8" i="14"/>
  <c r="AO15" i="14"/>
  <c r="Q55" i="20"/>
  <c r="P16" i="22"/>
  <c r="V49" i="8"/>
  <c r="V49" i="17"/>
  <c r="Q55" i="35"/>
  <c r="D89" i="40"/>
  <c r="O65" i="33"/>
  <c r="S77" i="40"/>
  <c r="C8" i="40"/>
  <c r="N68" i="40"/>
  <c r="Q96" i="40"/>
  <c r="Q110" i="40"/>
  <c r="Q55" i="4"/>
  <c r="P129" i="40"/>
  <c r="V49" i="5"/>
  <c r="V49" i="20"/>
  <c r="Q129" i="40"/>
  <c r="C29" i="40"/>
  <c r="AU4" i="60"/>
  <c r="Q55" i="15"/>
  <c r="U119" i="20"/>
  <c r="Q55" i="19"/>
  <c r="R77" i="40"/>
  <c r="J68" i="40"/>
  <c r="S78" i="40"/>
  <c r="V49" i="24"/>
  <c r="D68" i="40"/>
  <c r="Q29" i="40"/>
  <c r="I29" i="40"/>
  <c r="B8" i="40"/>
  <c r="L129" i="40"/>
  <c r="O65" i="5"/>
  <c r="T129" i="40"/>
  <c r="F129" i="40"/>
  <c r="H30" i="40"/>
  <c r="E110" i="40"/>
  <c r="G17" i="40"/>
  <c r="AO16" i="60"/>
  <c r="AQ9" i="4"/>
  <c r="P16" i="19"/>
  <c r="AP9" i="7"/>
  <c r="Q9" i="17"/>
  <c r="AP10" i="4"/>
  <c r="AP8" i="16"/>
  <c r="P15" i="14"/>
  <c r="AO16" i="5"/>
  <c r="AO16" i="35"/>
  <c r="Q55" i="24"/>
  <c r="V49" i="15"/>
  <c r="O65" i="24"/>
  <c r="Q55" i="33"/>
  <c r="T76" i="40"/>
  <c r="L8" i="40"/>
  <c r="Q55" i="8"/>
  <c r="U129" i="20"/>
  <c r="S110" i="40"/>
  <c r="N110" i="40"/>
  <c r="O65" i="16"/>
  <c r="J8" i="40"/>
  <c r="S8" i="40"/>
  <c r="V119" i="60"/>
  <c r="V49" i="14"/>
  <c r="G89" i="40"/>
  <c r="O65" i="19"/>
  <c r="B129" i="40"/>
  <c r="K29" i="40"/>
  <c r="H68" i="40"/>
  <c r="S29" i="40"/>
  <c r="AQ7" i="11"/>
  <c r="AU4" i="34"/>
  <c r="Q8" i="6"/>
  <c r="AP9" i="17"/>
  <c r="Q9" i="11"/>
  <c r="AP9" i="10"/>
  <c r="Q9" i="20"/>
  <c r="AO14" i="14"/>
  <c r="Q9" i="5"/>
  <c r="AP9" i="20"/>
  <c r="AU4" i="33"/>
  <c r="U129" i="37"/>
  <c r="O65" i="22"/>
  <c r="M29" i="40"/>
  <c r="O65" i="15"/>
  <c r="V49" i="16"/>
  <c r="B68" i="40"/>
  <c r="Q125" i="60"/>
  <c r="C129" i="40"/>
  <c r="V49" i="6"/>
  <c r="T97" i="40"/>
  <c r="Q55" i="37"/>
  <c r="I129" i="40"/>
  <c r="P89" i="40"/>
  <c r="E68" i="40"/>
  <c r="AQ7" i="20"/>
  <c r="AQ7" i="7"/>
  <c r="Q8" i="15"/>
  <c r="P16" i="7"/>
  <c r="AQ8" i="10"/>
  <c r="AP8" i="6"/>
  <c r="AP9" i="11"/>
  <c r="AO15" i="20"/>
  <c r="P15" i="37"/>
  <c r="O65" i="8"/>
  <c r="L110" i="40"/>
  <c r="H29" i="40"/>
  <c r="D8" i="40"/>
  <c r="O65" i="6"/>
  <c r="N8" i="40"/>
  <c r="Q75" i="40"/>
  <c r="O65" i="4"/>
  <c r="E89" i="40"/>
  <c r="G18" i="40"/>
  <c r="H8" i="40"/>
  <c r="G29" i="40"/>
  <c r="K8" i="40"/>
  <c r="L89" i="40"/>
  <c r="AQ7" i="24"/>
  <c r="AQ8" i="17"/>
  <c r="Q8" i="8"/>
  <c r="AO14" i="20"/>
  <c r="AO16" i="19"/>
  <c r="Q8" i="19"/>
  <c r="Q48" i="40"/>
  <c r="Q55" i="16"/>
  <c r="V49" i="22"/>
  <c r="O65" i="17"/>
  <c r="O110" i="40"/>
  <c r="M110" i="40"/>
  <c r="O65" i="35"/>
  <c r="T98" i="40"/>
  <c r="S48" i="40"/>
  <c r="J129" i="40"/>
  <c r="K89" i="40"/>
  <c r="V129" i="60"/>
  <c r="I8" i="40"/>
  <c r="L68" i="40"/>
  <c r="G8" i="40"/>
  <c r="F29" i="40"/>
  <c r="I89" i="40"/>
  <c r="E29" i="40"/>
  <c r="AQ7" i="10"/>
  <c r="AP8" i="22"/>
  <c r="AP8" i="15"/>
  <c r="AQ8" i="11"/>
  <c r="AP9" i="5"/>
  <c r="AO14" i="37"/>
  <c r="AO15" i="37"/>
  <c r="AO16" i="7"/>
  <c r="Q9" i="7"/>
  <c r="Q10" i="4"/>
  <c r="Q8" i="16"/>
  <c r="U129" i="14"/>
  <c r="U119" i="14"/>
  <c r="O89" i="40"/>
  <c r="P68" i="40"/>
  <c r="D29" i="40"/>
  <c r="T110" i="40"/>
  <c r="M129" i="40"/>
  <c r="R8" i="40"/>
  <c r="F68" i="40"/>
  <c r="R110" i="40"/>
  <c r="D110" i="40"/>
  <c r="Q135" i="60"/>
  <c r="F8" i="40"/>
  <c r="V49" i="4"/>
  <c r="C110" i="40"/>
  <c r="O129" i="40"/>
  <c r="T8" i="40"/>
  <c r="AQ7" i="8"/>
  <c r="AQ7" i="16"/>
  <c r="AS4" i="33"/>
  <c r="AP8" i="8"/>
  <c r="AQ8" i="20"/>
  <c r="AQ8" i="7"/>
  <c r="V129" i="37"/>
  <c r="AF8" i="10" l="1"/>
  <c r="S49" i="11"/>
  <c r="V24" i="6"/>
  <c r="U26" i="6" s="1"/>
  <c r="V24" i="4"/>
  <c r="U26" i="4" s="1"/>
  <c r="S39" i="5"/>
  <c r="V54" i="10"/>
  <c r="U56" i="10" s="1"/>
  <c r="AF4" i="5"/>
  <c r="S39" i="34"/>
  <c r="AF4" i="17"/>
  <c r="V24" i="16"/>
  <c r="U26" i="16" s="1"/>
  <c r="AF9" i="10"/>
  <c r="AA15" i="10"/>
  <c r="AF15" i="10" s="1"/>
  <c r="AA5" i="8"/>
  <c r="AF5" i="8" s="1"/>
  <c r="AF12" i="10"/>
  <c r="AF4" i="22"/>
  <c r="T31" i="10"/>
  <c r="BB6" i="24"/>
  <c r="V34" i="4"/>
  <c r="AF5" i="4"/>
  <c r="BB6" i="20"/>
  <c r="AA6" i="20" s="1"/>
  <c r="H27" i="44"/>
  <c r="H31" i="44" s="1"/>
  <c r="H34" i="44" s="1"/>
  <c r="H37" i="44" s="1"/>
  <c r="AA5" i="16"/>
  <c r="V34" i="16" s="1"/>
  <c r="U36" i="16" s="1"/>
  <c r="V24" i="11"/>
  <c r="U26" i="11" s="1"/>
  <c r="AA5" i="10"/>
  <c r="AF5" i="10" s="1"/>
  <c r="V24" i="8"/>
  <c r="U26" i="8" s="1"/>
  <c r="AA5" i="15"/>
  <c r="AF5" i="15" s="1"/>
  <c r="AA5" i="17"/>
  <c r="V34" i="17" s="1"/>
  <c r="U36" i="17" s="1"/>
  <c r="AF11" i="10"/>
  <c r="AA6" i="24"/>
  <c r="AF5" i="7"/>
  <c r="V34" i="7"/>
  <c r="U36" i="7" s="1"/>
  <c r="AA5" i="5"/>
  <c r="AA14" i="10"/>
  <c r="AF14" i="10" s="1"/>
  <c r="AA5" i="20"/>
  <c r="AA5" i="24"/>
  <c r="AF5" i="24" s="1"/>
  <c r="S39" i="33"/>
  <c r="AJ16" i="34"/>
  <c r="AA5" i="6"/>
  <c r="AF5" i="6" s="1"/>
  <c r="AA5" i="19"/>
  <c r="V34" i="19" s="1"/>
  <c r="U36" i="19" s="1"/>
  <c r="S39" i="14"/>
  <c r="AA5" i="14"/>
  <c r="V34" i="14" s="1"/>
  <c r="U36" i="14" s="1"/>
  <c r="AH16" i="35"/>
  <c r="I15" i="53"/>
  <c r="I16" i="53"/>
  <c r="AA5" i="11"/>
  <c r="AF5" i="11" s="1"/>
  <c r="AA12" i="60"/>
  <c r="V104" i="60" s="1"/>
  <c r="U106" i="60" s="1"/>
  <c r="Z7" i="7"/>
  <c r="BC7" i="7" s="1"/>
  <c r="Q78" i="7"/>
  <c r="Q78" i="20"/>
  <c r="S28" i="33"/>
  <c r="Q68" i="16"/>
  <c r="Q68" i="8"/>
  <c r="S8" i="16"/>
  <c r="Q60" i="16"/>
  <c r="Q80" i="4"/>
  <c r="Q70" i="7"/>
  <c r="W9" i="7"/>
  <c r="Q78" i="11"/>
  <c r="Q68" i="10"/>
  <c r="Q60" i="19"/>
  <c r="S8" i="19"/>
  <c r="S8" i="8"/>
  <c r="Q60" i="8"/>
  <c r="Q78" i="17"/>
  <c r="Q68" i="24"/>
  <c r="G39" i="40"/>
  <c r="G40" i="40" s="1"/>
  <c r="N138" i="37"/>
  <c r="Q78" i="10"/>
  <c r="S8" i="15"/>
  <c r="Q60" i="15"/>
  <c r="Q68" i="7"/>
  <c r="Q68" i="20"/>
  <c r="T99" i="40"/>
  <c r="T100" i="40" s="1"/>
  <c r="Q70" i="5"/>
  <c r="W9" i="5"/>
  <c r="Q70" i="20"/>
  <c r="W9" i="20"/>
  <c r="AG9" i="11"/>
  <c r="AM9" i="11" s="1"/>
  <c r="S9" i="11"/>
  <c r="Q70" i="11"/>
  <c r="W9" i="11"/>
  <c r="S8" i="6"/>
  <c r="Q60" i="6"/>
  <c r="Q68" i="11"/>
  <c r="G99" i="40"/>
  <c r="G100" i="40" s="1"/>
  <c r="N138" i="14"/>
  <c r="Q70" i="17"/>
  <c r="W9" i="17"/>
  <c r="R79" i="40"/>
  <c r="R80" i="40" s="1"/>
  <c r="S79" i="40"/>
  <c r="S80" i="40" s="1"/>
  <c r="Q68" i="19"/>
  <c r="Q78" i="5"/>
  <c r="S28" i="60"/>
  <c r="G139" i="40"/>
  <c r="G140" i="40" s="1"/>
  <c r="S8" i="14"/>
  <c r="Q60" i="14"/>
  <c r="Q68" i="14"/>
  <c r="Q68" i="6"/>
  <c r="S28" i="34"/>
  <c r="S8" i="24"/>
  <c r="Q60" i="24"/>
  <c r="Q68" i="17"/>
  <c r="Q68" i="15"/>
  <c r="N138" i="20"/>
  <c r="Q68" i="22"/>
  <c r="AQ17" i="60"/>
  <c r="H139" i="40"/>
  <c r="H140" i="40" s="1"/>
  <c r="AJ6" i="16"/>
  <c r="U41" i="16"/>
  <c r="T41" i="16" s="1"/>
  <c r="AJ7" i="11"/>
  <c r="U51" i="11"/>
  <c r="T51" i="11" s="1"/>
  <c r="V43" i="24"/>
  <c r="T43" i="24"/>
  <c r="S39" i="8"/>
  <c r="AJ6" i="7"/>
  <c r="U41" i="7"/>
  <c r="T41" i="7" s="1"/>
  <c r="AE7" i="5"/>
  <c r="S56" i="5"/>
  <c r="AI7" i="4"/>
  <c r="AH7" i="4"/>
  <c r="AK7" i="4"/>
  <c r="AJ15" i="60"/>
  <c r="U131" i="60"/>
  <c r="AH16" i="60"/>
  <c r="V41" i="11"/>
  <c r="AA5" i="22"/>
  <c r="S16" i="60"/>
  <c r="Z15" i="60"/>
  <c r="S130" i="60"/>
  <c r="S129" i="60" s="1"/>
  <c r="AJ6" i="14"/>
  <c r="U41" i="14"/>
  <c r="AE7" i="6"/>
  <c r="S56" i="6"/>
  <c r="AE7" i="33"/>
  <c r="S56" i="33"/>
  <c r="T43" i="16"/>
  <c r="V43" i="16"/>
  <c r="AJ6" i="8"/>
  <c r="U41" i="8"/>
  <c r="T41" i="8" s="1"/>
  <c r="S56" i="35"/>
  <c r="AE7" i="35"/>
  <c r="AL6" i="6"/>
  <c r="BC6" i="6"/>
  <c r="BB6" i="6"/>
  <c r="U42" i="24"/>
  <c r="P31" i="14"/>
  <c r="N119" i="14"/>
  <c r="N120" i="14"/>
  <c r="N129" i="14"/>
  <c r="BC6" i="7"/>
  <c r="BB6" i="7"/>
  <c r="AL6" i="7"/>
  <c r="AJ6" i="15"/>
  <c r="U41" i="15"/>
  <c r="T41" i="15" s="1"/>
  <c r="U42" i="22"/>
  <c r="S39" i="10"/>
  <c r="BB6" i="8"/>
  <c r="AL6" i="8"/>
  <c r="BC6" i="8"/>
  <c r="T101" i="37"/>
  <c r="U42" i="14"/>
  <c r="V43" i="19"/>
  <c r="T43" i="19"/>
  <c r="BC13" i="60"/>
  <c r="AL13" i="60"/>
  <c r="BB13" i="60"/>
  <c r="AF5" i="34"/>
  <c r="V34" i="34"/>
  <c r="U36" i="34" s="1"/>
  <c r="U132" i="35"/>
  <c r="V8" i="35"/>
  <c r="S64" i="35" s="1"/>
  <c r="AG8" i="35"/>
  <c r="R9" i="35"/>
  <c r="T8" i="35"/>
  <c r="AD8" i="35"/>
  <c r="U8" i="35"/>
  <c r="S72" i="35" s="1"/>
  <c r="S61" i="35"/>
  <c r="N8" i="35"/>
  <c r="S8" i="35"/>
  <c r="AE7" i="16"/>
  <c r="S56" i="16"/>
  <c r="AE7" i="24"/>
  <c r="S56" i="24"/>
  <c r="S39" i="6"/>
  <c r="AG8" i="17"/>
  <c r="AM8" i="17" s="1"/>
  <c r="S61" i="17"/>
  <c r="T8" i="17"/>
  <c r="AD8" i="17"/>
  <c r="U8" i="17"/>
  <c r="S72" i="17" s="1"/>
  <c r="N8" i="17"/>
  <c r="R9" i="17"/>
  <c r="V8" i="17"/>
  <c r="S64" i="17" s="1"/>
  <c r="AK7" i="22"/>
  <c r="AH7" i="22"/>
  <c r="AI7" i="22"/>
  <c r="V51" i="22" s="1"/>
  <c r="Z7" i="16"/>
  <c r="S50" i="16"/>
  <c r="AF5" i="37"/>
  <c r="V34" i="37"/>
  <c r="U36" i="37" s="1"/>
  <c r="T31" i="7"/>
  <c r="U42" i="15"/>
  <c r="V41" i="20"/>
  <c r="Z16" i="10"/>
  <c r="AL6" i="10"/>
  <c r="BC6" i="10"/>
  <c r="BB6" i="10"/>
  <c r="U42" i="7"/>
  <c r="U8" i="4"/>
  <c r="S72" i="4" s="1"/>
  <c r="AD8" i="4"/>
  <c r="T8" i="4"/>
  <c r="S61" i="4"/>
  <c r="N8" i="4"/>
  <c r="R9" i="4"/>
  <c r="V8" i="4"/>
  <c r="S64" i="4" s="1"/>
  <c r="AG8" i="4"/>
  <c r="AM8" i="4" s="1"/>
  <c r="S8" i="4"/>
  <c r="V8" i="6"/>
  <c r="AG8" i="6"/>
  <c r="AM8" i="6" s="1"/>
  <c r="R9" i="6"/>
  <c r="AD8" i="6"/>
  <c r="T8" i="6"/>
  <c r="U8" i="6"/>
  <c r="S72" i="6" s="1"/>
  <c r="S61" i="6"/>
  <c r="N8" i="6"/>
  <c r="AL6" i="11"/>
  <c r="BC6" i="11"/>
  <c r="BB6" i="11"/>
  <c r="S56" i="15"/>
  <c r="AE7" i="15"/>
  <c r="AG8" i="8"/>
  <c r="AM8" i="8" s="1"/>
  <c r="R9" i="8"/>
  <c r="V8" i="8"/>
  <c r="AD8" i="8"/>
  <c r="S61" i="8"/>
  <c r="U8" i="8"/>
  <c r="S72" i="8" s="1"/>
  <c r="T8" i="8"/>
  <c r="N8" i="8"/>
  <c r="U42" i="20"/>
  <c r="V43" i="22"/>
  <c r="T43" i="22"/>
  <c r="V34" i="15"/>
  <c r="U36" i="15" s="1"/>
  <c r="S50" i="37"/>
  <c r="Z7" i="37"/>
  <c r="U122" i="35"/>
  <c r="AI7" i="6"/>
  <c r="V51" i="6" s="1"/>
  <c r="AH7" i="6"/>
  <c r="AK7" i="6"/>
  <c r="V43" i="5"/>
  <c r="T43" i="5"/>
  <c r="Z14" i="60"/>
  <c r="S120" i="60"/>
  <c r="S119" i="60" s="1"/>
  <c r="H32" i="45"/>
  <c r="C50" i="45" s="1"/>
  <c r="S54" i="35"/>
  <c r="AK7" i="16"/>
  <c r="AI7" i="16"/>
  <c r="V51" i="16" s="1"/>
  <c r="AH7" i="16"/>
  <c r="S39" i="11"/>
  <c r="V8" i="15"/>
  <c r="AG8" i="15"/>
  <c r="AM8" i="15" s="1"/>
  <c r="T8" i="15"/>
  <c r="AD8" i="15"/>
  <c r="S61" i="15"/>
  <c r="U8" i="15"/>
  <c r="S72" i="15" s="1"/>
  <c r="N8" i="15"/>
  <c r="R9" i="15"/>
  <c r="BC6" i="16"/>
  <c r="AL6" i="16"/>
  <c r="BB6" i="16"/>
  <c r="R9" i="22"/>
  <c r="AG8" i="22"/>
  <c r="AM8" i="22" s="1"/>
  <c r="V8" i="22"/>
  <c r="T8" i="22"/>
  <c r="S61" i="22"/>
  <c r="U8" i="22"/>
  <c r="S72" i="22" s="1"/>
  <c r="AD8" i="22"/>
  <c r="N8" i="22"/>
  <c r="S73" i="4"/>
  <c r="AH15" i="37"/>
  <c r="AK15" i="37"/>
  <c r="AI15" i="37"/>
  <c r="V131" i="37" s="1"/>
  <c r="N129" i="37"/>
  <c r="BC6" i="34"/>
  <c r="AL6" i="34"/>
  <c r="BB6" i="34"/>
  <c r="AA6" i="34"/>
  <c r="AJ6" i="20"/>
  <c r="U41" i="20"/>
  <c r="BB6" i="14"/>
  <c r="BC6" i="14"/>
  <c r="AL6" i="14"/>
  <c r="H28" i="46"/>
  <c r="V43" i="4"/>
  <c r="T43" i="4"/>
  <c r="V8" i="19"/>
  <c r="S64" i="19" s="1"/>
  <c r="AG8" i="19"/>
  <c r="AM8" i="19" s="1"/>
  <c r="AD8" i="19"/>
  <c r="T8" i="19"/>
  <c r="U8" i="19"/>
  <c r="S72" i="19" s="1"/>
  <c r="S61" i="19"/>
  <c r="N8" i="19"/>
  <c r="R9" i="19"/>
  <c r="U42" i="10"/>
  <c r="AK7" i="14"/>
  <c r="AI7" i="14"/>
  <c r="V51" i="14" s="1"/>
  <c r="AH7" i="14"/>
  <c r="AD8" i="16"/>
  <c r="T8" i="16"/>
  <c r="S61" i="16"/>
  <c r="N8" i="16"/>
  <c r="V8" i="16"/>
  <c r="S64" i="16" s="1"/>
  <c r="AG8" i="16"/>
  <c r="AM8" i="16" s="1"/>
  <c r="R9" i="16"/>
  <c r="U8" i="16"/>
  <c r="S72" i="16" s="1"/>
  <c r="S39" i="16"/>
  <c r="AE7" i="17"/>
  <c r="S56" i="17"/>
  <c r="AE7" i="34"/>
  <c r="S56" i="34"/>
  <c r="AJ16" i="33"/>
  <c r="AF6" i="20"/>
  <c r="V44" i="20"/>
  <c r="N129" i="20"/>
  <c r="S8" i="17"/>
  <c r="Z7" i="8"/>
  <c r="S50" i="8"/>
  <c r="S133" i="37"/>
  <c r="W16" i="37"/>
  <c r="S39" i="22"/>
  <c r="AK16" i="35"/>
  <c r="S50" i="33"/>
  <c r="Z7" i="33"/>
  <c r="S39" i="37"/>
  <c r="T31" i="6"/>
  <c r="R9" i="24"/>
  <c r="V8" i="24"/>
  <c r="S64" i="24" s="1"/>
  <c r="AG8" i="24"/>
  <c r="AM8" i="24" s="1"/>
  <c r="AD8" i="24"/>
  <c r="T8" i="24"/>
  <c r="U8" i="24"/>
  <c r="S72" i="24" s="1"/>
  <c r="S61" i="24"/>
  <c r="N8" i="24"/>
  <c r="AI7" i="15"/>
  <c r="V51" i="15" s="1"/>
  <c r="AH7" i="15"/>
  <c r="AK7" i="15"/>
  <c r="Z7" i="24"/>
  <c r="S50" i="24"/>
  <c r="S56" i="7"/>
  <c r="S49" i="7" s="1"/>
  <c r="AE7" i="7"/>
  <c r="BC7" i="11"/>
  <c r="AL7" i="11"/>
  <c r="BB7" i="11"/>
  <c r="V43" i="8"/>
  <c r="T43" i="8"/>
  <c r="V43" i="35"/>
  <c r="T43" i="35"/>
  <c r="N8" i="5"/>
  <c r="R9" i="5"/>
  <c r="V8" i="5"/>
  <c r="S64" i="5" s="1"/>
  <c r="AG8" i="5"/>
  <c r="AM8" i="5" s="1"/>
  <c r="T8" i="5"/>
  <c r="AD8" i="5"/>
  <c r="U8" i="5"/>
  <c r="S72" i="5" s="1"/>
  <c r="S61" i="5"/>
  <c r="V43" i="15"/>
  <c r="T43" i="15"/>
  <c r="AL6" i="22"/>
  <c r="BC6" i="22"/>
  <c r="BB6" i="22"/>
  <c r="U41" i="10"/>
  <c r="T41" i="10" s="1"/>
  <c r="AJ6" i="10"/>
  <c r="AL6" i="37"/>
  <c r="BC6" i="37"/>
  <c r="BB6" i="37"/>
  <c r="AA6" i="37"/>
  <c r="AI7" i="24"/>
  <c r="AH7" i="24"/>
  <c r="AK7" i="24"/>
  <c r="S54" i="34"/>
  <c r="S50" i="19"/>
  <c r="Z7" i="19"/>
  <c r="P31" i="20"/>
  <c r="N120" i="20"/>
  <c r="N119" i="20"/>
  <c r="Z7" i="15"/>
  <c r="S50" i="15"/>
  <c r="AF5" i="20"/>
  <c r="V34" i="20"/>
  <c r="U36" i="20" s="1"/>
  <c r="AL6" i="5"/>
  <c r="BC6" i="5"/>
  <c r="BB6" i="5"/>
  <c r="T43" i="37"/>
  <c r="V43" i="37"/>
  <c r="AK7" i="20"/>
  <c r="AI7" i="20"/>
  <c r="V51" i="20" s="1"/>
  <c r="AH7" i="20"/>
  <c r="AI7" i="5"/>
  <c r="V51" i="5" s="1"/>
  <c r="AK7" i="5"/>
  <c r="AH7" i="5"/>
  <c r="T43" i="20"/>
  <c r="V43" i="20"/>
  <c r="Z7" i="4"/>
  <c r="S50" i="4"/>
  <c r="AJ6" i="19"/>
  <c r="U41" i="19"/>
  <c r="AE7" i="37"/>
  <c r="S56" i="37"/>
  <c r="AJ6" i="5"/>
  <c r="U41" i="5"/>
  <c r="T41" i="5" s="1"/>
  <c r="U112" i="37"/>
  <c r="R9" i="33"/>
  <c r="V8" i="33"/>
  <c r="AG8" i="33"/>
  <c r="U8" i="33"/>
  <c r="S72" i="33" s="1"/>
  <c r="T8" i="33"/>
  <c r="AD8" i="33"/>
  <c r="S61" i="33"/>
  <c r="N8" i="33"/>
  <c r="S8" i="33"/>
  <c r="S39" i="15"/>
  <c r="T31" i="5"/>
  <c r="U42" i="6"/>
  <c r="Z7" i="35"/>
  <c r="S50" i="35"/>
  <c r="S54" i="24"/>
  <c r="S39" i="17"/>
  <c r="AI7" i="17"/>
  <c r="V51" i="17" s="1"/>
  <c r="AH7" i="17"/>
  <c r="AK7" i="17"/>
  <c r="AH7" i="8"/>
  <c r="AK7" i="8"/>
  <c r="AI7" i="8"/>
  <c r="AL6" i="20"/>
  <c r="Z7" i="20"/>
  <c r="S50" i="20"/>
  <c r="S8" i="7"/>
  <c r="AG8" i="7"/>
  <c r="AM8" i="7" s="1"/>
  <c r="T8" i="7"/>
  <c r="AD8" i="7"/>
  <c r="U8" i="7"/>
  <c r="S72" i="7" s="1"/>
  <c r="S61" i="7"/>
  <c r="N8" i="7"/>
  <c r="R9" i="7"/>
  <c r="V8" i="7"/>
  <c r="S64" i="7" s="1"/>
  <c r="AJ6" i="17"/>
  <c r="U41" i="17"/>
  <c r="S8" i="20"/>
  <c r="V8" i="20"/>
  <c r="S64" i="20" s="1"/>
  <c r="R9" i="20"/>
  <c r="S61" i="20"/>
  <c r="U8" i="20"/>
  <c r="S72" i="20" s="1"/>
  <c r="T8" i="20"/>
  <c r="AD8" i="20"/>
  <c r="N8" i="20"/>
  <c r="AG8" i="20"/>
  <c r="AM8" i="20" s="1"/>
  <c r="T43" i="14"/>
  <c r="V43" i="14"/>
  <c r="S50" i="5"/>
  <c r="Z7" i="5"/>
  <c r="V41" i="19"/>
  <c r="AE7" i="19"/>
  <c r="S56" i="19"/>
  <c r="AJ13" i="37"/>
  <c r="U111" i="37"/>
  <c r="T111" i="37" s="1"/>
  <c r="V34" i="5"/>
  <c r="U36" i="5" s="1"/>
  <c r="AA38" i="5" s="1"/>
  <c r="AC38" i="5" s="1"/>
  <c r="AF5" i="5"/>
  <c r="AJ6" i="4"/>
  <c r="U41" i="4"/>
  <c r="T41" i="4" s="1"/>
  <c r="AL6" i="15"/>
  <c r="BC6" i="15"/>
  <c r="BB6" i="15"/>
  <c r="AJ6" i="6"/>
  <c r="U41" i="6"/>
  <c r="T41" i="6" s="1"/>
  <c r="V43" i="6"/>
  <c r="T43" i="6"/>
  <c r="V43" i="10"/>
  <c r="T43" i="10"/>
  <c r="AI16" i="10"/>
  <c r="S39" i="4"/>
  <c r="BC6" i="17"/>
  <c r="AL6" i="17"/>
  <c r="BB6" i="17"/>
  <c r="S39" i="35"/>
  <c r="S54" i="17"/>
  <c r="AE7" i="22"/>
  <c r="S56" i="22"/>
  <c r="V44" i="24"/>
  <c r="U46" i="24" s="1"/>
  <c r="AF6" i="24"/>
  <c r="S8" i="5"/>
  <c r="AH7" i="7"/>
  <c r="AI7" i="7"/>
  <c r="V51" i="7" s="1"/>
  <c r="AK7" i="7"/>
  <c r="V41" i="17"/>
  <c r="AF5" i="35"/>
  <c r="V34" i="35"/>
  <c r="U36" i="35" s="1"/>
  <c r="U42" i="19"/>
  <c r="U42" i="5"/>
  <c r="V43" i="34"/>
  <c r="T43" i="34"/>
  <c r="S39" i="7"/>
  <c r="AE7" i="14"/>
  <c r="S56" i="14"/>
  <c r="T31" i="24"/>
  <c r="H33" i="46"/>
  <c r="U42" i="4"/>
  <c r="AF5" i="33"/>
  <c r="V34" i="33"/>
  <c r="U36" i="33" s="1"/>
  <c r="H29" i="45"/>
  <c r="V43" i="33"/>
  <c r="T43" i="33"/>
  <c r="AH16" i="10"/>
  <c r="S39" i="19"/>
  <c r="BC6" i="4"/>
  <c r="AL6" i="4"/>
  <c r="H19" i="46"/>
  <c r="BB6" i="4"/>
  <c r="AL6" i="35"/>
  <c r="BC6" i="35"/>
  <c r="BB6" i="35"/>
  <c r="AA6" i="35"/>
  <c r="S50" i="17"/>
  <c r="Z7" i="17"/>
  <c r="S50" i="22"/>
  <c r="Z7" i="22"/>
  <c r="U36" i="4"/>
  <c r="Z7" i="6"/>
  <c r="S50" i="6"/>
  <c r="S49" i="6" s="1"/>
  <c r="U42" i="17"/>
  <c r="U132" i="60"/>
  <c r="AK16" i="60"/>
  <c r="U42" i="11"/>
  <c r="AK7" i="19"/>
  <c r="AI7" i="19"/>
  <c r="V51" i="19" s="1"/>
  <c r="AH7" i="19"/>
  <c r="AJ14" i="35"/>
  <c r="U121" i="35"/>
  <c r="V43" i="7"/>
  <c r="T43" i="7"/>
  <c r="S54" i="14"/>
  <c r="BC6" i="19"/>
  <c r="AL6" i="19"/>
  <c r="BB6" i="19"/>
  <c r="T43" i="17"/>
  <c r="V43" i="17"/>
  <c r="U41" i="24"/>
  <c r="T41" i="24" s="1"/>
  <c r="AJ6" i="24"/>
  <c r="Z7" i="34"/>
  <c r="S50" i="34"/>
  <c r="S8" i="22"/>
  <c r="P31" i="37"/>
  <c r="AH14" i="37"/>
  <c r="AK14" i="37"/>
  <c r="AI14" i="37"/>
  <c r="N120" i="37"/>
  <c r="N119" i="37"/>
  <c r="Z8" i="11"/>
  <c r="S60" i="11"/>
  <c r="S59" i="11" s="1"/>
  <c r="Z7" i="14"/>
  <c r="S50" i="14"/>
  <c r="U42" i="16"/>
  <c r="U52" i="11"/>
  <c r="BB6" i="33"/>
  <c r="BC6" i="33"/>
  <c r="H22" i="46"/>
  <c r="AL6" i="33"/>
  <c r="AA6" i="33"/>
  <c r="AJ6" i="22"/>
  <c r="U41" i="22"/>
  <c r="T41" i="22" s="1"/>
  <c r="S56" i="20"/>
  <c r="AE7" i="20"/>
  <c r="H20" i="47"/>
  <c r="S56" i="4"/>
  <c r="AE7" i="4"/>
  <c r="V8" i="37"/>
  <c r="S64" i="37" s="1"/>
  <c r="R9" i="37"/>
  <c r="AG8" i="37"/>
  <c r="S61" i="37"/>
  <c r="U8" i="37"/>
  <c r="S72" i="37" s="1"/>
  <c r="T8" i="37"/>
  <c r="AD8" i="37"/>
  <c r="N8" i="37"/>
  <c r="S8" i="37"/>
  <c r="V131" i="60"/>
  <c r="AI16" i="60"/>
  <c r="AJ6" i="11"/>
  <c r="U41" i="11"/>
  <c r="T41" i="11" s="1"/>
  <c r="V121" i="35"/>
  <c r="AI16" i="35"/>
  <c r="AJ16" i="35" s="1"/>
  <c r="V41" i="14"/>
  <c r="AJ14" i="60"/>
  <c r="U121" i="60"/>
  <c r="T121" i="60" s="1"/>
  <c r="R9" i="14"/>
  <c r="V8" i="14"/>
  <c r="S64" i="14" s="1"/>
  <c r="AG8" i="14"/>
  <c r="AM8" i="14" s="1"/>
  <c r="U8" i="14"/>
  <c r="S72" i="14" s="1"/>
  <c r="T8" i="14"/>
  <c r="AD8" i="14"/>
  <c r="S61" i="14"/>
  <c r="N8" i="14"/>
  <c r="AE16" i="11"/>
  <c r="H28" i="11" s="1"/>
  <c r="V43" i="11"/>
  <c r="T43" i="11"/>
  <c r="U42" i="8"/>
  <c r="AJ15" i="35"/>
  <c r="U131" i="35"/>
  <c r="T131" i="35" s="1"/>
  <c r="U8" i="34"/>
  <c r="S72" i="34" s="1"/>
  <c r="S61" i="34"/>
  <c r="N8" i="34"/>
  <c r="AD8" i="34"/>
  <c r="R9" i="34"/>
  <c r="V8" i="34"/>
  <c r="S64" i="34" s="1"/>
  <c r="AG8" i="34"/>
  <c r="T8" i="34"/>
  <c r="S8" i="34"/>
  <c r="AE7" i="8"/>
  <c r="S56" i="8"/>
  <c r="AL6" i="24"/>
  <c r="AH8" i="11"/>
  <c r="AI8" i="11"/>
  <c r="V61" i="11" s="1"/>
  <c r="AK8" i="11"/>
  <c r="G58" i="40"/>
  <c r="F48" i="40"/>
  <c r="P49" i="40"/>
  <c r="M48" i="40"/>
  <c r="G48" i="40"/>
  <c r="L48" i="40"/>
  <c r="N48" i="40"/>
  <c r="O49" i="40"/>
  <c r="C48" i="40"/>
  <c r="G57" i="40"/>
  <c r="P48" i="40"/>
  <c r="O48" i="40"/>
  <c r="E30" i="40"/>
  <c r="D48" i="40"/>
  <c r="J48" i="40"/>
  <c r="K48" i="40"/>
  <c r="H48" i="40"/>
  <c r="K69" i="40"/>
  <c r="G9" i="40"/>
  <c r="V59" i="22"/>
  <c r="P69" i="40"/>
  <c r="N130" i="40"/>
  <c r="R30" i="40"/>
  <c r="Q9" i="40"/>
  <c r="Q130" i="40"/>
  <c r="P30" i="40"/>
  <c r="N69" i="40"/>
  <c r="P111" i="40"/>
  <c r="Q65" i="5"/>
  <c r="T9" i="40"/>
  <c r="Q65" i="34"/>
  <c r="AP9" i="22"/>
  <c r="AQ8" i="16"/>
  <c r="AP10" i="7"/>
  <c r="Q65" i="16"/>
  <c r="Q65" i="19"/>
  <c r="Q65" i="14"/>
  <c r="H70" i="40"/>
  <c r="T130" i="40"/>
  <c r="L69" i="40"/>
  <c r="O75" i="35"/>
  <c r="V59" i="4"/>
  <c r="L111" i="40"/>
  <c r="V59" i="19"/>
  <c r="Q65" i="17"/>
  <c r="L90" i="40"/>
  <c r="Q76" i="40"/>
  <c r="D69" i="40"/>
  <c r="R9" i="40"/>
  <c r="Q65" i="37"/>
  <c r="F130" i="40"/>
  <c r="AS5" i="60"/>
  <c r="Q9" i="22"/>
  <c r="AQ8" i="14"/>
  <c r="Q9" i="14"/>
  <c r="AO16" i="37"/>
  <c r="AP10" i="22"/>
  <c r="Q65" i="6"/>
  <c r="B90" i="40"/>
  <c r="D130" i="40"/>
  <c r="V59" i="17"/>
  <c r="M30" i="40"/>
  <c r="Q65" i="4"/>
  <c r="H9" i="40"/>
  <c r="Q98" i="40"/>
  <c r="J111" i="40"/>
  <c r="M111" i="40"/>
  <c r="J30" i="40"/>
  <c r="C69" i="40"/>
  <c r="Q65" i="33"/>
  <c r="V59" i="20"/>
  <c r="O69" i="40"/>
  <c r="H31" i="40"/>
  <c r="R49" i="40"/>
  <c r="B130" i="40"/>
  <c r="O75" i="14"/>
  <c r="T78" i="40"/>
  <c r="AQ9" i="7"/>
  <c r="P16" i="14"/>
  <c r="Q10" i="11"/>
  <c r="AS4" i="35"/>
  <c r="AP10" i="5"/>
  <c r="D9" i="40"/>
  <c r="T111" i="40"/>
  <c r="Q30" i="40"/>
  <c r="S130" i="40"/>
  <c r="O75" i="24"/>
  <c r="O30" i="40"/>
  <c r="Q49" i="40"/>
  <c r="C9" i="40"/>
  <c r="C90" i="40"/>
  <c r="Q65" i="7"/>
  <c r="T49" i="40"/>
  <c r="S30" i="40"/>
  <c r="O9" i="40"/>
  <c r="AQ8" i="24"/>
  <c r="AU5" i="34"/>
  <c r="AQ10" i="4"/>
  <c r="AP9" i="14"/>
  <c r="Q9" i="8"/>
  <c r="Q10" i="5"/>
  <c r="Q10" i="22"/>
  <c r="AU6" i="34"/>
  <c r="Q65" i="8"/>
  <c r="R130" i="40"/>
  <c r="V59" i="6"/>
  <c r="F30" i="40"/>
  <c r="V59" i="7"/>
  <c r="K30" i="40"/>
  <c r="I69" i="40"/>
  <c r="H69" i="40"/>
  <c r="V59" i="14"/>
  <c r="Q9" i="24"/>
  <c r="AU4" i="35"/>
  <c r="Q10" i="20"/>
  <c r="AP10" i="11"/>
  <c r="N111" i="40"/>
  <c r="O75" i="6"/>
  <c r="O75" i="15"/>
  <c r="I111" i="40"/>
  <c r="K9" i="40"/>
  <c r="V59" i="24"/>
  <c r="I9" i="40"/>
  <c r="N90" i="40"/>
  <c r="E90" i="40"/>
  <c r="K130" i="40"/>
  <c r="N30" i="40"/>
  <c r="J9" i="40"/>
  <c r="AS5" i="34"/>
  <c r="P16" i="37"/>
  <c r="AQ8" i="19"/>
  <c r="AP9" i="8"/>
  <c r="Q9" i="16"/>
  <c r="F9" i="40"/>
  <c r="D111" i="40"/>
  <c r="M90" i="40"/>
  <c r="O111" i="40"/>
  <c r="O75" i="33"/>
  <c r="E111" i="40"/>
  <c r="Q65" i="20"/>
  <c r="C30" i="40"/>
  <c r="B69" i="40"/>
  <c r="I130" i="40"/>
  <c r="J90" i="40"/>
  <c r="Q65" i="22"/>
  <c r="O75" i="37"/>
  <c r="AS5" i="33"/>
  <c r="AP9" i="24"/>
  <c r="P16" i="20"/>
  <c r="AP10" i="20"/>
  <c r="Q9" i="6"/>
  <c r="Q11" i="4"/>
  <c r="AU6" i="33"/>
  <c r="Q65" i="24"/>
  <c r="E69" i="40"/>
  <c r="Q65" i="35"/>
  <c r="B111" i="40"/>
  <c r="L130" i="40"/>
  <c r="M9" i="40"/>
  <c r="O75" i="19"/>
  <c r="V59" i="16"/>
  <c r="E130" i="40"/>
  <c r="O75" i="5"/>
  <c r="O90" i="40"/>
  <c r="B30" i="40"/>
  <c r="T30" i="40"/>
  <c r="F90" i="40"/>
  <c r="B9" i="40"/>
  <c r="I30" i="40"/>
  <c r="K111" i="40"/>
  <c r="S111" i="40"/>
  <c r="AQ8" i="6"/>
  <c r="AQ9" i="20"/>
  <c r="Q9" i="19"/>
  <c r="AP9" i="16"/>
  <c r="AP9" i="6"/>
  <c r="I48" i="40"/>
  <c r="M130" i="40"/>
  <c r="O75" i="17"/>
  <c r="V59" i="8"/>
  <c r="S9" i="40"/>
  <c r="O75" i="16"/>
  <c r="O75" i="20"/>
  <c r="O75" i="34"/>
  <c r="AQ8" i="15"/>
  <c r="AQ9" i="10"/>
  <c r="AP9" i="19"/>
  <c r="AP11" i="4"/>
  <c r="V69" i="11"/>
  <c r="C130" i="40"/>
  <c r="F69" i="40"/>
  <c r="O75" i="8"/>
  <c r="D90" i="40"/>
  <c r="K90" i="40"/>
  <c r="V59" i="5"/>
  <c r="J69" i="40"/>
  <c r="L9" i="40"/>
  <c r="Q97" i="40"/>
  <c r="P130" i="40"/>
  <c r="AQ8" i="8"/>
  <c r="AQ9" i="11"/>
  <c r="AP10" i="10"/>
  <c r="Q10" i="17"/>
  <c r="AO16" i="20"/>
  <c r="Q65" i="15"/>
  <c r="Q75" i="11"/>
  <c r="I90" i="40"/>
  <c r="S49" i="40"/>
  <c r="H10" i="40"/>
  <c r="G69" i="40"/>
  <c r="P90" i="40"/>
  <c r="O75" i="7"/>
  <c r="T77" i="40"/>
  <c r="H91" i="40"/>
  <c r="AU5" i="33"/>
  <c r="Q9" i="15"/>
  <c r="AQ9" i="5"/>
  <c r="AQ9" i="17"/>
  <c r="Q10" i="7"/>
  <c r="AP10" i="17"/>
  <c r="AO16" i="14"/>
  <c r="M69" i="40"/>
  <c r="E9" i="40"/>
  <c r="O130" i="40"/>
  <c r="O75" i="4"/>
  <c r="F111" i="40"/>
  <c r="V59" i="15"/>
  <c r="O75" i="22"/>
  <c r="C111" i="40"/>
  <c r="L30" i="40"/>
  <c r="R111" i="40"/>
  <c r="P9" i="40"/>
  <c r="J130" i="40"/>
  <c r="N9" i="40"/>
  <c r="D30" i="40"/>
  <c r="Q111" i="40"/>
  <c r="AU5" i="60"/>
  <c r="AQ8" i="22"/>
  <c r="AP9" i="15"/>
  <c r="G24" i="57"/>
  <c r="V134" i="10" l="1"/>
  <c r="U136" i="10" s="1"/>
  <c r="AF5" i="16"/>
  <c r="V34" i="10"/>
  <c r="U36" i="10" s="1"/>
  <c r="BB7" i="7"/>
  <c r="AA7" i="7" s="1"/>
  <c r="AF7" i="7" s="1"/>
  <c r="V34" i="8"/>
  <c r="U36" i="8" s="1"/>
  <c r="AJ16" i="10"/>
  <c r="H27" i="45"/>
  <c r="H31" i="45" s="1"/>
  <c r="H34" i="45" s="1"/>
  <c r="H37" i="45" s="1"/>
  <c r="AF5" i="17"/>
  <c r="AF12" i="60"/>
  <c r="V124" i="10"/>
  <c r="U126" i="10" s="1"/>
  <c r="V34" i="6"/>
  <c r="U36" i="6" s="1"/>
  <c r="S49" i="15"/>
  <c r="AA6" i="4"/>
  <c r="AF6" i="4" s="1"/>
  <c r="V34" i="11"/>
  <c r="U36" i="11" s="1"/>
  <c r="W36" i="11" s="1"/>
  <c r="AA6" i="11"/>
  <c r="V44" i="11" s="1"/>
  <c r="U46" i="11" s="1"/>
  <c r="T41" i="20"/>
  <c r="S49" i="34"/>
  <c r="AF5" i="19"/>
  <c r="S49" i="17"/>
  <c r="AA6" i="16"/>
  <c r="AF6" i="16" s="1"/>
  <c r="AA6" i="22"/>
  <c r="V34" i="24"/>
  <c r="U36" i="24" s="1"/>
  <c r="AA6" i="8"/>
  <c r="AF6" i="8" s="1"/>
  <c r="AA6" i="7"/>
  <c r="V44" i="7" s="1"/>
  <c r="U46" i="7" s="1"/>
  <c r="S49" i="35"/>
  <c r="AA6" i="10"/>
  <c r="AA16" i="10" s="1"/>
  <c r="H27" i="10" s="1"/>
  <c r="L31" i="10" s="1"/>
  <c r="AA6" i="14"/>
  <c r="AF6" i="14" s="1"/>
  <c r="S49" i="33"/>
  <c r="AA6" i="15"/>
  <c r="V44" i="15" s="1"/>
  <c r="U46" i="15" s="1"/>
  <c r="AA6" i="6"/>
  <c r="V44" i="6" s="1"/>
  <c r="U46" i="6" s="1"/>
  <c r="AA13" i="60"/>
  <c r="AF13" i="60" s="1"/>
  <c r="AA6" i="5"/>
  <c r="V44" i="5" s="1"/>
  <c r="U46" i="5" s="1"/>
  <c r="W46" i="5" s="1"/>
  <c r="AA6" i="19"/>
  <c r="V44" i="19" s="1"/>
  <c r="U46" i="19" s="1"/>
  <c r="S49" i="16"/>
  <c r="AF5" i="14"/>
  <c r="I15" i="55"/>
  <c r="H24" i="46"/>
  <c r="AA6" i="17"/>
  <c r="V44" i="17" s="1"/>
  <c r="U46" i="17" s="1"/>
  <c r="I15" i="54"/>
  <c r="AA7" i="11"/>
  <c r="AF7" i="11" s="1"/>
  <c r="Q78" i="22"/>
  <c r="Q80" i="7"/>
  <c r="S9" i="15"/>
  <c r="Q70" i="15"/>
  <c r="W9" i="15"/>
  <c r="T79" i="40"/>
  <c r="T80" i="40" s="1"/>
  <c r="G79" i="40"/>
  <c r="G80" i="40" s="1"/>
  <c r="Q80" i="17"/>
  <c r="Q78" i="8"/>
  <c r="Q99" i="40"/>
  <c r="Q100" i="40" s="1"/>
  <c r="Q78" i="15"/>
  <c r="S9" i="19"/>
  <c r="Q70" i="19"/>
  <c r="W9" i="19"/>
  <c r="Q78" i="6"/>
  <c r="Q90" i="4"/>
  <c r="S9" i="6"/>
  <c r="Q70" i="6"/>
  <c r="W9" i="6"/>
  <c r="S38" i="33"/>
  <c r="S9" i="16"/>
  <c r="Q70" i="16"/>
  <c r="W9" i="16"/>
  <c r="Q78" i="19"/>
  <c r="S38" i="34"/>
  <c r="Q80" i="20"/>
  <c r="S9" i="24"/>
  <c r="Q70" i="24"/>
  <c r="W9" i="24"/>
  <c r="Q80" i="22"/>
  <c r="Q80" i="5"/>
  <c r="S9" i="8"/>
  <c r="Q70" i="8"/>
  <c r="W9" i="8"/>
  <c r="Q98" i="4"/>
  <c r="Q78" i="24"/>
  <c r="S28" i="35"/>
  <c r="AG10" i="11"/>
  <c r="AM10" i="11" s="1"/>
  <c r="S10" i="11"/>
  <c r="Q80" i="11"/>
  <c r="S9" i="14"/>
  <c r="Q70" i="14"/>
  <c r="W9" i="14"/>
  <c r="Q78" i="14"/>
  <c r="S9" i="22"/>
  <c r="Q70" i="22"/>
  <c r="W9" i="22"/>
  <c r="S38" i="60"/>
  <c r="Q78" i="16"/>
  <c r="G20" i="40"/>
  <c r="AE8" i="37"/>
  <c r="S66" i="37"/>
  <c r="T121" i="35"/>
  <c r="BC7" i="6"/>
  <c r="AL7" i="6"/>
  <c r="BB7" i="6"/>
  <c r="T53" i="19"/>
  <c r="V53" i="19"/>
  <c r="AE8" i="33"/>
  <c r="S66" i="33"/>
  <c r="BC7" i="15"/>
  <c r="AL7" i="15"/>
  <c r="BB7" i="15"/>
  <c r="AE8" i="5"/>
  <c r="S66" i="5"/>
  <c r="AJ7" i="14"/>
  <c r="U51" i="14"/>
  <c r="T51" i="14" s="1"/>
  <c r="V9" i="22"/>
  <c r="S74" i="22" s="1"/>
  <c r="AG9" i="22"/>
  <c r="AM9" i="22" s="1"/>
  <c r="R10" i="22"/>
  <c r="S10" i="22" s="1"/>
  <c r="U9" i="22"/>
  <c r="S82" i="22" s="1"/>
  <c r="T9" i="22"/>
  <c r="AD9" i="22"/>
  <c r="S71" i="22"/>
  <c r="N9" i="22"/>
  <c r="AK8" i="15"/>
  <c r="AI8" i="15"/>
  <c r="AH8" i="15"/>
  <c r="AE8" i="8"/>
  <c r="S66" i="8"/>
  <c r="S71" i="4"/>
  <c r="N9" i="4"/>
  <c r="R10" i="4"/>
  <c r="V9" i="4"/>
  <c r="AG9" i="4"/>
  <c r="AM9" i="4" s="1"/>
  <c r="T9" i="4"/>
  <c r="AD9" i="4"/>
  <c r="U9" i="4"/>
  <c r="S82" i="4" s="1"/>
  <c r="S9" i="4"/>
  <c r="O17" i="10"/>
  <c r="Q88" i="10" s="1"/>
  <c r="G66" i="10"/>
  <c r="H17" i="10"/>
  <c r="H23" i="10" s="1"/>
  <c r="G65" i="10"/>
  <c r="AJ7" i="22"/>
  <c r="U51" i="22"/>
  <c r="T51" i="22" s="1"/>
  <c r="V53" i="24"/>
  <c r="T53" i="24"/>
  <c r="I16" i="54"/>
  <c r="U62" i="11"/>
  <c r="V121" i="37"/>
  <c r="AI16" i="37"/>
  <c r="S9" i="7"/>
  <c r="R10" i="7"/>
  <c r="V9" i="7"/>
  <c r="AG9" i="7"/>
  <c r="AM9" i="7" s="1"/>
  <c r="T9" i="7"/>
  <c r="U9" i="7"/>
  <c r="S82" i="7" s="1"/>
  <c r="AD9" i="7"/>
  <c r="S71" i="7"/>
  <c r="N9" i="7"/>
  <c r="T41" i="19"/>
  <c r="U52" i="20"/>
  <c r="AF6" i="34"/>
  <c r="V44" i="34"/>
  <c r="U46" i="34" s="1"/>
  <c r="S64" i="15"/>
  <c r="S64" i="8"/>
  <c r="U52" i="22"/>
  <c r="BC15" i="60"/>
  <c r="AL15" i="60"/>
  <c r="BB15" i="60"/>
  <c r="Z16" i="60"/>
  <c r="S49" i="5"/>
  <c r="Z9" i="11"/>
  <c r="S70" i="11"/>
  <c r="Z8" i="15"/>
  <c r="S60" i="15"/>
  <c r="V53" i="20"/>
  <c r="T53" i="20"/>
  <c r="U122" i="37"/>
  <c r="AK16" i="37"/>
  <c r="AI8" i="5"/>
  <c r="V61" i="5" s="1"/>
  <c r="AK8" i="5"/>
  <c r="AH8" i="5"/>
  <c r="U52" i="14"/>
  <c r="U52" i="6"/>
  <c r="AG9" i="8"/>
  <c r="AM9" i="8" s="1"/>
  <c r="R10" i="8"/>
  <c r="V9" i="8"/>
  <c r="S74" i="8" s="1"/>
  <c r="AD9" i="8"/>
  <c r="S71" i="8"/>
  <c r="T9" i="8"/>
  <c r="U9" i="8"/>
  <c r="S82" i="8" s="1"/>
  <c r="N9" i="8"/>
  <c r="T53" i="5"/>
  <c r="V53" i="5"/>
  <c r="AI9" i="11"/>
  <c r="V71" i="11" s="1"/>
  <c r="AH9" i="11"/>
  <c r="AK9" i="11"/>
  <c r="S73" i="7"/>
  <c r="AJ8" i="11"/>
  <c r="U61" i="11"/>
  <c r="T61" i="11" s="1"/>
  <c r="R10" i="34"/>
  <c r="V9" i="34"/>
  <c r="S74" i="34" s="1"/>
  <c r="AG9" i="34"/>
  <c r="T9" i="34"/>
  <c r="AD9" i="34"/>
  <c r="U9" i="34"/>
  <c r="S82" i="34" s="1"/>
  <c r="S71" i="34"/>
  <c r="N9" i="34"/>
  <c r="S9" i="34"/>
  <c r="AJ14" i="37"/>
  <c r="U121" i="37"/>
  <c r="AJ7" i="19"/>
  <c r="U51" i="19"/>
  <c r="T51" i="19" s="1"/>
  <c r="S71" i="20"/>
  <c r="N9" i="20"/>
  <c r="AG9" i="20"/>
  <c r="AM9" i="20" s="1"/>
  <c r="R10" i="20"/>
  <c r="V9" i="20"/>
  <c r="S74" i="20" s="1"/>
  <c r="T9" i="20"/>
  <c r="U9" i="20"/>
  <c r="S82" i="20" s="1"/>
  <c r="AD9" i="20"/>
  <c r="V51" i="8"/>
  <c r="S49" i="4"/>
  <c r="V44" i="22"/>
  <c r="U46" i="22" s="1"/>
  <c r="AF6" i="22"/>
  <c r="R10" i="16"/>
  <c r="T9" i="16"/>
  <c r="AD9" i="16"/>
  <c r="U9" i="16"/>
  <c r="S82" i="16" s="1"/>
  <c r="S71" i="16"/>
  <c r="N9" i="16"/>
  <c r="V9" i="16"/>
  <c r="AG9" i="16"/>
  <c r="AM9" i="16" s="1"/>
  <c r="AJ7" i="16"/>
  <c r="U51" i="16"/>
  <c r="T51" i="16" s="1"/>
  <c r="AJ7" i="6"/>
  <c r="U51" i="6"/>
  <c r="T51" i="6" s="1"/>
  <c r="AK8" i="8"/>
  <c r="AI8" i="8"/>
  <c r="V61" i="8" s="1"/>
  <c r="AH8" i="8"/>
  <c r="V9" i="17"/>
  <c r="AG9" i="17"/>
  <c r="AM9" i="17" s="1"/>
  <c r="S71" i="17"/>
  <c r="T9" i="17"/>
  <c r="AD9" i="17"/>
  <c r="U9" i="17"/>
  <c r="S82" i="17" s="1"/>
  <c r="N9" i="17"/>
  <c r="R10" i="17"/>
  <c r="V53" i="16"/>
  <c r="T53" i="16"/>
  <c r="AF5" i="22"/>
  <c r="V34" i="22"/>
  <c r="U36" i="22" s="1"/>
  <c r="S73" i="17"/>
  <c r="AE8" i="34"/>
  <c r="S66" i="34"/>
  <c r="AE8" i="14"/>
  <c r="S66" i="14"/>
  <c r="BC7" i="22"/>
  <c r="AL7" i="22"/>
  <c r="BB7" i="22"/>
  <c r="S49" i="22"/>
  <c r="U52" i="8"/>
  <c r="AL7" i="35"/>
  <c r="BC7" i="35"/>
  <c r="BB7" i="35"/>
  <c r="AA7" i="35"/>
  <c r="S64" i="33"/>
  <c r="AL7" i="4"/>
  <c r="BC7" i="4"/>
  <c r="H19" i="47"/>
  <c r="BB7" i="4"/>
  <c r="U52" i="24"/>
  <c r="T9" i="5"/>
  <c r="U9" i="5"/>
  <c r="S82" i="5" s="1"/>
  <c r="AD9" i="5"/>
  <c r="S71" i="5"/>
  <c r="N9" i="5"/>
  <c r="V9" i="5"/>
  <c r="AG9" i="5"/>
  <c r="AM9" i="5" s="1"/>
  <c r="R10" i="5"/>
  <c r="V53" i="7"/>
  <c r="T53" i="7"/>
  <c r="U46" i="20"/>
  <c r="AH8" i="16"/>
  <c r="AK8" i="16"/>
  <c r="AI8" i="16"/>
  <c r="R10" i="19"/>
  <c r="V9" i="19"/>
  <c r="AG9" i="19"/>
  <c r="AM9" i="19" s="1"/>
  <c r="AD9" i="19"/>
  <c r="T9" i="19"/>
  <c r="U9" i="19"/>
  <c r="S82" i="19" s="1"/>
  <c r="S71" i="19"/>
  <c r="N9" i="19"/>
  <c r="V53" i="15"/>
  <c r="T53" i="15"/>
  <c r="AE8" i="4"/>
  <c r="H20" i="48"/>
  <c r="S66" i="4"/>
  <c r="Z8" i="35"/>
  <c r="S60" i="35"/>
  <c r="Z8" i="24"/>
  <c r="S60" i="24"/>
  <c r="S9" i="17"/>
  <c r="S73" i="20"/>
  <c r="S71" i="37"/>
  <c r="R10" i="37"/>
  <c r="AG9" i="37"/>
  <c r="V9" i="37"/>
  <c r="S74" i="37" s="1"/>
  <c r="U9" i="37"/>
  <c r="S82" i="37" s="1"/>
  <c r="T9" i="37"/>
  <c r="AD9" i="37"/>
  <c r="N9" i="37"/>
  <c r="S9" i="37"/>
  <c r="Z8" i="22"/>
  <c r="S60" i="22"/>
  <c r="U52" i="19"/>
  <c r="T53" i="22"/>
  <c r="V53" i="22"/>
  <c r="H32" i="46"/>
  <c r="C50" i="46" s="1"/>
  <c r="BB7" i="5"/>
  <c r="BC7" i="5"/>
  <c r="AL7" i="5"/>
  <c r="S60" i="20"/>
  <c r="Z8" i="20"/>
  <c r="AE8" i="7"/>
  <c r="S66" i="7"/>
  <c r="AJ7" i="8"/>
  <c r="U51" i="8"/>
  <c r="S71" i="33"/>
  <c r="N9" i="33"/>
  <c r="AG9" i="33"/>
  <c r="V9" i="33"/>
  <c r="S74" i="33" s="1"/>
  <c r="R10" i="33"/>
  <c r="U9" i="33"/>
  <c r="S82" i="33" s="1"/>
  <c r="T9" i="33"/>
  <c r="AD9" i="33"/>
  <c r="S9" i="33"/>
  <c r="AJ7" i="24"/>
  <c r="U51" i="24"/>
  <c r="AE8" i="24"/>
  <c r="S66" i="24"/>
  <c r="U52" i="16"/>
  <c r="AE8" i="6"/>
  <c r="S66" i="6"/>
  <c r="S9" i="20"/>
  <c r="S49" i="14"/>
  <c r="BC7" i="17"/>
  <c r="AL7" i="17"/>
  <c r="BB7" i="17"/>
  <c r="V53" i="14"/>
  <c r="T53" i="14"/>
  <c r="U52" i="7"/>
  <c r="U52" i="17"/>
  <c r="V51" i="24"/>
  <c r="AH8" i="24"/>
  <c r="AI8" i="24"/>
  <c r="V61" i="24" s="1"/>
  <c r="AK8" i="24"/>
  <c r="S49" i="8"/>
  <c r="S66" i="22"/>
  <c r="AE8" i="22"/>
  <c r="AG9" i="15"/>
  <c r="AM9" i="15" s="1"/>
  <c r="R10" i="15"/>
  <c r="T9" i="15"/>
  <c r="U9" i="15"/>
  <c r="S82" i="15" s="1"/>
  <c r="AD9" i="15"/>
  <c r="S71" i="15"/>
  <c r="N9" i="15"/>
  <c r="V9" i="15"/>
  <c r="S74" i="15" s="1"/>
  <c r="N9" i="6"/>
  <c r="V9" i="6"/>
  <c r="S74" i="6" s="1"/>
  <c r="AG9" i="6"/>
  <c r="AM9" i="6" s="1"/>
  <c r="R10" i="6"/>
  <c r="AD9" i="6"/>
  <c r="T9" i="6"/>
  <c r="U9" i="6"/>
  <c r="S82" i="6" s="1"/>
  <c r="S71" i="6"/>
  <c r="AE8" i="17"/>
  <c r="S66" i="17"/>
  <c r="AJ16" i="60"/>
  <c r="AL7" i="7"/>
  <c r="AI8" i="14"/>
  <c r="AH8" i="14"/>
  <c r="AK8" i="14"/>
  <c r="AL7" i="14"/>
  <c r="BB7" i="14"/>
  <c r="BC7" i="14"/>
  <c r="AH8" i="7"/>
  <c r="AK8" i="7"/>
  <c r="AI8" i="7"/>
  <c r="V61" i="7" s="1"/>
  <c r="AJ7" i="17"/>
  <c r="U51" i="17"/>
  <c r="T51" i="17" s="1"/>
  <c r="AJ7" i="5"/>
  <c r="U51" i="5"/>
  <c r="T51" i="5" s="1"/>
  <c r="S49" i="24"/>
  <c r="BC7" i="8"/>
  <c r="AL7" i="8"/>
  <c r="BB7" i="8"/>
  <c r="AK8" i="6"/>
  <c r="AI8" i="6"/>
  <c r="V61" i="6" s="1"/>
  <c r="AH8" i="6"/>
  <c r="T53" i="33"/>
  <c r="V53" i="33"/>
  <c r="T131" i="60"/>
  <c r="S60" i="8"/>
  <c r="Z8" i="8"/>
  <c r="BC7" i="34"/>
  <c r="AL7" i="34"/>
  <c r="BB7" i="34"/>
  <c r="AA7" i="34"/>
  <c r="AF6" i="35"/>
  <c r="V44" i="35"/>
  <c r="U46" i="35" s="1"/>
  <c r="U51" i="7"/>
  <c r="T51" i="7" s="1"/>
  <c r="AJ7" i="7"/>
  <c r="S60" i="7"/>
  <c r="Z8" i="7"/>
  <c r="U52" i="5"/>
  <c r="AF6" i="37"/>
  <c r="V44" i="37"/>
  <c r="U46" i="37" s="1"/>
  <c r="AL7" i="24"/>
  <c r="BC7" i="24"/>
  <c r="BB7" i="24"/>
  <c r="V9" i="24"/>
  <c r="AG9" i="24"/>
  <c r="AM9" i="24" s="1"/>
  <c r="R10" i="24"/>
  <c r="AD9" i="24"/>
  <c r="U9" i="24"/>
  <c r="S82" i="24" s="1"/>
  <c r="T9" i="24"/>
  <c r="S71" i="24"/>
  <c r="N9" i="24"/>
  <c r="T53" i="34"/>
  <c r="V53" i="34"/>
  <c r="BB7" i="37"/>
  <c r="BC7" i="37"/>
  <c r="AL7" i="37"/>
  <c r="AA7" i="37"/>
  <c r="S64" i="6"/>
  <c r="AE8" i="35"/>
  <c r="S66" i="35"/>
  <c r="V9" i="14"/>
  <c r="S74" i="14" s="1"/>
  <c r="R10" i="14"/>
  <c r="AG9" i="14"/>
  <c r="AM9" i="14" s="1"/>
  <c r="AD9" i="14"/>
  <c r="T9" i="14"/>
  <c r="U9" i="14"/>
  <c r="S82" i="14" s="1"/>
  <c r="S71" i="14"/>
  <c r="N9" i="14"/>
  <c r="H28" i="47"/>
  <c r="T53" i="4"/>
  <c r="V53" i="4"/>
  <c r="H29" i="46"/>
  <c r="AF6" i="33"/>
  <c r="V44" i="33"/>
  <c r="U46" i="33" s="1"/>
  <c r="AL8" i="11"/>
  <c r="BC8" i="11"/>
  <c r="BB8" i="11"/>
  <c r="AI8" i="20"/>
  <c r="V61" i="20" s="1"/>
  <c r="AH8" i="20"/>
  <c r="AK8" i="20"/>
  <c r="Z8" i="33"/>
  <c r="S60" i="33"/>
  <c r="BC7" i="19"/>
  <c r="AL7" i="19"/>
  <c r="BB7" i="19"/>
  <c r="AE8" i="16"/>
  <c r="S66" i="16"/>
  <c r="AE8" i="19"/>
  <c r="S66" i="19"/>
  <c r="U132" i="37"/>
  <c r="S49" i="37"/>
  <c r="Z8" i="4"/>
  <c r="S60" i="4"/>
  <c r="AL7" i="16"/>
  <c r="BC7" i="16"/>
  <c r="BB7" i="16"/>
  <c r="AH8" i="17"/>
  <c r="AI8" i="17"/>
  <c r="AK8" i="17"/>
  <c r="V53" i="6"/>
  <c r="T53" i="6"/>
  <c r="H33" i="47"/>
  <c r="U52" i="4"/>
  <c r="S60" i="6"/>
  <c r="Z8" i="6"/>
  <c r="S73" i="5"/>
  <c r="T53" i="8"/>
  <c r="V53" i="8"/>
  <c r="Z8" i="37"/>
  <c r="S60" i="37"/>
  <c r="S59" i="37" s="1"/>
  <c r="T41" i="17"/>
  <c r="S49" i="20"/>
  <c r="S49" i="19"/>
  <c r="U52" i="15"/>
  <c r="Z8" i="17"/>
  <c r="S60" i="17"/>
  <c r="AK8" i="19"/>
  <c r="AI8" i="19"/>
  <c r="V61" i="19" s="1"/>
  <c r="AH8" i="19"/>
  <c r="AJ15" i="37"/>
  <c r="U131" i="37"/>
  <c r="T131" i="37" s="1"/>
  <c r="S64" i="22"/>
  <c r="AE8" i="15"/>
  <c r="S66" i="15"/>
  <c r="BC14" i="60"/>
  <c r="AL14" i="60"/>
  <c r="BB14" i="60"/>
  <c r="AK8" i="4"/>
  <c r="AI8" i="4"/>
  <c r="V61" i="4" s="1"/>
  <c r="AH8" i="4"/>
  <c r="R10" i="35"/>
  <c r="V9" i="35"/>
  <c r="AG9" i="35"/>
  <c r="T9" i="35"/>
  <c r="U9" i="35"/>
  <c r="S82" i="35" s="1"/>
  <c r="AD9" i="35"/>
  <c r="S71" i="35"/>
  <c r="N9" i="35"/>
  <c r="S9" i="35"/>
  <c r="V53" i="35"/>
  <c r="T53" i="35"/>
  <c r="T41" i="14"/>
  <c r="AJ7" i="4"/>
  <c r="U51" i="4"/>
  <c r="Z8" i="14"/>
  <c r="S60" i="14"/>
  <c r="S73" i="11"/>
  <c r="S9" i="5"/>
  <c r="S60" i="19"/>
  <c r="Z8" i="19"/>
  <c r="Z8" i="16"/>
  <c r="S60" i="16"/>
  <c r="Z8" i="34"/>
  <c r="S60" i="34"/>
  <c r="Z8" i="5"/>
  <c r="S60" i="5"/>
  <c r="S66" i="20"/>
  <c r="AE8" i="20"/>
  <c r="AL7" i="20"/>
  <c r="BC7" i="20"/>
  <c r="BB7" i="20"/>
  <c r="V53" i="37"/>
  <c r="T53" i="37"/>
  <c r="U51" i="20"/>
  <c r="T51" i="20" s="1"/>
  <c r="AJ7" i="20"/>
  <c r="AJ7" i="15"/>
  <c r="U51" i="15"/>
  <c r="T51" i="15" s="1"/>
  <c r="AL7" i="33"/>
  <c r="H22" i="47"/>
  <c r="BC7" i="33"/>
  <c r="BB7" i="33"/>
  <c r="AA7" i="33"/>
  <c r="V53" i="17"/>
  <c r="T53" i="17"/>
  <c r="AK8" i="22"/>
  <c r="AI8" i="22"/>
  <c r="AH8" i="22"/>
  <c r="AL16" i="10"/>
  <c r="V51" i="4"/>
  <c r="AH16" i="37"/>
  <c r="B49" i="40"/>
  <c r="H49" i="40"/>
  <c r="M49" i="40"/>
  <c r="I49" i="40"/>
  <c r="AB24" i="57" s="1"/>
  <c r="F49" i="40"/>
  <c r="E49" i="40"/>
  <c r="G49" i="40"/>
  <c r="K49" i="40"/>
  <c r="L49" i="40"/>
  <c r="D49" i="40"/>
  <c r="C49" i="40"/>
  <c r="J49" i="40"/>
  <c r="N49" i="40"/>
  <c r="H50" i="40"/>
  <c r="E50" i="40"/>
  <c r="Q75" i="8"/>
  <c r="B112" i="40"/>
  <c r="E112" i="40"/>
  <c r="O85" i="8"/>
  <c r="D70" i="40"/>
  <c r="T10" i="40"/>
  <c r="O31" i="40"/>
  <c r="N10" i="40"/>
  <c r="E10" i="40"/>
  <c r="F31" i="40"/>
  <c r="O85" i="14"/>
  <c r="P91" i="40"/>
  <c r="Q78" i="40"/>
  <c r="B91" i="40"/>
  <c r="P131" i="40"/>
  <c r="R10" i="40"/>
  <c r="Q11" i="7"/>
  <c r="AS4" i="37"/>
  <c r="Q75" i="15"/>
  <c r="Q75" i="6"/>
  <c r="H92" i="40"/>
  <c r="O85" i="17"/>
  <c r="S131" i="40"/>
  <c r="Q112" i="40"/>
  <c r="O85" i="33"/>
  <c r="D131" i="40"/>
  <c r="N70" i="40"/>
  <c r="E31" i="40"/>
  <c r="V69" i="24"/>
  <c r="V69" i="14"/>
  <c r="R31" i="40"/>
  <c r="M131" i="40"/>
  <c r="D31" i="40"/>
  <c r="J31" i="40"/>
  <c r="P10" i="40"/>
  <c r="AU5" i="35"/>
  <c r="AP10" i="15"/>
  <c r="AP11" i="22"/>
  <c r="Q12" i="4"/>
  <c r="D10" i="40"/>
  <c r="L10" i="40"/>
  <c r="F131" i="40"/>
  <c r="Q75" i="4"/>
  <c r="F112" i="40"/>
  <c r="Q75" i="34"/>
  <c r="M91" i="40"/>
  <c r="Q75" i="17"/>
  <c r="C10" i="40"/>
  <c r="I131" i="40"/>
  <c r="V69" i="6"/>
  <c r="O85" i="24"/>
  <c r="Q10" i="40"/>
  <c r="K112" i="40"/>
  <c r="H11" i="40"/>
  <c r="AS6" i="34"/>
  <c r="AQ11" i="4"/>
  <c r="AQ9" i="19"/>
  <c r="Q10" i="6"/>
  <c r="AP11" i="7"/>
  <c r="AU6" i="35"/>
  <c r="AS7" i="34"/>
  <c r="AS7" i="33"/>
  <c r="Q75" i="16"/>
  <c r="Q75" i="22"/>
  <c r="Q77" i="40"/>
  <c r="P112" i="40"/>
  <c r="F91" i="40"/>
  <c r="T50" i="40"/>
  <c r="Q75" i="37"/>
  <c r="O85" i="6"/>
  <c r="C70" i="40"/>
  <c r="S10" i="40"/>
  <c r="O112" i="40"/>
  <c r="Q50" i="40"/>
  <c r="J131" i="40"/>
  <c r="O85" i="35"/>
  <c r="M31" i="40"/>
  <c r="Q10" i="15"/>
  <c r="AQ10" i="10"/>
  <c r="Q11" i="11"/>
  <c r="AP10" i="6"/>
  <c r="Q75" i="19"/>
  <c r="V69" i="22"/>
  <c r="H71" i="40"/>
  <c r="V69" i="16"/>
  <c r="K131" i="40"/>
  <c r="C112" i="40"/>
  <c r="O85" i="19"/>
  <c r="B131" i="40"/>
  <c r="I31" i="40"/>
  <c r="P31" i="40"/>
  <c r="R112" i="40"/>
  <c r="Q75" i="20"/>
  <c r="V69" i="15"/>
  <c r="D112" i="40"/>
  <c r="N91" i="40"/>
  <c r="L131" i="40"/>
  <c r="B70" i="40"/>
  <c r="R50" i="40"/>
  <c r="AQ9" i="15"/>
  <c r="AS5" i="35"/>
  <c r="Q11" i="5"/>
  <c r="AU7" i="34"/>
  <c r="V69" i="20"/>
  <c r="M10" i="40"/>
  <c r="O85" i="22"/>
  <c r="H32" i="40"/>
  <c r="J70" i="40"/>
  <c r="AS6" i="33"/>
  <c r="E131" i="40"/>
  <c r="Q75" i="33"/>
  <c r="O85" i="15"/>
  <c r="K91" i="40"/>
  <c r="S50" i="40"/>
  <c r="J10" i="40"/>
  <c r="AQ9" i="22"/>
  <c r="AQ10" i="20"/>
  <c r="AP11" i="11"/>
  <c r="AP11" i="5"/>
  <c r="Q11" i="17"/>
  <c r="AQ9" i="8"/>
  <c r="AP10" i="14"/>
  <c r="V79" i="11"/>
  <c r="C131" i="40"/>
  <c r="Q75" i="7"/>
  <c r="C91" i="40"/>
  <c r="O85" i="34"/>
  <c r="V69" i="19"/>
  <c r="O70" i="40"/>
  <c r="K10" i="40"/>
  <c r="T131" i="40"/>
  <c r="N31" i="40"/>
  <c r="K31" i="40"/>
  <c r="S31" i="40"/>
  <c r="AS6" i="60"/>
  <c r="AU4" i="37"/>
  <c r="AQ9" i="6"/>
  <c r="AQ10" i="11"/>
  <c r="Q10" i="8"/>
  <c r="AP11" i="17"/>
  <c r="N112" i="40"/>
  <c r="L70" i="40"/>
  <c r="Q85" i="11"/>
  <c r="I70" i="40"/>
  <c r="O85" i="7"/>
  <c r="V69" i="17"/>
  <c r="B10" i="40"/>
  <c r="J112" i="40"/>
  <c r="F70" i="40"/>
  <c r="O10" i="40"/>
  <c r="AP10" i="24"/>
  <c r="AQ10" i="7"/>
  <c r="Q11" i="20"/>
  <c r="AP10" i="8"/>
  <c r="K70" i="40"/>
  <c r="I112" i="40"/>
  <c r="O85" i="4"/>
  <c r="L31" i="40"/>
  <c r="I10" i="40"/>
  <c r="V69" i="5"/>
  <c r="T31" i="40"/>
  <c r="O85" i="37"/>
  <c r="L112" i="40"/>
  <c r="N131" i="40"/>
  <c r="F10" i="40"/>
  <c r="B31" i="40"/>
  <c r="T112" i="40"/>
  <c r="AU6" i="60"/>
  <c r="Q10" i="24"/>
  <c r="AQ10" i="17"/>
  <c r="AP11" i="20"/>
  <c r="AU7" i="33"/>
  <c r="Q75" i="24"/>
  <c r="Q75" i="14"/>
  <c r="Q131" i="40"/>
  <c r="R131" i="40"/>
  <c r="M70" i="40"/>
  <c r="E70" i="40"/>
  <c r="AP10" i="16"/>
  <c r="V69" i="7"/>
  <c r="O85" i="16"/>
  <c r="O85" i="5"/>
  <c r="O131" i="40"/>
  <c r="J91" i="40"/>
  <c r="C31" i="40"/>
  <c r="P70" i="40"/>
  <c r="I91" i="40"/>
  <c r="AQ10" i="5"/>
  <c r="AQ9" i="16"/>
  <c r="AP11" i="10"/>
  <c r="Q10" i="14"/>
  <c r="Q10" i="16"/>
  <c r="V69" i="4"/>
  <c r="Q31" i="40"/>
  <c r="L91" i="40"/>
  <c r="V69" i="8"/>
  <c r="O85" i="20"/>
  <c r="M112" i="40"/>
  <c r="O91" i="40"/>
  <c r="E91" i="40"/>
  <c r="D91" i="40"/>
  <c r="Q75" i="35"/>
  <c r="Q75" i="5"/>
  <c r="AQ9" i="24"/>
  <c r="AQ9" i="14"/>
  <c r="Q11" i="22"/>
  <c r="Q10" i="19"/>
  <c r="AP12" i="4"/>
  <c r="AP10" i="19"/>
  <c r="AU5" i="37"/>
  <c r="S112" i="40"/>
  <c r="Q85" i="22"/>
  <c r="V44" i="8" l="1"/>
  <c r="U46" i="8" s="1"/>
  <c r="AJ16" i="37"/>
  <c r="S59" i="34"/>
  <c r="S59" i="8"/>
  <c r="V44" i="14"/>
  <c r="U46" i="14" s="1"/>
  <c r="V44" i="16"/>
  <c r="U46" i="16" s="1"/>
  <c r="AF6" i="17"/>
  <c r="V114" i="60"/>
  <c r="U116" i="60" s="1"/>
  <c r="V44" i="10"/>
  <c r="U46" i="10" s="1"/>
  <c r="S59" i="5"/>
  <c r="AF6" i="11"/>
  <c r="S59" i="17"/>
  <c r="AF6" i="7"/>
  <c r="V44" i="4"/>
  <c r="U46" i="4" s="1"/>
  <c r="AF6" i="5"/>
  <c r="V54" i="7"/>
  <c r="U56" i="7" s="1"/>
  <c r="AF6" i="19"/>
  <c r="AF6" i="10"/>
  <c r="AF16" i="10" s="1"/>
  <c r="AF6" i="6"/>
  <c r="AA8" i="11"/>
  <c r="V64" i="11" s="1"/>
  <c r="U66" i="11" s="1"/>
  <c r="AA7" i="24"/>
  <c r="V54" i="24" s="1"/>
  <c r="U56" i="24" s="1"/>
  <c r="S59" i="4"/>
  <c r="H27" i="46"/>
  <c r="H31" i="46" s="1"/>
  <c r="H34" i="46" s="1"/>
  <c r="H37" i="46" s="1"/>
  <c r="AA7" i="20"/>
  <c r="AF7" i="20" s="1"/>
  <c r="AF6" i="15"/>
  <c r="S59" i="14"/>
  <c r="AA7" i="6"/>
  <c r="AF7" i="6" s="1"/>
  <c r="G59" i="40"/>
  <c r="G60" i="40" s="1"/>
  <c r="AA7" i="15"/>
  <c r="V54" i="15" s="1"/>
  <c r="U56" i="15" s="1"/>
  <c r="AA7" i="19"/>
  <c r="V54" i="19" s="1"/>
  <c r="U56" i="19" s="1"/>
  <c r="AA14" i="60"/>
  <c r="S59" i="6"/>
  <c r="AA15" i="60"/>
  <c r="AF15" i="60" s="1"/>
  <c r="AA7" i="8"/>
  <c r="AF7" i="8" s="1"/>
  <c r="S59" i="16"/>
  <c r="AA7" i="16"/>
  <c r="AF7" i="16" s="1"/>
  <c r="T121" i="37"/>
  <c r="AA7" i="5"/>
  <c r="V54" i="5" s="1"/>
  <c r="U56" i="5" s="1"/>
  <c r="AA7" i="14"/>
  <c r="AF7" i="14" s="1"/>
  <c r="S59" i="19"/>
  <c r="AA7" i="17"/>
  <c r="S59" i="33"/>
  <c r="T51" i="8"/>
  <c r="AA7" i="4"/>
  <c r="AF7" i="4" s="1"/>
  <c r="V54" i="11"/>
  <c r="U56" i="11" s="1"/>
  <c r="S10" i="19"/>
  <c r="Q80" i="19"/>
  <c r="Q90" i="22"/>
  <c r="S10" i="16"/>
  <c r="Q80" i="16"/>
  <c r="S10" i="14"/>
  <c r="Q80" i="14"/>
  <c r="Q98" i="5"/>
  <c r="Q98" i="17"/>
  <c r="S10" i="24"/>
  <c r="Q80" i="24"/>
  <c r="Q90" i="20"/>
  <c r="Q98" i="7"/>
  <c r="Q80" i="8"/>
  <c r="S10" i="8"/>
  <c r="Q98" i="11"/>
  <c r="S48" i="60"/>
  <c r="Q90" i="17"/>
  <c r="Q98" i="20"/>
  <c r="S48" i="33"/>
  <c r="Q90" i="5"/>
  <c r="S38" i="35"/>
  <c r="Q90" i="11"/>
  <c r="AG11" i="11"/>
  <c r="AM11" i="11" s="1"/>
  <c r="S11" i="11"/>
  <c r="Q98" i="10"/>
  <c r="S10" i="15"/>
  <c r="Q80" i="15"/>
  <c r="Q79" i="40"/>
  <c r="Q80" i="40" s="1"/>
  <c r="S58" i="33"/>
  <c r="S58" i="34"/>
  <c r="Q80" i="6"/>
  <c r="S10" i="6"/>
  <c r="Q108" i="4"/>
  <c r="S48" i="34"/>
  <c r="Q100" i="4"/>
  <c r="W12" i="4"/>
  <c r="S28" i="37"/>
  <c r="Q90" i="7"/>
  <c r="S80" i="22"/>
  <c r="AE9" i="34"/>
  <c r="S76" i="34"/>
  <c r="AJ8" i="22"/>
  <c r="U61" i="22"/>
  <c r="Z9" i="5"/>
  <c r="S70" i="5"/>
  <c r="Z9" i="35"/>
  <c r="S70" i="35"/>
  <c r="AJ8" i="19"/>
  <c r="U61" i="19"/>
  <c r="T61" i="19" s="1"/>
  <c r="AJ8" i="20"/>
  <c r="U61" i="20"/>
  <c r="T61" i="20" s="1"/>
  <c r="U62" i="6"/>
  <c r="U62" i="7"/>
  <c r="U62" i="24"/>
  <c r="AE9" i="16"/>
  <c r="S76" i="16"/>
  <c r="U10" i="20"/>
  <c r="S92" i="20" s="1"/>
  <c r="AD10" i="20"/>
  <c r="R11" i="20"/>
  <c r="T10" i="20"/>
  <c r="N10" i="20"/>
  <c r="V10" i="20"/>
  <c r="S84" i="20" s="1"/>
  <c r="AG10" i="20"/>
  <c r="AM10" i="20" s="1"/>
  <c r="S81" i="20"/>
  <c r="AK9" i="8"/>
  <c r="AI9" i="8"/>
  <c r="V71" i="8" s="1"/>
  <c r="AH9" i="8"/>
  <c r="AL16" i="60"/>
  <c r="U62" i="15"/>
  <c r="AL8" i="37"/>
  <c r="BB8" i="37"/>
  <c r="BC8" i="37"/>
  <c r="AA8" i="37"/>
  <c r="AH9" i="4"/>
  <c r="AI9" i="4"/>
  <c r="V71" i="4" s="1"/>
  <c r="AK9" i="4"/>
  <c r="U62" i="22"/>
  <c r="BC8" i="5"/>
  <c r="BB8" i="5"/>
  <c r="AL8" i="5"/>
  <c r="U62" i="19"/>
  <c r="U61" i="24"/>
  <c r="T61" i="24" s="1"/>
  <c r="AJ8" i="24"/>
  <c r="T63" i="24"/>
  <c r="V63" i="24"/>
  <c r="S59" i="35"/>
  <c r="S10" i="5"/>
  <c r="R11" i="5"/>
  <c r="V10" i="5"/>
  <c r="S84" i="5" s="1"/>
  <c r="AG10" i="5"/>
  <c r="AM10" i="5" s="1"/>
  <c r="U10" i="5"/>
  <c r="S92" i="5" s="1"/>
  <c r="AD10" i="5"/>
  <c r="T10" i="5"/>
  <c r="S81" i="5"/>
  <c r="N10" i="5"/>
  <c r="H24" i="47"/>
  <c r="AA7" i="22"/>
  <c r="N10" i="16"/>
  <c r="U10" i="16"/>
  <c r="S92" i="16" s="1"/>
  <c r="V10" i="16"/>
  <c r="S84" i="16" s="1"/>
  <c r="AG10" i="16"/>
  <c r="AM10" i="16" s="1"/>
  <c r="R11" i="16"/>
  <c r="AD10" i="16"/>
  <c r="T10" i="16"/>
  <c r="S81" i="16"/>
  <c r="S59" i="15"/>
  <c r="AH9" i="7"/>
  <c r="AK9" i="7"/>
  <c r="AI9" i="7"/>
  <c r="V71" i="7" s="1"/>
  <c r="S74" i="4"/>
  <c r="T63" i="33"/>
  <c r="V63" i="33"/>
  <c r="T63" i="37"/>
  <c r="V63" i="37"/>
  <c r="Z9" i="14"/>
  <c r="S70" i="14"/>
  <c r="Z9" i="24"/>
  <c r="S70" i="24"/>
  <c r="AE9" i="35"/>
  <c r="S76" i="35"/>
  <c r="BC8" i="4"/>
  <c r="BB8" i="4"/>
  <c r="AL8" i="4"/>
  <c r="H19" i="48"/>
  <c r="V63" i="17"/>
  <c r="T63" i="17"/>
  <c r="AE9" i="15"/>
  <c r="S76" i="15"/>
  <c r="AD10" i="37"/>
  <c r="S81" i="37"/>
  <c r="N10" i="37"/>
  <c r="V10" i="37"/>
  <c r="S84" i="37" s="1"/>
  <c r="R11" i="37"/>
  <c r="AG10" i="37"/>
  <c r="U10" i="37"/>
  <c r="S92" i="37" s="1"/>
  <c r="T10" i="37"/>
  <c r="S10" i="37"/>
  <c r="AL8" i="35"/>
  <c r="BB8" i="35"/>
  <c r="BC8" i="35"/>
  <c r="AA8" i="35"/>
  <c r="AI9" i="5"/>
  <c r="V71" i="5" s="1"/>
  <c r="AH9" i="5"/>
  <c r="AK9" i="5"/>
  <c r="BC8" i="15"/>
  <c r="BB8" i="15"/>
  <c r="AL8" i="15"/>
  <c r="S74" i="7"/>
  <c r="V10" i="4"/>
  <c r="S84" i="4" s="1"/>
  <c r="R11" i="4"/>
  <c r="T10" i="4"/>
  <c r="AD10" i="4"/>
  <c r="U10" i="4"/>
  <c r="S92" i="4" s="1"/>
  <c r="S81" i="4"/>
  <c r="N10" i="4"/>
  <c r="AG10" i="4"/>
  <c r="AM10" i="4" s="1"/>
  <c r="S10" i="4"/>
  <c r="AE9" i="22"/>
  <c r="S76" i="22"/>
  <c r="T51" i="24"/>
  <c r="AE9" i="19"/>
  <c r="S76" i="19"/>
  <c r="S74" i="5"/>
  <c r="AK9" i="17"/>
  <c r="AI9" i="17"/>
  <c r="V71" i="17" s="1"/>
  <c r="AH9" i="17"/>
  <c r="AJ8" i="5"/>
  <c r="U61" i="5"/>
  <c r="T61" i="5" s="1"/>
  <c r="S10" i="7"/>
  <c r="R11" i="7"/>
  <c r="V10" i="7"/>
  <c r="S84" i="7" s="1"/>
  <c r="AG10" i="7"/>
  <c r="AM10" i="7" s="1"/>
  <c r="U10" i="7"/>
  <c r="S92" i="7" s="1"/>
  <c r="T10" i="7"/>
  <c r="AD10" i="7"/>
  <c r="S81" i="7"/>
  <c r="N10" i="7"/>
  <c r="Z10" i="11"/>
  <c r="S80" i="11"/>
  <c r="S79" i="11" s="1"/>
  <c r="S10" i="20"/>
  <c r="AE9" i="17"/>
  <c r="S76" i="17"/>
  <c r="AL8" i="34"/>
  <c r="BC8" i="34"/>
  <c r="BB8" i="34"/>
  <c r="AA8" i="34"/>
  <c r="BC8" i="14"/>
  <c r="AL8" i="14"/>
  <c r="BB8" i="14"/>
  <c r="BB8" i="17"/>
  <c r="BC8" i="17"/>
  <c r="AL8" i="17"/>
  <c r="T63" i="35"/>
  <c r="V63" i="35"/>
  <c r="S59" i="7"/>
  <c r="AI9" i="19"/>
  <c r="V71" i="19" s="1"/>
  <c r="AH9" i="19"/>
  <c r="AK9" i="19"/>
  <c r="S74" i="17"/>
  <c r="R11" i="34"/>
  <c r="V10" i="34"/>
  <c r="S84" i="34" s="1"/>
  <c r="AG10" i="34"/>
  <c r="AD10" i="34"/>
  <c r="S81" i="34"/>
  <c r="T10" i="34"/>
  <c r="U10" i="34"/>
  <c r="S92" i="34" s="1"/>
  <c r="N10" i="34"/>
  <c r="S10" i="34"/>
  <c r="U62" i="5"/>
  <c r="S69" i="11"/>
  <c r="S70" i="7"/>
  <c r="Z9" i="7"/>
  <c r="V63" i="5"/>
  <c r="T63" i="5"/>
  <c r="AK10" i="11"/>
  <c r="AI10" i="11"/>
  <c r="AH10" i="11"/>
  <c r="S73" i="19"/>
  <c r="T51" i="4"/>
  <c r="AF7" i="34"/>
  <c r="V54" i="34"/>
  <c r="U56" i="34" s="1"/>
  <c r="U62" i="14"/>
  <c r="V10" i="15"/>
  <c r="S84" i="15" s="1"/>
  <c r="AG10" i="15"/>
  <c r="AM10" i="15" s="1"/>
  <c r="R11" i="15"/>
  <c r="T10" i="15"/>
  <c r="S81" i="15"/>
  <c r="U10" i="15"/>
  <c r="S92" i="15" s="1"/>
  <c r="AD10" i="15"/>
  <c r="N10" i="15"/>
  <c r="Z9" i="33"/>
  <c r="S70" i="33"/>
  <c r="T63" i="7"/>
  <c r="V63" i="7"/>
  <c r="S59" i="22"/>
  <c r="S74" i="19"/>
  <c r="AJ8" i="8"/>
  <c r="U61" i="8"/>
  <c r="T61" i="8" s="1"/>
  <c r="AL9" i="11"/>
  <c r="BC9" i="11"/>
  <c r="BB9" i="11"/>
  <c r="AD10" i="22"/>
  <c r="N10" i="22"/>
  <c r="U10" i="22"/>
  <c r="S92" i="22" s="1"/>
  <c r="V10" i="22"/>
  <c r="R11" i="22"/>
  <c r="AG10" i="22"/>
  <c r="AM10" i="22" s="1"/>
  <c r="S81" i="22"/>
  <c r="T10" i="22"/>
  <c r="S73" i="22"/>
  <c r="S73" i="16"/>
  <c r="AH9" i="20"/>
  <c r="AK9" i="20"/>
  <c r="AI9" i="20"/>
  <c r="V71" i="20" s="1"/>
  <c r="H29" i="47"/>
  <c r="AF7" i="33"/>
  <c r="V54" i="33"/>
  <c r="U56" i="33" s="1"/>
  <c r="H32" i="47"/>
  <c r="S74" i="35"/>
  <c r="T63" i="15"/>
  <c r="V63" i="15"/>
  <c r="U62" i="17"/>
  <c r="AJ8" i="14"/>
  <c r="U61" i="14"/>
  <c r="AE9" i="6"/>
  <c r="S76" i="6"/>
  <c r="AH9" i="15"/>
  <c r="AK9" i="15"/>
  <c r="AI9" i="15"/>
  <c r="V71" i="15" s="1"/>
  <c r="Z9" i="20"/>
  <c r="S70" i="20"/>
  <c r="S76" i="33"/>
  <c r="AE9" i="33"/>
  <c r="BB8" i="20"/>
  <c r="AL8" i="20"/>
  <c r="BC8" i="20"/>
  <c r="AL8" i="22"/>
  <c r="BC8" i="22"/>
  <c r="BB8" i="22"/>
  <c r="H28" i="48"/>
  <c r="V63" i="4"/>
  <c r="T63" i="4"/>
  <c r="R11" i="19"/>
  <c r="V10" i="19"/>
  <c r="S84" i="19" s="1"/>
  <c r="AD10" i="19"/>
  <c r="U10" i="19"/>
  <c r="S92" i="19" s="1"/>
  <c r="S81" i="19"/>
  <c r="N10" i="19"/>
  <c r="T10" i="19"/>
  <c r="AG10" i="19"/>
  <c r="AM10" i="19" s="1"/>
  <c r="AE9" i="5"/>
  <c r="S76" i="5"/>
  <c r="T63" i="14"/>
  <c r="V63" i="14"/>
  <c r="AK9" i="16"/>
  <c r="AI9" i="16"/>
  <c r="V71" i="16" s="1"/>
  <c r="AH9" i="16"/>
  <c r="H66" i="10"/>
  <c r="G75" i="10"/>
  <c r="H75" i="10"/>
  <c r="AI9" i="22"/>
  <c r="V71" i="22" s="1"/>
  <c r="AK9" i="22"/>
  <c r="AH9" i="22"/>
  <c r="S70" i="19"/>
  <c r="Z9" i="19"/>
  <c r="BC8" i="16"/>
  <c r="AL8" i="16"/>
  <c r="BB8" i="16"/>
  <c r="R11" i="35"/>
  <c r="V10" i="35"/>
  <c r="S84" i="35" s="1"/>
  <c r="AD10" i="35"/>
  <c r="T10" i="35"/>
  <c r="U10" i="35"/>
  <c r="S92" i="35" s="1"/>
  <c r="S81" i="35"/>
  <c r="N10" i="35"/>
  <c r="AG10" i="35"/>
  <c r="S10" i="35"/>
  <c r="V61" i="17"/>
  <c r="V63" i="19"/>
  <c r="T63" i="19"/>
  <c r="AF7" i="37"/>
  <c r="V54" i="37"/>
  <c r="U56" i="37" s="1"/>
  <c r="AE9" i="24"/>
  <c r="S76" i="24"/>
  <c r="V61" i="14"/>
  <c r="V10" i="6"/>
  <c r="S84" i="6" s="1"/>
  <c r="AG10" i="6"/>
  <c r="AM10" i="6" s="1"/>
  <c r="S81" i="6"/>
  <c r="R11" i="6"/>
  <c r="T10" i="6"/>
  <c r="U10" i="6"/>
  <c r="S92" i="6" s="1"/>
  <c r="AD10" i="6"/>
  <c r="N10" i="6"/>
  <c r="S59" i="20"/>
  <c r="Z9" i="37"/>
  <c r="S70" i="37"/>
  <c r="V61" i="16"/>
  <c r="AF7" i="35"/>
  <c r="V54" i="35"/>
  <c r="U56" i="35" s="1"/>
  <c r="U62" i="8"/>
  <c r="S74" i="16"/>
  <c r="S76" i="20"/>
  <c r="AE9" i="20"/>
  <c r="S70" i="22"/>
  <c r="Z9" i="22"/>
  <c r="S70" i="16"/>
  <c r="Z9" i="16"/>
  <c r="S73" i="6"/>
  <c r="S73" i="15"/>
  <c r="V61" i="22"/>
  <c r="AJ8" i="7"/>
  <c r="U61" i="7"/>
  <c r="T61" i="7" s="1"/>
  <c r="AJ8" i="4"/>
  <c r="U61" i="4"/>
  <c r="T61" i="4" s="1"/>
  <c r="AJ8" i="17"/>
  <c r="U61" i="17"/>
  <c r="AE9" i="14"/>
  <c r="S76" i="14"/>
  <c r="R11" i="24"/>
  <c r="V10" i="24"/>
  <c r="S84" i="24" s="1"/>
  <c r="AG10" i="24"/>
  <c r="AM10" i="24" s="1"/>
  <c r="N10" i="24"/>
  <c r="AD10" i="24"/>
  <c r="S81" i="24"/>
  <c r="T10" i="24"/>
  <c r="U10" i="24"/>
  <c r="S92" i="24" s="1"/>
  <c r="AI9" i="6"/>
  <c r="AH9" i="6"/>
  <c r="AK9" i="6"/>
  <c r="V63" i="22"/>
  <c r="T63" i="22"/>
  <c r="Z9" i="17"/>
  <c r="S70" i="17"/>
  <c r="U62" i="16"/>
  <c r="Z9" i="34"/>
  <c r="S70" i="34"/>
  <c r="AE9" i="8"/>
  <c r="S76" i="8"/>
  <c r="H17" i="60"/>
  <c r="H23" i="60" s="1"/>
  <c r="O17" i="60"/>
  <c r="Q88" i="60" s="1"/>
  <c r="G65" i="60"/>
  <c r="G66" i="60"/>
  <c r="Z9" i="4"/>
  <c r="S70" i="4"/>
  <c r="V63" i="8"/>
  <c r="T63" i="8"/>
  <c r="S73" i="8"/>
  <c r="BB8" i="19"/>
  <c r="AL8" i="19"/>
  <c r="BC8" i="19"/>
  <c r="BC8" i="6"/>
  <c r="BB8" i="6"/>
  <c r="AL8" i="6"/>
  <c r="T63" i="16"/>
  <c r="V63" i="16"/>
  <c r="H22" i="48"/>
  <c r="AL8" i="33"/>
  <c r="BC8" i="33"/>
  <c r="BB8" i="33"/>
  <c r="AA8" i="33"/>
  <c r="AI9" i="14"/>
  <c r="V71" i="14" s="1"/>
  <c r="AH9" i="14"/>
  <c r="AK9" i="14"/>
  <c r="AI9" i="24"/>
  <c r="V71" i="24" s="1"/>
  <c r="AK9" i="24"/>
  <c r="AH9" i="24"/>
  <c r="BB8" i="7"/>
  <c r="BC8" i="7"/>
  <c r="AL8" i="7"/>
  <c r="AJ8" i="6"/>
  <c r="U61" i="6"/>
  <c r="T61" i="6" s="1"/>
  <c r="AF7" i="17"/>
  <c r="V54" i="17"/>
  <c r="U56" i="17" s="1"/>
  <c r="V63" i="6"/>
  <c r="T63" i="6"/>
  <c r="N10" i="33"/>
  <c r="AD10" i="33"/>
  <c r="R11" i="33"/>
  <c r="V10" i="33"/>
  <c r="S84" i="33" s="1"/>
  <c r="AG10" i="33"/>
  <c r="T10" i="33"/>
  <c r="U10" i="33"/>
  <c r="S92" i="33" s="1"/>
  <c r="S81" i="33"/>
  <c r="S10" i="33"/>
  <c r="AE9" i="37"/>
  <c r="S76" i="37"/>
  <c r="S59" i="24"/>
  <c r="AJ8" i="16"/>
  <c r="U61" i="16"/>
  <c r="V63" i="34"/>
  <c r="T63" i="34"/>
  <c r="S10" i="17"/>
  <c r="N10" i="17"/>
  <c r="AD10" i="17"/>
  <c r="AG10" i="17"/>
  <c r="AM10" i="17" s="1"/>
  <c r="R11" i="17"/>
  <c r="V10" i="17"/>
  <c r="S84" i="17" s="1"/>
  <c r="S81" i="17"/>
  <c r="U10" i="17"/>
  <c r="S92" i="17" s="1"/>
  <c r="T10" i="17"/>
  <c r="U72" i="11"/>
  <c r="U61" i="15"/>
  <c r="AJ8" i="15"/>
  <c r="S73" i="24"/>
  <c r="S70" i="6"/>
  <c r="Z9" i="6"/>
  <c r="Z9" i="15"/>
  <c r="S70" i="15"/>
  <c r="AF14" i="60"/>
  <c r="V124" i="60"/>
  <c r="U126" i="60" s="1"/>
  <c r="V63" i="20"/>
  <c r="T63" i="20"/>
  <c r="H33" i="48"/>
  <c r="U62" i="4"/>
  <c r="U62" i="20"/>
  <c r="S81" i="14"/>
  <c r="N10" i="14"/>
  <c r="T10" i="14"/>
  <c r="R11" i="14"/>
  <c r="AG10" i="14"/>
  <c r="AM10" i="14" s="1"/>
  <c r="V10" i="14"/>
  <c r="S84" i="14" s="1"/>
  <c r="U10" i="14"/>
  <c r="S92" i="14" s="1"/>
  <c r="AD10" i="14"/>
  <c r="S74" i="24"/>
  <c r="AL8" i="8"/>
  <c r="BC8" i="8"/>
  <c r="BB8" i="8"/>
  <c r="BC8" i="24"/>
  <c r="BB8" i="24"/>
  <c r="AL8" i="24"/>
  <c r="AJ9" i="11"/>
  <c r="U71" i="11"/>
  <c r="T71" i="11" s="1"/>
  <c r="V10" i="8"/>
  <c r="AG10" i="8"/>
  <c r="AM10" i="8" s="1"/>
  <c r="R11" i="8"/>
  <c r="T10" i="8"/>
  <c r="U10" i="8"/>
  <c r="S92" i="8" s="1"/>
  <c r="S81" i="8"/>
  <c r="AD10" i="8"/>
  <c r="N10" i="8"/>
  <c r="AE9" i="7"/>
  <c r="S76" i="7"/>
  <c r="AE9" i="4"/>
  <c r="H20" i="49"/>
  <c r="S76" i="4"/>
  <c r="V61" i="15"/>
  <c r="S73" i="14"/>
  <c r="Z9" i="8"/>
  <c r="S70" i="8"/>
  <c r="H51" i="40"/>
  <c r="O50" i="40"/>
  <c r="P50" i="40"/>
  <c r="D50" i="40"/>
  <c r="L50" i="40"/>
  <c r="J50" i="40"/>
  <c r="F50" i="40"/>
  <c r="M50" i="40"/>
  <c r="C50" i="40"/>
  <c r="K50" i="40"/>
  <c r="N50" i="40"/>
  <c r="B50" i="40"/>
  <c r="Q85" i="15"/>
  <c r="P71" i="40"/>
  <c r="Q85" i="5"/>
  <c r="O95" i="7"/>
  <c r="O11" i="40"/>
  <c r="E132" i="40"/>
  <c r="AQ11" i="17"/>
  <c r="AP12" i="5"/>
  <c r="AP11" i="19"/>
  <c r="I71" i="40"/>
  <c r="Q11" i="40"/>
  <c r="O95" i="5"/>
  <c r="N132" i="40"/>
  <c r="J92" i="40"/>
  <c r="Q85" i="34"/>
  <c r="O95" i="22"/>
  <c r="P92" i="40"/>
  <c r="O95" i="35"/>
  <c r="Q85" i="33"/>
  <c r="K113" i="40"/>
  <c r="AU7" i="60"/>
  <c r="AP11" i="24"/>
  <c r="Q12" i="22"/>
  <c r="Q12" i="20"/>
  <c r="Q85" i="6"/>
  <c r="T132" i="40"/>
  <c r="V79" i="4"/>
  <c r="V79" i="7"/>
  <c r="N11" i="40"/>
  <c r="L113" i="40"/>
  <c r="H12" i="40"/>
  <c r="V79" i="22"/>
  <c r="O95" i="19"/>
  <c r="M92" i="40"/>
  <c r="D113" i="40"/>
  <c r="K132" i="40"/>
  <c r="S32" i="40"/>
  <c r="D11" i="40"/>
  <c r="Q85" i="17"/>
  <c r="L71" i="40"/>
  <c r="H72" i="40"/>
  <c r="Q11" i="24"/>
  <c r="AQ10" i="8"/>
  <c r="AQ10" i="16"/>
  <c r="AP12" i="22"/>
  <c r="C32" i="40"/>
  <c r="V79" i="20"/>
  <c r="C11" i="40"/>
  <c r="V79" i="5"/>
  <c r="V79" i="16"/>
  <c r="Q85" i="37"/>
  <c r="L11" i="40"/>
  <c r="Q85" i="4"/>
  <c r="R132" i="40"/>
  <c r="T113" i="40"/>
  <c r="K92" i="40"/>
  <c r="B132" i="40"/>
  <c r="AS7" i="60"/>
  <c r="AP12" i="20"/>
  <c r="Q85" i="16"/>
  <c r="Q85" i="8"/>
  <c r="Q51" i="40"/>
  <c r="O95" i="16"/>
  <c r="L132" i="40"/>
  <c r="T11" i="40"/>
  <c r="I132" i="40"/>
  <c r="N92" i="40"/>
  <c r="S11" i="40"/>
  <c r="R32" i="40"/>
  <c r="K71" i="40"/>
  <c r="J113" i="40"/>
  <c r="J32" i="40"/>
  <c r="O132" i="40"/>
  <c r="F132" i="40"/>
  <c r="Q132" i="40"/>
  <c r="N113" i="40"/>
  <c r="AQ11" i="7"/>
  <c r="AQ10" i="14"/>
  <c r="Q12" i="7"/>
  <c r="Q11" i="6"/>
  <c r="AS8" i="33"/>
  <c r="Q12" i="11"/>
  <c r="Q12" i="17"/>
  <c r="AU6" i="37"/>
  <c r="Q85" i="19"/>
  <c r="T32" i="40"/>
  <c r="F92" i="40"/>
  <c r="C113" i="40"/>
  <c r="M113" i="40"/>
  <c r="E113" i="40"/>
  <c r="O95" i="34"/>
  <c r="P11" i="40"/>
  <c r="P132" i="40"/>
  <c r="O95" i="24"/>
  <c r="O92" i="40"/>
  <c r="V79" i="17"/>
  <c r="F11" i="40"/>
  <c r="V79" i="8"/>
  <c r="AQ10" i="22"/>
  <c r="AQ12" i="4"/>
  <c r="AP12" i="7"/>
  <c r="E32" i="40"/>
  <c r="D132" i="40"/>
  <c r="Q32" i="40"/>
  <c r="E71" i="40"/>
  <c r="R113" i="40"/>
  <c r="O95" i="17"/>
  <c r="O95" i="8"/>
  <c r="AS6" i="35"/>
  <c r="AQ10" i="6"/>
  <c r="AQ10" i="19"/>
  <c r="AP11" i="6"/>
  <c r="AP12" i="10"/>
  <c r="Q85" i="14"/>
  <c r="M132" i="40"/>
  <c r="B11" i="40"/>
  <c r="Q113" i="40"/>
  <c r="T51" i="40"/>
  <c r="C71" i="40"/>
  <c r="S51" i="40"/>
  <c r="I11" i="40"/>
  <c r="V79" i="24"/>
  <c r="R11" i="40"/>
  <c r="O95" i="33"/>
  <c r="D32" i="40"/>
  <c r="AQ10" i="15"/>
  <c r="Q13" i="4"/>
  <c r="AU8" i="33"/>
  <c r="AQ11" i="10"/>
  <c r="AP13" i="4"/>
  <c r="V89" i="11"/>
  <c r="J71" i="40"/>
  <c r="O71" i="40"/>
  <c r="K32" i="40"/>
  <c r="O95" i="4"/>
  <c r="H33" i="40"/>
  <c r="S113" i="40"/>
  <c r="B71" i="40"/>
  <c r="D92" i="40"/>
  <c r="J11" i="40"/>
  <c r="M71" i="40"/>
  <c r="L32" i="40"/>
  <c r="AP11" i="15"/>
  <c r="Q11" i="8"/>
  <c r="Q85" i="24"/>
  <c r="Q95" i="11"/>
  <c r="K11" i="40"/>
  <c r="V79" i="15"/>
  <c r="I113" i="40"/>
  <c r="L92" i="40"/>
  <c r="V79" i="19"/>
  <c r="I92" i="40"/>
  <c r="Q85" i="35"/>
  <c r="V79" i="6"/>
  <c r="I32" i="40"/>
  <c r="O113" i="40"/>
  <c r="E11" i="40"/>
  <c r="O95" i="14"/>
  <c r="AQ10" i="24"/>
  <c r="Q11" i="15"/>
  <c r="AQ11" i="20"/>
  <c r="Q11" i="14"/>
  <c r="AP12" i="17"/>
  <c r="P113" i="40"/>
  <c r="B92" i="40"/>
  <c r="O32" i="40"/>
  <c r="C92" i="40"/>
  <c r="B113" i="40"/>
  <c r="Q85" i="20"/>
  <c r="H93" i="40"/>
  <c r="O95" i="15"/>
  <c r="C132" i="40"/>
  <c r="M11" i="40"/>
  <c r="R51" i="40"/>
  <c r="V79" i="14"/>
  <c r="F113" i="40"/>
  <c r="F32" i="40"/>
  <c r="AQ11" i="11"/>
  <c r="Q12" i="5"/>
  <c r="Q11" i="16"/>
  <c r="AP11" i="8"/>
  <c r="AP12" i="11"/>
  <c r="Q11" i="19"/>
  <c r="AU7" i="35"/>
  <c r="AS5" i="37"/>
  <c r="S132" i="40"/>
  <c r="O95" i="20"/>
  <c r="I50" i="40"/>
  <c r="E92" i="40"/>
  <c r="O95" i="37"/>
  <c r="J132" i="40"/>
  <c r="Q85" i="7"/>
  <c r="F71" i="40"/>
  <c r="P32" i="40"/>
  <c r="O95" i="6"/>
  <c r="M32" i="40"/>
  <c r="N71" i="40"/>
  <c r="N32" i="40"/>
  <c r="B32" i="40"/>
  <c r="D71" i="40"/>
  <c r="AQ11" i="5"/>
  <c r="AP11" i="16"/>
  <c r="AP11" i="14"/>
  <c r="AS8" i="34"/>
  <c r="AU8" i="34"/>
  <c r="AF7" i="24" l="1"/>
  <c r="S69" i="34"/>
  <c r="AF7" i="5"/>
  <c r="V54" i="6"/>
  <c r="U56" i="6" s="1"/>
  <c r="V134" i="60"/>
  <c r="U136" i="60" s="1"/>
  <c r="AF7" i="19"/>
  <c r="S69" i="17"/>
  <c r="S69" i="19"/>
  <c r="V54" i="16"/>
  <c r="U56" i="16" s="1"/>
  <c r="V54" i="8"/>
  <c r="U56" i="8" s="1"/>
  <c r="AA8" i="8"/>
  <c r="AF8" i="8" s="1"/>
  <c r="AF8" i="11"/>
  <c r="AA16" i="60"/>
  <c r="H27" i="60" s="1"/>
  <c r="L31" i="60" s="1"/>
  <c r="T61" i="16"/>
  <c r="AF7" i="15"/>
  <c r="V54" i="20"/>
  <c r="U56" i="20" s="1"/>
  <c r="V54" i="14"/>
  <c r="U56" i="14" s="1"/>
  <c r="AA8" i="24"/>
  <c r="V64" i="24" s="1"/>
  <c r="U66" i="24" s="1"/>
  <c r="S69" i="15"/>
  <c r="T61" i="15"/>
  <c r="AA8" i="6"/>
  <c r="V64" i="6" s="1"/>
  <c r="U66" i="6" s="1"/>
  <c r="AA8" i="17"/>
  <c r="AF8" i="17" s="1"/>
  <c r="V54" i="4"/>
  <c r="U56" i="4" s="1"/>
  <c r="AA8" i="4"/>
  <c r="AF8" i="4" s="1"/>
  <c r="AA8" i="20"/>
  <c r="V64" i="20" s="1"/>
  <c r="U66" i="20" s="1"/>
  <c r="AA9" i="11"/>
  <c r="V74" i="11" s="1"/>
  <c r="U76" i="11" s="1"/>
  <c r="AA8" i="5"/>
  <c r="V64" i="5" s="1"/>
  <c r="U66" i="5" s="1"/>
  <c r="S69" i="6"/>
  <c r="AA8" i="19"/>
  <c r="AF8" i="19" s="1"/>
  <c r="T61" i="17"/>
  <c r="S69" i="22"/>
  <c r="AA8" i="22"/>
  <c r="V64" i="22" s="1"/>
  <c r="U66" i="22" s="1"/>
  <c r="AA8" i="15"/>
  <c r="AF8" i="15" s="1"/>
  <c r="AA8" i="7"/>
  <c r="V64" i="7" s="1"/>
  <c r="U66" i="7" s="1"/>
  <c r="AA8" i="16"/>
  <c r="V64" i="16" s="1"/>
  <c r="U66" i="16" s="1"/>
  <c r="T61" i="14"/>
  <c r="S69" i="20"/>
  <c r="Z10" i="22"/>
  <c r="BB10" i="22" s="1"/>
  <c r="AA8" i="14"/>
  <c r="V64" i="14" s="1"/>
  <c r="U66" i="14" s="1"/>
  <c r="S68" i="34"/>
  <c r="Q108" i="5"/>
  <c r="S38" i="37"/>
  <c r="S11" i="19"/>
  <c r="Q90" i="19"/>
  <c r="S11" i="16"/>
  <c r="Q90" i="16"/>
  <c r="Q100" i="5"/>
  <c r="W12" i="5"/>
  <c r="Q108" i="11"/>
  <c r="S11" i="14"/>
  <c r="Q90" i="14"/>
  <c r="Q108" i="20"/>
  <c r="Q90" i="15"/>
  <c r="S11" i="15"/>
  <c r="Q98" i="24"/>
  <c r="S11" i="8"/>
  <c r="Q90" i="8"/>
  <c r="Q108" i="10"/>
  <c r="Q110" i="4"/>
  <c r="Q98" i="15"/>
  <c r="Q98" i="19"/>
  <c r="Q98" i="6"/>
  <c r="S48" i="35"/>
  <c r="Q118" i="4"/>
  <c r="Q98" i="22"/>
  <c r="Q100" i="17"/>
  <c r="W12" i="17"/>
  <c r="Q100" i="11"/>
  <c r="AG12" i="11"/>
  <c r="AM12" i="11" s="1"/>
  <c r="S12" i="11"/>
  <c r="W12" i="11"/>
  <c r="S68" i="33"/>
  <c r="S11" i="6"/>
  <c r="Q90" i="6"/>
  <c r="Q100" i="7"/>
  <c r="W12" i="7"/>
  <c r="Q98" i="14"/>
  <c r="Q108" i="7"/>
  <c r="S58" i="60"/>
  <c r="Q98" i="16"/>
  <c r="Q98" i="8"/>
  <c r="S11" i="24"/>
  <c r="Q90" i="24"/>
  <c r="Q100" i="20"/>
  <c r="W12" i="20"/>
  <c r="Q100" i="22"/>
  <c r="W12" i="22"/>
  <c r="Q108" i="17"/>
  <c r="S69" i="8"/>
  <c r="H19" i="49"/>
  <c r="BB9" i="4"/>
  <c r="BC9" i="4"/>
  <c r="AL9" i="4"/>
  <c r="AL9" i="17"/>
  <c r="BC9" i="17"/>
  <c r="BB9" i="17"/>
  <c r="AL9" i="16"/>
  <c r="BC9" i="16"/>
  <c r="BB9" i="16"/>
  <c r="V11" i="6"/>
  <c r="S94" i="6" s="1"/>
  <c r="AG11" i="6"/>
  <c r="AM11" i="6" s="1"/>
  <c r="R12" i="6"/>
  <c r="U11" i="6"/>
  <c r="S102" i="6" s="1"/>
  <c r="T11" i="6"/>
  <c r="AD11" i="6"/>
  <c r="S91" i="6"/>
  <c r="N11" i="6"/>
  <c r="BC9" i="20"/>
  <c r="AL9" i="20"/>
  <c r="BB9" i="20"/>
  <c r="V81" i="11"/>
  <c r="S80" i="7"/>
  <c r="Z10" i="7"/>
  <c r="T73" i="19"/>
  <c r="V73" i="19"/>
  <c r="V11" i="37"/>
  <c r="S94" i="37" s="1"/>
  <c r="R12" i="37"/>
  <c r="U11" i="37"/>
  <c r="S102" i="37" s="1"/>
  <c r="AG11" i="37"/>
  <c r="AD11" i="37"/>
  <c r="T11" i="37"/>
  <c r="N11" i="37"/>
  <c r="S91" i="37"/>
  <c r="S11" i="37"/>
  <c r="S69" i="24"/>
  <c r="U72" i="7"/>
  <c r="AF7" i="22"/>
  <c r="V54" i="22"/>
  <c r="U56" i="22" s="1"/>
  <c r="S11" i="20"/>
  <c r="AG11" i="20"/>
  <c r="AM11" i="20" s="1"/>
  <c r="V11" i="20"/>
  <c r="S94" i="20" s="1"/>
  <c r="R12" i="20"/>
  <c r="AD11" i="20"/>
  <c r="S91" i="20"/>
  <c r="U11" i="20"/>
  <c r="S102" i="20" s="1"/>
  <c r="T11" i="20"/>
  <c r="N11" i="20"/>
  <c r="V73" i="34"/>
  <c r="T73" i="34"/>
  <c r="AL9" i="8"/>
  <c r="BC9" i="8"/>
  <c r="BB9" i="8"/>
  <c r="AE10" i="8"/>
  <c r="S86" i="8"/>
  <c r="AH10" i="14"/>
  <c r="AK10" i="14"/>
  <c r="AI10" i="14"/>
  <c r="V81" i="14" s="1"/>
  <c r="AF8" i="33"/>
  <c r="H29" i="48"/>
  <c r="V64" i="33"/>
  <c r="U66" i="33" s="1"/>
  <c r="S69" i="16"/>
  <c r="AJ9" i="22"/>
  <c r="U71" i="22"/>
  <c r="T71" i="22" s="1"/>
  <c r="T73" i="5"/>
  <c r="V73" i="5"/>
  <c r="AD11" i="15"/>
  <c r="N11" i="15"/>
  <c r="U11" i="15"/>
  <c r="S102" i="15" s="1"/>
  <c r="V11" i="15"/>
  <c r="S94" i="15" s="1"/>
  <c r="AG11" i="15"/>
  <c r="AM11" i="15" s="1"/>
  <c r="R12" i="15"/>
  <c r="T11" i="15"/>
  <c r="S91" i="15"/>
  <c r="U82" i="11"/>
  <c r="Z10" i="20"/>
  <c r="S80" i="20"/>
  <c r="S86" i="4"/>
  <c r="H20" i="50"/>
  <c r="AE10" i="4"/>
  <c r="U72" i="5"/>
  <c r="BC9" i="24"/>
  <c r="AL9" i="24"/>
  <c r="BB9" i="24"/>
  <c r="AJ9" i="7"/>
  <c r="U71" i="7"/>
  <c r="T71" i="7" s="1"/>
  <c r="H33" i="49"/>
  <c r="U72" i="4"/>
  <c r="AE10" i="20"/>
  <c r="S86" i="20"/>
  <c r="H27" i="47"/>
  <c r="R12" i="14"/>
  <c r="V11" i="14"/>
  <c r="S94" i="14" s="1"/>
  <c r="AG11" i="14"/>
  <c r="AM11" i="14" s="1"/>
  <c r="U11" i="14"/>
  <c r="S102" i="14" s="1"/>
  <c r="T11" i="14"/>
  <c r="AD11" i="14"/>
  <c r="S91" i="14"/>
  <c r="N11" i="14"/>
  <c r="G75" i="60"/>
  <c r="H66" i="60"/>
  <c r="H75" i="60"/>
  <c r="AE10" i="24"/>
  <c r="S86" i="24"/>
  <c r="BC9" i="22"/>
  <c r="BB9" i="22"/>
  <c r="AL9" i="22"/>
  <c r="AI10" i="6"/>
  <c r="V81" i="6" s="1"/>
  <c r="AK10" i="6"/>
  <c r="AH10" i="6"/>
  <c r="Z10" i="35"/>
  <c r="S80" i="35"/>
  <c r="U72" i="22"/>
  <c r="AK10" i="19"/>
  <c r="AI10" i="19"/>
  <c r="AH10" i="19"/>
  <c r="U72" i="15"/>
  <c r="AE10" i="22"/>
  <c r="S86" i="22"/>
  <c r="AH10" i="15"/>
  <c r="AK10" i="15"/>
  <c r="AI10" i="15"/>
  <c r="AJ9" i="5"/>
  <c r="U71" i="5"/>
  <c r="T71" i="5" s="1"/>
  <c r="S69" i="14"/>
  <c r="C50" i="47"/>
  <c r="Z11" i="11"/>
  <c r="S90" i="11"/>
  <c r="S89" i="11" s="1"/>
  <c r="Z10" i="24"/>
  <c r="S80" i="24"/>
  <c r="BB9" i="15"/>
  <c r="AL9" i="15"/>
  <c r="BC9" i="15"/>
  <c r="U72" i="6"/>
  <c r="H32" i="48"/>
  <c r="AJ9" i="15"/>
  <c r="U71" i="15"/>
  <c r="T71" i="15" s="1"/>
  <c r="AE10" i="34"/>
  <c r="S86" i="34"/>
  <c r="AL10" i="11"/>
  <c r="BC10" i="11"/>
  <c r="BB10" i="11"/>
  <c r="R12" i="4"/>
  <c r="V11" i="4"/>
  <c r="AG11" i="4"/>
  <c r="AM11" i="4" s="1"/>
  <c r="T11" i="4"/>
  <c r="S91" i="4"/>
  <c r="U11" i="4"/>
  <c r="S102" i="4" s="1"/>
  <c r="AD11" i="4"/>
  <c r="N11" i="4"/>
  <c r="S11" i="4"/>
  <c r="H24" i="48"/>
  <c r="BB9" i="14"/>
  <c r="AL9" i="14"/>
  <c r="BC9" i="14"/>
  <c r="AJ9" i="4"/>
  <c r="U71" i="4"/>
  <c r="T71" i="4" s="1"/>
  <c r="AK11" i="11"/>
  <c r="AH11" i="11"/>
  <c r="AI11" i="11"/>
  <c r="V91" i="11" s="1"/>
  <c r="BC9" i="6"/>
  <c r="AL9" i="6"/>
  <c r="BB9" i="6"/>
  <c r="U11" i="33"/>
  <c r="S102" i="33" s="1"/>
  <c r="S91" i="33"/>
  <c r="N11" i="33"/>
  <c r="AD11" i="33"/>
  <c r="AG11" i="33"/>
  <c r="R12" i="33"/>
  <c r="V11" i="33"/>
  <c r="S94" i="33" s="1"/>
  <c r="T11" i="33"/>
  <c r="S11" i="33"/>
  <c r="AJ9" i="6"/>
  <c r="U71" i="6"/>
  <c r="AK10" i="24"/>
  <c r="AI10" i="24"/>
  <c r="V81" i="24" s="1"/>
  <c r="AH10" i="24"/>
  <c r="S69" i="37"/>
  <c r="AF8" i="34"/>
  <c r="V64" i="34"/>
  <c r="U66" i="34" s="1"/>
  <c r="AF8" i="35"/>
  <c r="V64" i="35"/>
  <c r="U66" i="35" s="1"/>
  <c r="AE10" i="37"/>
  <c r="S86" i="37"/>
  <c r="U71" i="8"/>
  <c r="T71" i="8" s="1"/>
  <c r="AJ9" i="8"/>
  <c r="V73" i="16"/>
  <c r="T73" i="16"/>
  <c r="Z10" i="14"/>
  <c r="S80" i="14"/>
  <c r="AG11" i="8"/>
  <c r="AM11" i="8" s="1"/>
  <c r="R12" i="8"/>
  <c r="V11" i="8"/>
  <c r="S94" i="8" s="1"/>
  <c r="T11" i="8"/>
  <c r="AD11" i="8"/>
  <c r="U11" i="8"/>
  <c r="S102" i="8" s="1"/>
  <c r="S91" i="8"/>
  <c r="N11" i="8"/>
  <c r="S11" i="17"/>
  <c r="R12" i="17"/>
  <c r="S12" i="17" s="1"/>
  <c r="V11" i="17"/>
  <c r="S94" i="17" s="1"/>
  <c r="AG11" i="17"/>
  <c r="AM11" i="17" s="1"/>
  <c r="AD11" i="17"/>
  <c r="S91" i="17"/>
  <c r="U11" i="17"/>
  <c r="S102" i="17" s="1"/>
  <c r="T11" i="17"/>
  <c r="N11" i="17"/>
  <c r="AE10" i="33"/>
  <c r="S86" i="33"/>
  <c r="AJ9" i="24"/>
  <c r="U71" i="24"/>
  <c r="T71" i="24" s="1"/>
  <c r="V71" i="6"/>
  <c r="BC9" i="37"/>
  <c r="AL9" i="37"/>
  <c r="BB9" i="37"/>
  <c r="AA9" i="37"/>
  <c r="AF8" i="20"/>
  <c r="V73" i="6"/>
  <c r="T73" i="6"/>
  <c r="BC9" i="7"/>
  <c r="BB9" i="7"/>
  <c r="AL9" i="7"/>
  <c r="AJ9" i="17"/>
  <c r="U71" i="17"/>
  <c r="T71" i="17" s="1"/>
  <c r="S69" i="35"/>
  <c r="AK10" i="8"/>
  <c r="AI10" i="8"/>
  <c r="AH10" i="8"/>
  <c r="AK10" i="17"/>
  <c r="AH10" i="17"/>
  <c r="AI10" i="17"/>
  <c r="U72" i="24"/>
  <c r="S91" i="24"/>
  <c r="T11" i="24"/>
  <c r="N11" i="24"/>
  <c r="U11" i="24"/>
  <c r="S102" i="24" s="1"/>
  <c r="AG11" i="24"/>
  <c r="AM11" i="24" s="1"/>
  <c r="R12" i="24"/>
  <c r="V11" i="24"/>
  <c r="AD11" i="24"/>
  <c r="T73" i="20"/>
  <c r="V73" i="20"/>
  <c r="AF9" i="11"/>
  <c r="S69" i="33"/>
  <c r="S69" i="7"/>
  <c r="V11" i="34"/>
  <c r="S94" i="34" s="1"/>
  <c r="S91" i="34"/>
  <c r="AD11" i="34"/>
  <c r="T11" i="34"/>
  <c r="U11" i="34"/>
  <c r="S102" i="34" s="1"/>
  <c r="N11" i="34"/>
  <c r="AG11" i="34"/>
  <c r="R12" i="34"/>
  <c r="S11" i="34"/>
  <c r="AE10" i="7"/>
  <c r="S86" i="7"/>
  <c r="AE10" i="16"/>
  <c r="S86" i="16"/>
  <c r="AE10" i="5"/>
  <c r="S86" i="5"/>
  <c r="U72" i="8"/>
  <c r="AL9" i="35"/>
  <c r="BC9" i="35"/>
  <c r="BB9" i="35"/>
  <c r="AA9" i="35"/>
  <c r="Z10" i="19"/>
  <c r="S80" i="19"/>
  <c r="S84" i="8"/>
  <c r="AE10" i="17"/>
  <c r="S86" i="17"/>
  <c r="V73" i="37"/>
  <c r="T73" i="37"/>
  <c r="T73" i="8"/>
  <c r="V73" i="8"/>
  <c r="V73" i="24"/>
  <c r="T73" i="24"/>
  <c r="BC9" i="19"/>
  <c r="AL9" i="19"/>
  <c r="BB9" i="19"/>
  <c r="AJ9" i="16"/>
  <c r="U71" i="16"/>
  <c r="T71" i="16" s="1"/>
  <c r="AE10" i="19"/>
  <c r="S86" i="19"/>
  <c r="H22" i="49"/>
  <c r="BC9" i="33"/>
  <c r="AL9" i="33"/>
  <c r="BB9" i="33"/>
  <c r="AA9" i="33"/>
  <c r="U72" i="17"/>
  <c r="T73" i="22"/>
  <c r="V73" i="22"/>
  <c r="V73" i="15"/>
  <c r="T73" i="15"/>
  <c r="T11" i="16"/>
  <c r="U11" i="16"/>
  <c r="S102" i="16" s="1"/>
  <c r="S91" i="16"/>
  <c r="N11" i="16"/>
  <c r="R12" i="16"/>
  <c r="AD11" i="16"/>
  <c r="V11" i="16"/>
  <c r="S94" i="16" s="1"/>
  <c r="AG11" i="16"/>
  <c r="AM11" i="16" s="1"/>
  <c r="AF8" i="37"/>
  <c r="V64" i="37"/>
  <c r="U66" i="37" s="1"/>
  <c r="S69" i="5"/>
  <c r="S103" i="4"/>
  <c r="Z10" i="8"/>
  <c r="S80" i="8"/>
  <c r="Z10" i="16"/>
  <c r="S80" i="16"/>
  <c r="T73" i="4"/>
  <c r="V73" i="4"/>
  <c r="H28" i="49"/>
  <c r="U72" i="14"/>
  <c r="AE10" i="35"/>
  <c r="S86" i="35"/>
  <c r="V73" i="33"/>
  <c r="T73" i="33"/>
  <c r="Z10" i="4"/>
  <c r="S80" i="4"/>
  <c r="Z10" i="37"/>
  <c r="S80" i="37"/>
  <c r="AK10" i="16"/>
  <c r="AI10" i="16"/>
  <c r="AH10" i="16"/>
  <c r="AK10" i="5"/>
  <c r="AI10" i="5"/>
  <c r="V81" i="5" s="1"/>
  <c r="AH10" i="5"/>
  <c r="AH10" i="20"/>
  <c r="AK10" i="20"/>
  <c r="AI10" i="20"/>
  <c r="V81" i="20" s="1"/>
  <c r="BC9" i="5"/>
  <c r="AL9" i="5"/>
  <c r="BB9" i="5"/>
  <c r="S80" i="17"/>
  <c r="Z10" i="17"/>
  <c r="AJ9" i="14"/>
  <c r="U71" i="14"/>
  <c r="T71" i="14" s="1"/>
  <c r="BC9" i="34"/>
  <c r="AL9" i="34"/>
  <c r="BB9" i="34"/>
  <c r="AA9" i="34"/>
  <c r="V73" i="14"/>
  <c r="T73" i="14"/>
  <c r="AE10" i="6"/>
  <c r="S86" i="6"/>
  <c r="U72" i="16"/>
  <c r="R12" i="19"/>
  <c r="V11" i="19"/>
  <c r="S94" i="19" s="1"/>
  <c r="AG11" i="19"/>
  <c r="AM11" i="19" s="1"/>
  <c r="U11" i="19"/>
  <c r="S102" i="19" s="1"/>
  <c r="N11" i="19"/>
  <c r="T11" i="19"/>
  <c r="AD11" i="19"/>
  <c r="S91" i="19"/>
  <c r="AK10" i="22"/>
  <c r="AH10" i="22"/>
  <c r="AI10" i="22"/>
  <c r="S86" i="15"/>
  <c r="AE10" i="15"/>
  <c r="AK10" i="7"/>
  <c r="AI10" i="7"/>
  <c r="V81" i="7" s="1"/>
  <c r="AH10" i="7"/>
  <c r="AH10" i="4"/>
  <c r="AK10" i="4"/>
  <c r="AI10" i="4"/>
  <c r="V73" i="35"/>
  <c r="T73" i="35"/>
  <c r="T61" i="22"/>
  <c r="AF16" i="60"/>
  <c r="Z10" i="6"/>
  <c r="S80" i="6"/>
  <c r="S86" i="14"/>
  <c r="AE10" i="14"/>
  <c r="Z10" i="33"/>
  <c r="S80" i="33"/>
  <c r="R12" i="35"/>
  <c r="V11" i="35"/>
  <c r="S94" i="35" s="1"/>
  <c r="AG11" i="35"/>
  <c r="AD11" i="35"/>
  <c r="U11" i="35"/>
  <c r="S102" i="35" s="1"/>
  <c r="T11" i="35"/>
  <c r="S91" i="35"/>
  <c r="N11" i="35"/>
  <c r="S11" i="35"/>
  <c r="U72" i="20"/>
  <c r="S11" i="22"/>
  <c r="V11" i="22"/>
  <c r="S94" i="22" s="1"/>
  <c r="AG11" i="22"/>
  <c r="AM11" i="22" s="1"/>
  <c r="R12" i="22"/>
  <c r="U11" i="22"/>
  <c r="S102" i="22" s="1"/>
  <c r="AD11" i="22"/>
  <c r="T11" i="22"/>
  <c r="S91" i="22"/>
  <c r="N11" i="22"/>
  <c r="Z10" i="34"/>
  <c r="S80" i="34"/>
  <c r="U72" i="19"/>
  <c r="V73" i="17"/>
  <c r="T73" i="17"/>
  <c r="S11" i="5"/>
  <c r="R12" i="5"/>
  <c r="S12" i="5" s="1"/>
  <c r="V11" i="5"/>
  <c r="S94" i="5" s="1"/>
  <c r="AG11" i="5"/>
  <c r="AM11" i="5" s="1"/>
  <c r="U11" i="5"/>
  <c r="S102" i="5" s="1"/>
  <c r="T11" i="5"/>
  <c r="AD11" i="5"/>
  <c r="S91" i="5"/>
  <c r="N11" i="5"/>
  <c r="T73" i="7"/>
  <c r="V73" i="7"/>
  <c r="S69" i="4"/>
  <c r="AJ9" i="20"/>
  <c r="U71" i="20"/>
  <c r="T71" i="20" s="1"/>
  <c r="S84" i="22"/>
  <c r="AJ10" i="11"/>
  <c r="U81" i="11"/>
  <c r="AJ9" i="19"/>
  <c r="U71" i="19"/>
  <c r="T71" i="19" s="1"/>
  <c r="S11" i="7"/>
  <c r="N11" i="7"/>
  <c r="AG11" i="7"/>
  <c r="AM11" i="7" s="1"/>
  <c r="R12" i="7"/>
  <c r="V11" i="7"/>
  <c r="S94" i="7" s="1"/>
  <c r="AD11" i="7"/>
  <c r="U11" i="7"/>
  <c r="S102" i="7" s="1"/>
  <c r="T11" i="7"/>
  <c r="S91" i="7"/>
  <c r="S80" i="5"/>
  <c r="Z10" i="5"/>
  <c r="Z10" i="15"/>
  <c r="S80" i="15"/>
  <c r="F51" i="40"/>
  <c r="O51" i="40"/>
  <c r="D51" i="40"/>
  <c r="N51" i="40"/>
  <c r="B51" i="40"/>
  <c r="P51" i="40"/>
  <c r="H52" i="40"/>
  <c r="C51" i="40"/>
  <c r="J51" i="40"/>
  <c r="I51" i="40"/>
  <c r="L51" i="40"/>
  <c r="E51" i="40"/>
  <c r="M51" i="40"/>
  <c r="I33" i="40"/>
  <c r="K51" i="40"/>
  <c r="K93" i="40"/>
  <c r="I12" i="40"/>
  <c r="I24" i="57" s="1"/>
  <c r="I133" i="40"/>
  <c r="H34" i="40"/>
  <c r="O105" i="4"/>
  <c r="Q133" i="40"/>
  <c r="V89" i="8"/>
  <c r="N114" i="40"/>
  <c r="E12" i="40"/>
  <c r="Q95" i="34"/>
  <c r="T52" i="40"/>
  <c r="M72" i="40"/>
  <c r="M33" i="40"/>
  <c r="T133" i="40"/>
  <c r="M93" i="40"/>
  <c r="C114" i="40"/>
  <c r="L33" i="40"/>
  <c r="AQ12" i="17"/>
  <c r="Q13" i="20"/>
  <c r="AU9" i="34"/>
  <c r="Q12" i="14"/>
  <c r="AP12" i="16"/>
  <c r="O105" i="8"/>
  <c r="Q12" i="40"/>
  <c r="N72" i="40"/>
  <c r="E133" i="40"/>
  <c r="V89" i="16"/>
  <c r="I93" i="40"/>
  <c r="B93" i="40"/>
  <c r="S33" i="40"/>
  <c r="J72" i="40"/>
  <c r="AP14" i="4"/>
  <c r="V89" i="6"/>
  <c r="E72" i="40"/>
  <c r="K114" i="40"/>
  <c r="V89" i="4"/>
  <c r="B72" i="40"/>
  <c r="R114" i="40"/>
  <c r="J33" i="40"/>
  <c r="J133" i="40"/>
  <c r="D133" i="40"/>
  <c r="K133" i="40"/>
  <c r="Q95" i="35"/>
  <c r="AQ11" i="6"/>
  <c r="AQ11" i="16"/>
  <c r="AP12" i="14"/>
  <c r="AP13" i="20"/>
  <c r="Q13" i="11"/>
  <c r="Q13" i="17"/>
  <c r="Q95" i="19"/>
  <c r="Q95" i="8"/>
  <c r="V99" i="11"/>
  <c r="Q95" i="24"/>
  <c r="B12" i="40"/>
  <c r="O105" i="6"/>
  <c r="V89" i="15"/>
  <c r="D93" i="40"/>
  <c r="O33" i="40"/>
  <c r="Q52" i="40"/>
  <c r="M133" i="40"/>
  <c r="C93" i="40"/>
  <c r="N33" i="40"/>
  <c r="R33" i="40"/>
  <c r="Q95" i="7"/>
  <c r="AQ11" i="22"/>
  <c r="Q12" i="24"/>
  <c r="AQ11" i="14"/>
  <c r="AP13" i="17"/>
  <c r="Q105" i="11"/>
  <c r="O105" i="37"/>
  <c r="F12" i="40"/>
  <c r="H24" i="57" s="1"/>
  <c r="O105" i="15"/>
  <c r="L93" i="40"/>
  <c r="L72" i="40"/>
  <c r="H94" i="40"/>
  <c r="O105" i="33"/>
  <c r="F72" i="40"/>
  <c r="F114" i="40"/>
  <c r="K72" i="40"/>
  <c r="Q95" i="22"/>
  <c r="AQ12" i="7"/>
  <c r="Q13" i="7"/>
  <c r="AP13" i="11"/>
  <c r="AU9" i="33"/>
  <c r="Q13" i="5"/>
  <c r="AP12" i="6"/>
  <c r="Q13" i="22"/>
  <c r="AP13" i="5"/>
  <c r="Q95" i="14"/>
  <c r="N12" i="40"/>
  <c r="Q95" i="20"/>
  <c r="B133" i="40"/>
  <c r="T33" i="40"/>
  <c r="R133" i="40"/>
  <c r="V89" i="24"/>
  <c r="C133" i="40"/>
  <c r="O105" i="19"/>
  <c r="V89" i="7"/>
  <c r="AS8" i="60"/>
  <c r="AP12" i="24"/>
  <c r="AQ12" i="5"/>
  <c r="AQ11" i="19"/>
  <c r="Q12" i="6"/>
  <c r="Q95" i="16"/>
  <c r="D114" i="40"/>
  <c r="V89" i="20"/>
  <c r="I72" i="40"/>
  <c r="P133" i="40"/>
  <c r="S133" i="40"/>
  <c r="B114" i="40"/>
  <c r="F93" i="40"/>
  <c r="O105" i="24"/>
  <c r="S114" i="40"/>
  <c r="R12" i="40"/>
  <c r="L133" i="40"/>
  <c r="O105" i="35"/>
  <c r="V89" i="22"/>
  <c r="Q95" i="5"/>
  <c r="P72" i="40"/>
  <c r="O105" i="7"/>
  <c r="C33" i="40"/>
  <c r="AP13" i="7"/>
  <c r="AS9" i="33"/>
  <c r="AU8" i="60"/>
  <c r="Q12" i="15"/>
  <c r="Q114" i="40"/>
  <c r="C72" i="40"/>
  <c r="Q95" i="33"/>
  <c r="O72" i="40"/>
  <c r="B33" i="40"/>
  <c r="V89" i="19"/>
  <c r="O105" i="22"/>
  <c r="O105" i="5"/>
  <c r="Q12" i="19"/>
  <c r="Q95" i="6"/>
  <c r="O105" i="20"/>
  <c r="F133" i="40"/>
  <c r="O133" i="40"/>
  <c r="J93" i="40"/>
  <c r="L12" i="40"/>
  <c r="H13" i="40"/>
  <c r="Q95" i="4"/>
  <c r="D12" i="40"/>
  <c r="D72" i="40"/>
  <c r="Q95" i="17"/>
  <c r="O114" i="40"/>
  <c r="N133" i="40"/>
  <c r="R52" i="40"/>
  <c r="P93" i="40"/>
  <c r="D33" i="40"/>
  <c r="E114" i="40"/>
  <c r="AP12" i="15"/>
  <c r="AQ11" i="8"/>
  <c r="AQ12" i="22"/>
  <c r="AP13" i="22"/>
  <c r="AS8" i="35"/>
  <c r="AS6" i="37"/>
  <c r="AP12" i="19"/>
  <c r="M12" i="40"/>
  <c r="P114" i="40"/>
  <c r="P33" i="40"/>
  <c r="O105" i="14"/>
  <c r="K33" i="40"/>
  <c r="O105" i="17"/>
  <c r="N93" i="40"/>
  <c r="T12" i="40"/>
  <c r="J12" i="40"/>
  <c r="F33" i="40"/>
  <c r="Q33" i="40"/>
  <c r="S12" i="40"/>
  <c r="E93" i="40"/>
  <c r="T114" i="40"/>
  <c r="I114" i="40"/>
  <c r="V89" i="5"/>
  <c r="AQ12" i="20"/>
  <c r="Q95" i="15"/>
  <c r="P12" i="40"/>
  <c r="E33" i="40"/>
  <c r="O12" i="40"/>
  <c r="O93" i="40"/>
  <c r="O105" i="16"/>
  <c r="H73" i="40"/>
  <c r="AQ11" i="24"/>
  <c r="AQ12" i="10"/>
  <c r="AP12" i="8"/>
  <c r="AP13" i="10"/>
  <c r="AU8" i="35"/>
  <c r="AU7" i="37"/>
  <c r="AQ11" i="15"/>
  <c r="AQ13" i="4"/>
  <c r="AQ12" i="11"/>
  <c r="Q12" i="8"/>
  <c r="Q12" i="16"/>
  <c r="Q14" i="4"/>
  <c r="AS9" i="34"/>
  <c r="Q95" i="37"/>
  <c r="L114" i="40"/>
  <c r="V89" i="14"/>
  <c r="K12" i="40"/>
  <c r="AS7" i="35"/>
  <c r="V89" i="17"/>
  <c r="O105" i="34"/>
  <c r="M114" i="40"/>
  <c r="C12" i="40"/>
  <c r="S52" i="40"/>
  <c r="J114" i="40"/>
  <c r="Q105" i="17"/>
  <c r="Q105" i="5"/>
  <c r="V64" i="8" l="1"/>
  <c r="U66" i="8" s="1"/>
  <c r="AF8" i="6"/>
  <c r="T81" i="11"/>
  <c r="AF8" i="7"/>
  <c r="V64" i="17"/>
  <c r="U66" i="17" s="1"/>
  <c r="S79" i="33"/>
  <c r="S79" i="22"/>
  <c r="V64" i="4"/>
  <c r="U66" i="4" s="1"/>
  <c r="S79" i="34"/>
  <c r="S79" i="4"/>
  <c r="S79" i="7"/>
  <c r="BC10" i="22"/>
  <c r="AF8" i="22"/>
  <c r="V64" i="19"/>
  <c r="U66" i="19" s="1"/>
  <c r="S79" i="15"/>
  <c r="AF8" i="24"/>
  <c r="AF8" i="14"/>
  <c r="AA9" i="22"/>
  <c r="AA9" i="17"/>
  <c r="AF9" i="17" s="1"/>
  <c r="AF8" i="16"/>
  <c r="V64" i="15"/>
  <c r="U66" i="15" s="1"/>
  <c r="AA9" i="14"/>
  <c r="AA9" i="8"/>
  <c r="AA10" i="22"/>
  <c r="AF10" i="22" s="1"/>
  <c r="S79" i="17"/>
  <c r="AF8" i="5"/>
  <c r="H27" i="48"/>
  <c r="AA9" i="5"/>
  <c r="AA9" i="19"/>
  <c r="V74" i="19" s="1"/>
  <c r="U76" i="19" s="1"/>
  <c r="AA9" i="7"/>
  <c r="AF9" i="7" s="1"/>
  <c r="S79" i="5"/>
  <c r="AA9" i="16"/>
  <c r="T71" i="6"/>
  <c r="AA9" i="4"/>
  <c r="V74" i="4" s="1"/>
  <c r="U76" i="4" s="1"/>
  <c r="AA10" i="11"/>
  <c r="V84" i="11" s="1"/>
  <c r="U86" i="11" s="1"/>
  <c r="AA9" i="15"/>
  <c r="AF9" i="15" s="1"/>
  <c r="S79" i="16"/>
  <c r="AA9" i="6"/>
  <c r="V74" i="6" s="1"/>
  <c r="U76" i="6" s="1"/>
  <c r="AA9" i="24"/>
  <c r="V74" i="24" s="1"/>
  <c r="U76" i="24" s="1"/>
  <c r="AA9" i="20"/>
  <c r="V74" i="20" s="1"/>
  <c r="U76" i="20" s="1"/>
  <c r="S58" i="35"/>
  <c r="S78" i="34"/>
  <c r="Q120" i="4"/>
  <c r="S12" i="16"/>
  <c r="Q100" i="16"/>
  <c r="W12" i="16"/>
  <c r="S12" i="8"/>
  <c r="Q100" i="8"/>
  <c r="W12" i="8"/>
  <c r="Q118" i="11"/>
  <c r="Q128" i="4"/>
  <c r="Q108" i="15"/>
  <c r="Q118" i="10"/>
  <c r="Q108" i="24"/>
  <c r="Q118" i="20"/>
  <c r="S48" i="37"/>
  <c r="S68" i="35"/>
  <c r="Q118" i="22"/>
  <c r="Q108" i="8"/>
  <c r="S12" i="19"/>
  <c r="Q100" i="19"/>
  <c r="W12" i="19"/>
  <c r="S12" i="15"/>
  <c r="Q100" i="15"/>
  <c r="W12" i="15"/>
  <c r="S78" i="33"/>
  <c r="S12" i="6"/>
  <c r="Q100" i="6"/>
  <c r="W12" i="6"/>
  <c r="Q108" i="19"/>
  <c r="Q118" i="5"/>
  <c r="S68" i="60"/>
  <c r="Q110" i="22"/>
  <c r="Q110" i="5"/>
  <c r="Q110" i="7"/>
  <c r="Q118" i="7"/>
  <c r="Q108" i="14"/>
  <c r="Q100" i="24"/>
  <c r="S12" i="24"/>
  <c r="W12" i="24"/>
  <c r="Q108" i="22"/>
  <c r="Q110" i="17"/>
  <c r="AG13" i="11"/>
  <c r="AM13" i="11" s="1"/>
  <c r="S13" i="11"/>
  <c r="Q110" i="11"/>
  <c r="Q108" i="16"/>
  <c r="Q108" i="6"/>
  <c r="S12" i="14"/>
  <c r="Q100" i="14"/>
  <c r="W12" i="14"/>
  <c r="Q110" i="20"/>
  <c r="Q118" i="17"/>
  <c r="S100" i="5"/>
  <c r="S100" i="17"/>
  <c r="U81" i="7"/>
  <c r="T81" i="7" s="1"/>
  <c r="AJ10" i="7"/>
  <c r="AE11" i="19"/>
  <c r="S96" i="19"/>
  <c r="AF9" i="34"/>
  <c r="V74" i="34"/>
  <c r="U76" i="34" s="1"/>
  <c r="AE11" i="16"/>
  <c r="S96" i="16"/>
  <c r="S101" i="34"/>
  <c r="T12" i="34"/>
  <c r="U12" i="34"/>
  <c r="S112" i="34" s="1"/>
  <c r="N12" i="34"/>
  <c r="AG12" i="34"/>
  <c r="V12" i="34"/>
  <c r="S104" i="34" s="1"/>
  <c r="R13" i="34"/>
  <c r="AD12" i="34"/>
  <c r="S12" i="34"/>
  <c r="V81" i="17"/>
  <c r="AI11" i="17"/>
  <c r="V91" i="17" s="1"/>
  <c r="AK11" i="17"/>
  <c r="AH11" i="17"/>
  <c r="AH11" i="14"/>
  <c r="AK11" i="14"/>
  <c r="AI11" i="14"/>
  <c r="AE11" i="15"/>
  <c r="S96" i="15"/>
  <c r="AJ10" i="14"/>
  <c r="U81" i="14"/>
  <c r="T81" i="14" s="1"/>
  <c r="Z11" i="37"/>
  <c r="S90" i="37"/>
  <c r="S103" i="5"/>
  <c r="S79" i="37"/>
  <c r="S79" i="8"/>
  <c r="S101" i="16"/>
  <c r="N12" i="16"/>
  <c r="R13" i="16"/>
  <c r="AG12" i="16"/>
  <c r="AM12" i="16" s="1"/>
  <c r="V12" i="16"/>
  <c r="S104" i="16" s="1"/>
  <c r="AD12" i="16"/>
  <c r="T12" i="16"/>
  <c r="U12" i="16"/>
  <c r="S112" i="16" s="1"/>
  <c r="AJ10" i="17"/>
  <c r="U81" i="17"/>
  <c r="S79" i="14"/>
  <c r="U82" i="24"/>
  <c r="AJ10" i="19"/>
  <c r="U81" i="19"/>
  <c r="S79" i="20"/>
  <c r="BB10" i="7"/>
  <c r="BC10" i="7"/>
  <c r="AL10" i="7"/>
  <c r="Z11" i="15"/>
  <c r="S90" i="15"/>
  <c r="AH11" i="5"/>
  <c r="AK11" i="5"/>
  <c r="AI11" i="5"/>
  <c r="V91" i="5" s="1"/>
  <c r="AE11" i="22"/>
  <c r="S96" i="22"/>
  <c r="AE11" i="35"/>
  <c r="S96" i="35"/>
  <c r="S79" i="6"/>
  <c r="U82" i="7"/>
  <c r="AL10" i="37"/>
  <c r="BC10" i="37"/>
  <c r="BB10" i="37"/>
  <c r="AA10" i="37"/>
  <c r="AL10" i="8"/>
  <c r="BC10" i="8"/>
  <c r="BB10" i="8"/>
  <c r="U82" i="17"/>
  <c r="AG12" i="17"/>
  <c r="AM12" i="17" s="1"/>
  <c r="R13" i="17"/>
  <c r="S13" i="17" s="1"/>
  <c r="V12" i="17"/>
  <c r="S104" i="17" s="1"/>
  <c r="AD12" i="17"/>
  <c r="T12" i="17"/>
  <c r="S101" i="17"/>
  <c r="U12" i="17"/>
  <c r="S112" i="17" s="1"/>
  <c r="N12" i="17"/>
  <c r="AL10" i="14"/>
  <c r="BC10" i="14"/>
  <c r="BB10" i="14"/>
  <c r="C50" i="48"/>
  <c r="V81" i="19"/>
  <c r="V12" i="14"/>
  <c r="S104" i="14" s="1"/>
  <c r="T12" i="14"/>
  <c r="AD12" i="14"/>
  <c r="U12" i="14"/>
  <c r="S112" i="14" s="1"/>
  <c r="S101" i="14"/>
  <c r="N12" i="14"/>
  <c r="AG12" i="14"/>
  <c r="AM12" i="14" s="1"/>
  <c r="R13" i="14"/>
  <c r="BB10" i="20"/>
  <c r="AL10" i="20"/>
  <c r="BC10" i="20"/>
  <c r="AE11" i="20"/>
  <c r="S96" i="20"/>
  <c r="AE11" i="7"/>
  <c r="S96" i="7"/>
  <c r="AL10" i="6"/>
  <c r="BC10" i="6"/>
  <c r="BB10" i="6"/>
  <c r="U82" i="20"/>
  <c r="H29" i="49"/>
  <c r="AF9" i="33"/>
  <c r="V74" i="33"/>
  <c r="U76" i="33" s="1"/>
  <c r="T83" i="17"/>
  <c r="V83" i="17"/>
  <c r="AE11" i="24"/>
  <c r="S96" i="24"/>
  <c r="AJ10" i="8"/>
  <c r="U81" i="8"/>
  <c r="S90" i="17"/>
  <c r="Z11" i="17"/>
  <c r="Z11" i="4"/>
  <c r="S90" i="4"/>
  <c r="U82" i="19"/>
  <c r="T83" i="24"/>
  <c r="V83" i="24"/>
  <c r="H31" i="47"/>
  <c r="H34" i="47" s="1"/>
  <c r="H37" i="47" s="1"/>
  <c r="V83" i="8"/>
  <c r="T83" i="8"/>
  <c r="R13" i="20"/>
  <c r="S13" i="20" s="1"/>
  <c r="V12" i="20"/>
  <c r="S104" i="20" s="1"/>
  <c r="AG12" i="20"/>
  <c r="AM12" i="20" s="1"/>
  <c r="S101" i="20"/>
  <c r="U12" i="20"/>
  <c r="S112" i="20" s="1"/>
  <c r="AD12" i="20"/>
  <c r="T12" i="20"/>
  <c r="N12" i="20"/>
  <c r="Z11" i="6"/>
  <c r="S90" i="6"/>
  <c r="R13" i="5"/>
  <c r="S13" i="5" s="1"/>
  <c r="V12" i="5"/>
  <c r="S104" i="5" s="1"/>
  <c r="AG12" i="5"/>
  <c r="AM12" i="5" s="1"/>
  <c r="T12" i="5"/>
  <c r="U12" i="5"/>
  <c r="S112" i="5" s="1"/>
  <c r="AD12" i="5"/>
  <c r="S101" i="5"/>
  <c r="N12" i="5"/>
  <c r="T12" i="22"/>
  <c r="AD12" i="22"/>
  <c r="N12" i="22"/>
  <c r="R13" i="22"/>
  <c r="S13" i="22" s="1"/>
  <c r="AG12" i="22"/>
  <c r="AM12" i="22" s="1"/>
  <c r="V12" i="22"/>
  <c r="U12" i="22"/>
  <c r="S112" i="22" s="1"/>
  <c r="S101" i="22"/>
  <c r="AI11" i="19"/>
  <c r="V91" i="19" s="1"/>
  <c r="AH11" i="19"/>
  <c r="AK11" i="19"/>
  <c r="AJ10" i="20"/>
  <c r="U81" i="20"/>
  <c r="T81" i="20" s="1"/>
  <c r="BC10" i="4"/>
  <c r="AL10" i="4"/>
  <c r="H19" i="50"/>
  <c r="BB10" i="4"/>
  <c r="S94" i="24"/>
  <c r="V81" i="8"/>
  <c r="Z11" i="33"/>
  <c r="S90" i="33"/>
  <c r="AE11" i="37"/>
  <c r="S96" i="37"/>
  <c r="BC10" i="5"/>
  <c r="BB10" i="5"/>
  <c r="AL10" i="5"/>
  <c r="S12" i="7"/>
  <c r="R13" i="7"/>
  <c r="AG12" i="7"/>
  <c r="AM12" i="7" s="1"/>
  <c r="S101" i="7"/>
  <c r="AD12" i="7"/>
  <c r="T12" i="7"/>
  <c r="U12" i="7"/>
  <c r="S112" i="7" s="1"/>
  <c r="N12" i="7"/>
  <c r="V12" i="7"/>
  <c r="S104" i="7" s="1"/>
  <c r="S90" i="5"/>
  <c r="Z11" i="5"/>
  <c r="AH11" i="22"/>
  <c r="AI11" i="22"/>
  <c r="V91" i="22" s="1"/>
  <c r="AK11" i="22"/>
  <c r="AG12" i="35"/>
  <c r="V12" i="35"/>
  <c r="S104" i="35" s="1"/>
  <c r="R13" i="35"/>
  <c r="AD12" i="35"/>
  <c r="T12" i="35"/>
  <c r="U12" i="35"/>
  <c r="S112" i="35" s="1"/>
  <c r="S101" i="35"/>
  <c r="N12" i="35"/>
  <c r="S12" i="35"/>
  <c r="V83" i="15"/>
  <c r="T83" i="15"/>
  <c r="AE11" i="34"/>
  <c r="S96" i="34"/>
  <c r="V12" i="24"/>
  <c r="S104" i="24" s="1"/>
  <c r="AG12" i="24"/>
  <c r="AM12" i="24" s="1"/>
  <c r="R13" i="24"/>
  <c r="S101" i="24"/>
  <c r="AD12" i="24"/>
  <c r="T12" i="24"/>
  <c r="U12" i="24"/>
  <c r="S112" i="24" s="1"/>
  <c r="N12" i="24"/>
  <c r="U82" i="8"/>
  <c r="AE11" i="4"/>
  <c r="H20" i="51"/>
  <c r="S96" i="4"/>
  <c r="V83" i="34"/>
  <c r="T83" i="34"/>
  <c r="S79" i="35"/>
  <c r="V83" i="20"/>
  <c r="T83" i="20"/>
  <c r="AI11" i="20"/>
  <c r="V91" i="20" s="1"/>
  <c r="AH11" i="20"/>
  <c r="AK11" i="20"/>
  <c r="AE11" i="6"/>
  <c r="S96" i="6"/>
  <c r="Z11" i="16"/>
  <c r="S90" i="16"/>
  <c r="AK11" i="7"/>
  <c r="AH11" i="7"/>
  <c r="AI11" i="7"/>
  <c r="V91" i="7" s="1"/>
  <c r="R13" i="19"/>
  <c r="V12" i="19"/>
  <c r="S104" i="19" s="1"/>
  <c r="AG12" i="19"/>
  <c r="AM12" i="19" s="1"/>
  <c r="U12" i="19"/>
  <c r="S112" i="19" s="1"/>
  <c r="AD12" i="19"/>
  <c r="T12" i="19"/>
  <c r="S101" i="19"/>
  <c r="N12" i="19"/>
  <c r="AJ10" i="5"/>
  <c r="U81" i="5"/>
  <c r="T81" i="5" s="1"/>
  <c r="T83" i="5"/>
  <c r="V83" i="5"/>
  <c r="AI11" i="24"/>
  <c r="V91" i="24" s="1"/>
  <c r="AH11" i="24"/>
  <c r="AK11" i="24"/>
  <c r="T83" i="33"/>
  <c r="V83" i="33"/>
  <c r="AJ11" i="11"/>
  <c r="U91" i="11"/>
  <c r="T91" i="11" s="1"/>
  <c r="V81" i="15"/>
  <c r="BC10" i="35"/>
  <c r="AL10" i="35"/>
  <c r="BB10" i="35"/>
  <c r="AA10" i="35"/>
  <c r="H28" i="50"/>
  <c r="V83" i="4"/>
  <c r="T83" i="4"/>
  <c r="S90" i="20"/>
  <c r="Z11" i="20"/>
  <c r="H31" i="48"/>
  <c r="S103" i="22"/>
  <c r="S103" i="11"/>
  <c r="S90" i="14"/>
  <c r="Z11" i="14"/>
  <c r="S90" i="22"/>
  <c r="Z11" i="22"/>
  <c r="S96" i="8"/>
  <c r="AE11" i="8"/>
  <c r="T12" i="33"/>
  <c r="S101" i="33"/>
  <c r="N12" i="33"/>
  <c r="V12" i="33"/>
  <c r="S104" i="33" s="1"/>
  <c r="R13" i="33"/>
  <c r="AG12" i="33"/>
  <c r="AD12" i="33"/>
  <c r="U12" i="33"/>
  <c r="S112" i="33" s="1"/>
  <c r="S12" i="33"/>
  <c r="U92" i="11"/>
  <c r="S79" i="24"/>
  <c r="U82" i="15"/>
  <c r="AJ10" i="6"/>
  <c r="U81" i="6"/>
  <c r="T81" i="6" s="1"/>
  <c r="R13" i="15"/>
  <c r="V12" i="15"/>
  <c r="S104" i="15" s="1"/>
  <c r="AG12" i="15"/>
  <c r="AM12" i="15" s="1"/>
  <c r="AD12" i="15"/>
  <c r="S101" i="15"/>
  <c r="T12" i="15"/>
  <c r="U12" i="15"/>
  <c r="S112" i="15" s="1"/>
  <c r="N12" i="15"/>
  <c r="V12" i="37"/>
  <c r="S104" i="37" s="1"/>
  <c r="AG12" i="37"/>
  <c r="T12" i="37"/>
  <c r="U12" i="37"/>
  <c r="S112" i="37" s="1"/>
  <c r="AD12" i="37"/>
  <c r="N12" i="37"/>
  <c r="S101" i="37"/>
  <c r="R13" i="37"/>
  <c r="S12" i="37"/>
  <c r="S12" i="22"/>
  <c r="Z12" i="11"/>
  <c r="S100" i="11"/>
  <c r="S90" i="7"/>
  <c r="Z11" i="7"/>
  <c r="BC10" i="33"/>
  <c r="BB10" i="33"/>
  <c r="H22" i="50"/>
  <c r="AL10" i="33"/>
  <c r="AA10" i="33"/>
  <c r="V81" i="22"/>
  <c r="BC10" i="17"/>
  <c r="BB10" i="17"/>
  <c r="AL10" i="17"/>
  <c r="U82" i="5"/>
  <c r="S79" i="19"/>
  <c r="T83" i="16"/>
  <c r="V83" i="16"/>
  <c r="AF9" i="37"/>
  <c r="V74" i="37"/>
  <c r="U76" i="37" s="1"/>
  <c r="BC10" i="24"/>
  <c r="BB10" i="24"/>
  <c r="AL10" i="24"/>
  <c r="AJ10" i="15"/>
  <c r="U81" i="15"/>
  <c r="U82" i="6"/>
  <c r="AK11" i="15"/>
  <c r="AH11" i="15"/>
  <c r="AI11" i="15"/>
  <c r="V91" i="15" s="1"/>
  <c r="R13" i="6"/>
  <c r="AG12" i="6"/>
  <c r="AM12" i="6" s="1"/>
  <c r="V12" i="6"/>
  <c r="S104" i="6" s="1"/>
  <c r="T12" i="6"/>
  <c r="AD12" i="6"/>
  <c r="U12" i="6"/>
  <c r="S112" i="6" s="1"/>
  <c r="S101" i="6"/>
  <c r="N12" i="6"/>
  <c r="S90" i="24"/>
  <c r="Z11" i="24"/>
  <c r="AH12" i="11"/>
  <c r="AK12" i="11"/>
  <c r="AI12" i="11"/>
  <c r="V101" i="11" s="1"/>
  <c r="S90" i="8"/>
  <c r="Z11" i="8"/>
  <c r="Z11" i="19"/>
  <c r="S90" i="19"/>
  <c r="Z11" i="35"/>
  <c r="S90" i="35"/>
  <c r="T83" i="14"/>
  <c r="V83" i="14"/>
  <c r="V81" i="4"/>
  <c r="AJ10" i="22"/>
  <c r="U81" i="22"/>
  <c r="T83" i="6"/>
  <c r="V83" i="6"/>
  <c r="AJ10" i="16"/>
  <c r="U81" i="16"/>
  <c r="V83" i="19"/>
  <c r="T83" i="19"/>
  <c r="AL10" i="19"/>
  <c r="BC10" i="19"/>
  <c r="BB10" i="19"/>
  <c r="AE11" i="33"/>
  <c r="S96" i="33"/>
  <c r="H32" i="49"/>
  <c r="AI11" i="4"/>
  <c r="V91" i="4" s="1"/>
  <c r="AH11" i="4"/>
  <c r="AK11" i="4"/>
  <c r="AE11" i="14"/>
  <c r="S96" i="14"/>
  <c r="AH11" i="6"/>
  <c r="AK11" i="6"/>
  <c r="AI11" i="6"/>
  <c r="V91" i="6" s="1"/>
  <c r="AL10" i="22"/>
  <c r="AL10" i="34"/>
  <c r="BC10" i="34"/>
  <c r="BB10" i="34"/>
  <c r="AA10" i="34"/>
  <c r="H33" i="50"/>
  <c r="U82" i="4"/>
  <c r="U82" i="22"/>
  <c r="V74" i="5"/>
  <c r="U76" i="5" s="1"/>
  <c r="AF9" i="5"/>
  <c r="V81" i="16"/>
  <c r="AH11" i="16"/>
  <c r="AK11" i="16"/>
  <c r="AI11" i="16"/>
  <c r="V91" i="16" s="1"/>
  <c r="T83" i="7"/>
  <c r="V83" i="7"/>
  <c r="R13" i="8"/>
  <c r="V12" i="8"/>
  <c r="S104" i="8" s="1"/>
  <c r="AG12" i="8"/>
  <c r="AM12" i="8" s="1"/>
  <c r="T12" i="8"/>
  <c r="U12" i="8"/>
  <c r="S112" i="8" s="1"/>
  <c r="S101" i="8"/>
  <c r="AD12" i="8"/>
  <c r="N12" i="8"/>
  <c r="V74" i="14"/>
  <c r="U76" i="14" s="1"/>
  <c r="AF9" i="14"/>
  <c r="S94" i="4"/>
  <c r="V74" i="22"/>
  <c r="U76" i="22" s="1"/>
  <c r="AF9" i="22"/>
  <c r="S103" i="20"/>
  <c r="BC10" i="15"/>
  <c r="AL10" i="15"/>
  <c r="BB10" i="15"/>
  <c r="AE11" i="5"/>
  <c r="S96" i="5"/>
  <c r="AJ10" i="4"/>
  <c r="U81" i="4"/>
  <c r="U82" i="16"/>
  <c r="T83" i="35"/>
  <c r="V83" i="35"/>
  <c r="BC10" i="16"/>
  <c r="AL10" i="16"/>
  <c r="BB10" i="16"/>
  <c r="AF9" i="35"/>
  <c r="V74" i="35"/>
  <c r="U76" i="35" s="1"/>
  <c r="Z11" i="34"/>
  <c r="S90" i="34"/>
  <c r="AE11" i="17"/>
  <c r="S96" i="17"/>
  <c r="S89" i="17" s="1"/>
  <c r="AI11" i="8"/>
  <c r="V91" i="8" s="1"/>
  <c r="AK11" i="8"/>
  <c r="AH11" i="8"/>
  <c r="T83" i="37"/>
  <c r="V83" i="37"/>
  <c r="AJ10" i="24"/>
  <c r="U81" i="24"/>
  <c r="T81" i="24" s="1"/>
  <c r="R13" i="4"/>
  <c r="AD12" i="4"/>
  <c r="U12" i="4"/>
  <c r="S112" i="4" s="1"/>
  <c r="T12" i="4"/>
  <c r="S101" i="4"/>
  <c r="N12" i="4"/>
  <c r="V12" i="4"/>
  <c r="S104" i="4" s="1"/>
  <c r="AG12" i="4"/>
  <c r="AM12" i="4" s="1"/>
  <c r="S12" i="4"/>
  <c r="BC11" i="11"/>
  <c r="AL11" i="11"/>
  <c r="BB11" i="11"/>
  <c r="T83" i="22"/>
  <c r="V83" i="22"/>
  <c r="U82" i="14"/>
  <c r="V74" i="16"/>
  <c r="U76" i="16" s="1"/>
  <c r="AF9" i="16"/>
  <c r="H24" i="49"/>
  <c r="S12" i="20"/>
  <c r="S103" i="7"/>
  <c r="S103" i="17"/>
  <c r="I52" i="40"/>
  <c r="N52" i="40"/>
  <c r="K52" i="40"/>
  <c r="F52" i="40"/>
  <c r="I53" i="40"/>
  <c r="C52" i="40"/>
  <c r="J52" i="40"/>
  <c r="E52" i="40"/>
  <c r="M52" i="40"/>
  <c r="B52" i="40"/>
  <c r="H53" i="40"/>
  <c r="L52" i="40"/>
  <c r="D52" i="40"/>
  <c r="O52" i="40"/>
  <c r="P52" i="40"/>
  <c r="Q105" i="8"/>
  <c r="Q105" i="6"/>
  <c r="S115" i="40"/>
  <c r="P134" i="40"/>
  <c r="O115" i="20"/>
  <c r="O115" i="22"/>
  <c r="Q134" i="40"/>
  <c r="T115" i="40"/>
  <c r="D134" i="40"/>
  <c r="I34" i="40"/>
  <c r="O115" i="33"/>
  <c r="V99" i="15"/>
  <c r="R13" i="40"/>
  <c r="H95" i="40"/>
  <c r="O115" i="8"/>
  <c r="B73" i="40"/>
  <c r="S34" i="40"/>
  <c r="B115" i="40"/>
  <c r="AP14" i="20"/>
  <c r="AP13" i="14"/>
  <c r="Q105" i="34"/>
  <c r="Q53" i="40"/>
  <c r="O115" i="5"/>
  <c r="V99" i="22"/>
  <c r="V99" i="24"/>
  <c r="H74" i="40"/>
  <c r="P34" i="40"/>
  <c r="L115" i="40"/>
  <c r="O115" i="37"/>
  <c r="R53" i="40"/>
  <c r="O115" i="6"/>
  <c r="AU9" i="60"/>
  <c r="Q13" i="16"/>
  <c r="AP13" i="8"/>
  <c r="C94" i="40"/>
  <c r="F13" i="40"/>
  <c r="K115" i="40"/>
  <c r="B34" i="40"/>
  <c r="V99" i="20"/>
  <c r="O115" i="24"/>
  <c r="M34" i="40"/>
  <c r="R115" i="40"/>
  <c r="Q105" i="37"/>
  <c r="V99" i="6"/>
  <c r="I73" i="40"/>
  <c r="D94" i="40"/>
  <c r="V99" i="8"/>
  <c r="N134" i="40"/>
  <c r="AQ12" i="8"/>
  <c r="AQ12" i="19"/>
  <c r="AP13" i="16"/>
  <c r="AS10" i="33"/>
  <c r="Q105" i="19"/>
  <c r="M134" i="40"/>
  <c r="L134" i="40"/>
  <c r="K13" i="40"/>
  <c r="V99" i="5"/>
  <c r="C73" i="40"/>
  <c r="F34" i="40"/>
  <c r="R134" i="40"/>
  <c r="AS9" i="60"/>
  <c r="AQ14" i="4"/>
  <c r="AQ13" i="22"/>
  <c r="Q13" i="8"/>
  <c r="AU10" i="33"/>
  <c r="Q15" i="4"/>
  <c r="Q105" i="24"/>
  <c r="Q105" i="14"/>
  <c r="J73" i="40"/>
  <c r="I134" i="40"/>
  <c r="E134" i="40"/>
  <c r="O115" i="40"/>
  <c r="E94" i="40"/>
  <c r="Q105" i="33"/>
  <c r="Q105" i="22"/>
  <c r="J34" i="40"/>
  <c r="I13" i="40"/>
  <c r="Q13" i="15"/>
  <c r="AQ12" i="6"/>
  <c r="AP14" i="10"/>
  <c r="AS9" i="35"/>
  <c r="AU10" i="34"/>
  <c r="K73" i="40"/>
  <c r="O115" i="16"/>
  <c r="P115" i="40"/>
  <c r="C34" i="40"/>
  <c r="Q105" i="35"/>
  <c r="H35" i="40"/>
  <c r="O13" i="40"/>
  <c r="D115" i="40"/>
  <c r="F94" i="40"/>
  <c r="AQ12" i="24"/>
  <c r="AQ13" i="20"/>
  <c r="AQ13" i="10"/>
  <c r="AU9" i="35"/>
  <c r="AU8" i="37"/>
  <c r="AP14" i="5"/>
  <c r="V99" i="16"/>
  <c r="T134" i="40"/>
  <c r="V99" i="14"/>
  <c r="O134" i="40"/>
  <c r="C115" i="40"/>
  <c r="C13" i="40"/>
  <c r="T13" i="40"/>
  <c r="M73" i="40"/>
  <c r="F115" i="40"/>
  <c r="V99" i="4"/>
  <c r="AP13" i="15"/>
  <c r="Q14" i="11"/>
  <c r="Q105" i="15"/>
  <c r="N94" i="40"/>
  <c r="Q34" i="40"/>
  <c r="V99" i="17"/>
  <c r="O115" i="14"/>
  <c r="D13" i="40"/>
  <c r="J94" i="40"/>
  <c r="Q105" i="7"/>
  <c r="O115" i="19"/>
  <c r="F134" i="40"/>
  <c r="N13" i="40"/>
  <c r="L73" i="40"/>
  <c r="S13" i="40"/>
  <c r="M94" i="40"/>
  <c r="L13" i="40"/>
  <c r="M13" i="40"/>
  <c r="Q105" i="4"/>
  <c r="AQ13" i="5"/>
  <c r="Q14" i="7"/>
  <c r="AP15" i="4"/>
  <c r="AS7" i="37"/>
  <c r="Q105" i="16"/>
  <c r="M115" i="40"/>
  <c r="O115" i="17"/>
  <c r="F73" i="40"/>
  <c r="P73" i="40"/>
  <c r="R34" i="40"/>
  <c r="O115" i="7"/>
  <c r="I94" i="40"/>
  <c r="T53" i="40"/>
  <c r="D73" i="40"/>
  <c r="E34" i="40"/>
  <c r="T34" i="40"/>
  <c r="B94" i="40"/>
  <c r="Q105" i="20"/>
  <c r="AQ12" i="15"/>
  <c r="AQ13" i="17"/>
  <c r="AQ13" i="11"/>
  <c r="Q13" i="19"/>
  <c r="Q14" i="22"/>
  <c r="AS10" i="34"/>
  <c r="E73" i="40"/>
  <c r="E13" i="40"/>
  <c r="P13" i="40"/>
  <c r="V99" i="7"/>
  <c r="S134" i="40"/>
  <c r="B134" i="40"/>
  <c r="P94" i="40"/>
  <c r="V99" i="19"/>
  <c r="K34" i="40"/>
  <c r="O73" i="40"/>
  <c r="H14" i="40"/>
  <c r="AQ13" i="7"/>
  <c r="AQ12" i="16"/>
  <c r="AP13" i="6"/>
  <c r="AP13" i="19"/>
  <c r="AP14" i="7"/>
  <c r="AP14" i="11"/>
  <c r="V109" i="11"/>
  <c r="J134" i="40"/>
  <c r="Q13" i="40"/>
  <c r="N115" i="40"/>
  <c r="I115" i="40"/>
  <c r="O94" i="40"/>
  <c r="O115" i="15"/>
  <c r="Q115" i="40"/>
  <c r="L94" i="40"/>
  <c r="O34" i="40"/>
  <c r="J13" i="40"/>
  <c r="K134" i="40"/>
  <c r="S53" i="40"/>
  <c r="C134" i="40"/>
  <c r="Q13" i="24"/>
  <c r="Q13" i="6"/>
  <c r="Q14" i="17"/>
  <c r="Q14" i="20"/>
  <c r="AP14" i="22"/>
  <c r="Q14" i="5"/>
  <c r="Q115" i="11"/>
  <c r="O115" i="34"/>
  <c r="K94" i="40"/>
  <c r="N73" i="40"/>
  <c r="L34" i="40"/>
  <c r="N34" i="40"/>
  <c r="D34" i="40"/>
  <c r="B13" i="40"/>
  <c r="E115" i="40"/>
  <c r="O115" i="35"/>
  <c r="J115" i="40"/>
  <c r="O115" i="4"/>
  <c r="AP13" i="24"/>
  <c r="AQ12" i="14"/>
  <c r="AP14" i="17"/>
  <c r="Q13" i="14"/>
  <c r="Q115" i="20"/>
  <c r="Q115" i="22"/>
  <c r="Q115" i="5"/>
  <c r="Q115" i="17"/>
  <c r="T81" i="15" l="1"/>
  <c r="S89" i="35"/>
  <c r="S89" i="19"/>
  <c r="S89" i="16"/>
  <c r="S89" i="24"/>
  <c r="AF9" i="6"/>
  <c r="S89" i="5"/>
  <c r="V74" i="17"/>
  <c r="U76" i="17" s="1"/>
  <c r="AF9" i="19"/>
  <c r="AF9" i="20"/>
  <c r="V74" i="7"/>
  <c r="U76" i="7" s="1"/>
  <c r="V84" i="22"/>
  <c r="U86" i="22" s="1"/>
  <c r="T81" i="4"/>
  <c r="S89" i="34"/>
  <c r="AA10" i="24"/>
  <c r="H27" i="49"/>
  <c r="AF9" i="24"/>
  <c r="AF9" i="8"/>
  <c r="AF10" i="11"/>
  <c r="V74" i="8"/>
  <c r="U76" i="8" s="1"/>
  <c r="AA10" i="15"/>
  <c r="AF10" i="15" s="1"/>
  <c r="AF9" i="4"/>
  <c r="AA10" i="6"/>
  <c r="AF10" i="6" s="1"/>
  <c r="T81" i="17"/>
  <c r="S89" i="15"/>
  <c r="AA11" i="11"/>
  <c r="AF11" i="11" s="1"/>
  <c r="T81" i="22"/>
  <c r="S89" i="8"/>
  <c r="AA10" i="20"/>
  <c r="AF10" i="20" s="1"/>
  <c r="V74" i="15"/>
  <c r="U76" i="15" s="1"/>
  <c r="AA10" i="14"/>
  <c r="V84" i="14" s="1"/>
  <c r="U86" i="14" s="1"/>
  <c r="AA10" i="5"/>
  <c r="AA10" i="4"/>
  <c r="AF10" i="4" s="1"/>
  <c r="AA10" i="8"/>
  <c r="AF10" i="8" s="1"/>
  <c r="AA10" i="17"/>
  <c r="V84" i="17" s="1"/>
  <c r="U86" i="17" s="1"/>
  <c r="C50" i="49"/>
  <c r="S99" i="11"/>
  <c r="AA10" i="16"/>
  <c r="V84" i="16" s="1"/>
  <c r="U86" i="16" s="1"/>
  <c r="Z12" i="17"/>
  <c r="BC12" i="17" s="1"/>
  <c r="AA10" i="19"/>
  <c r="V84" i="19" s="1"/>
  <c r="U86" i="19" s="1"/>
  <c r="Z12" i="5"/>
  <c r="BB12" i="5" s="1"/>
  <c r="S13" i="14"/>
  <c r="Q110" i="14"/>
  <c r="Q118" i="14"/>
  <c r="Q120" i="5"/>
  <c r="Q120" i="20"/>
  <c r="Q120" i="17"/>
  <c r="S13" i="6"/>
  <c r="Q110" i="6"/>
  <c r="S13" i="24"/>
  <c r="Q110" i="24"/>
  <c r="Q118" i="16"/>
  <c r="Q128" i="7"/>
  <c r="S88" i="34"/>
  <c r="Q120" i="22"/>
  <c r="S13" i="19"/>
  <c r="Q110" i="19"/>
  <c r="Q128" i="11"/>
  <c r="Q128" i="17"/>
  <c r="Q118" i="15"/>
  <c r="S58" i="37"/>
  <c r="Q120" i="7"/>
  <c r="Q128" i="5"/>
  <c r="S14" i="11"/>
  <c r="AG14" i="11"/>
  <c r="AM14" i="11" s="1"/>
  <c r="Q120" i="11"/>
  <c r="Q128" i="10"/>
  <c r="Q128" i="20"/>
  <c r="Q118" i="24"/>
  <c r="S78" i="35"/>
  <c r="Q118" i="6"/>
  <c r="S13" i="15"/>
  <c r="Q110" i="15"/>
  <c r="Q130" i="4"/>
  <c r="W15" i="4"/>
  <c r="S13" i="8"/>
  <c r="Q110" i="8"/>
  <c r="Q128" i="22"/>
  <c r="Q138" i="4"/>
  <c r="S78" i="60"/>
  <c r="S88" i="33"/>
  <c r="Q118" i="19"/>
  <c r="Q118" i="8"/>
  <c r="S13" i="16"/>
  <c r="Q110" i="16"/>
  <c r="AF10" i="16"/>
  <c r="S110" i="17"/>
  <c r="S110" i="5"/>
  <c r="S110" i="22"/>
  <c r="S110" i="20"/>
  <c r="AG13" i="4"/>
  <c r="AM13" i="4" s="1"/>
  <c r="R14" i="4"/>
  <c r="V13" i="4"/>
  <c r="S114" i="4" s="1"/>
  <c r="AD13" i="4"/>
  <c r="T13" i="4"/>
  <c r="U13" i="4"/>
  <c r="S122" i="4" s="1"/>
  <c r="S111" i="4"/>
  <c r="N13" i="4"/>
  <c r="S13" i="4"/>
  <c r="AJ12" i="11"/>
  <c r="U101" i="11"/>
  <c r="T101" i="11" s="1"/>
  <c r="AJ11" i="15"/>
  <c r="U91" i="15"/>
  <c r="T91" i="15" s="1"/>
  <c r="AE12" i="19"/>
  <c r="S106" i="19"/>
  <c r="R14" i="35"/>
  <c r="AG13" i="35"/>
  <c r="V13" i="35"/>
  <c r="S114" i="35" s="1"/>
  <c r="U13" i="35"/>
  <c r="S122" i="35" s="1"/>
  <c r="T13" i="35"/>
  <c r="AD13" i="35"/>
  <c r="S111" i="35"/>
  <c r="N13" i="35"/>
  <c r="S13" i="35"/>
  <c r="AE12" i="7"/>
  <c r="S106" i="7"/>
  <c r="BC11" i="6"/>
  <c r="AL11" i="6"/>
  <c r="BB11" i="6"/>
  <c r="BC11" i="17"/>
  <c r="BB11" i="17"/>
  <c r="AL11" i="17"/>
  <c r="AL11" i="15"/>
  <c r="BB11" i="15"/>
  <c r="BC11" i="15"/>
  <c r="U92" i="14"/>
  <c r="T13" i="34"/>
  <c r="N13" i="34"/>
  <c r="R14" i="34"/>
  <c r="AG13" i="34"/>
  <c r="V13" i="34"/>
  <c r="S114" i="34" s="1"/>
  <c r="U13" i="34"/>
  <c r="S122" i="34" s="1"/>
  <c r="AD13" i="34"/>
  <c r="S111" i="34"/>
  <c r="S13" i="34"/>
  <c r="Z13" i="11"/>
  <c r="S110" i="11"/>
  <c r="S109" i="11" s="1"/>
  <c r="T93" i="5"/>
  <c r="V93" i="5"/>
  <c r="AF10" i="34"/>
  <c r="V84" i="34"/>
  <c r="U86" i="34" s="1"/>
  <c r="V93" i="14"/>
  <c r="T93" i="14"/>
  <c r="BC11" i="24"/>
  <c r="AL11" i="24"/>
  <c r="BB11" i="24"/>
  <c r="U92" i="15"/>
  <c r="AE12" i="37"/>
  <c r="S106" i="37"/>
  <c r="AG13" i="15"/>
  <c r="AM13" i="15" s="1"/>
  <c r="S111" i="15"/>
  <c r="U13" i="15"/>
  <c r="S122" i="15" s="1"/>
  <c r="T13" i="15"/>
  <c r="AD13" i="15"/>
  <c r="N13" i="15"/>
  <c r="R14" i="15"/>
  <c r="V13" i="15"/>
  <c r="S114" i="15" s="1"/>
  <c r="U92" i="24"/>
  <c r="AE12" i="22"/>
  <c r="S106" i="22"/>
  <c r="S106" i="17"/>
  <c r="S99" i="17" s="1"/>
  <c r="AE12" i="17"/>
  <c r="AJ11" i="14"/>
  <c r="U91" i="14"/>
  <c r="V93" i="19"/>
  <c r="T93" i="19"/>
  <c r="AK13" i="11"/>
  <c r="AI13" i="11"/>
  <c r="V111" i="11" s="1"/>
  <c r="AH13" i="11"/>
  <c r="S103" i="16"/>
  <c r="AL11" i="14"/>
  <c r="BC11" i="14"/>
  <c r="BB11" i="14"/>
  <c r="AJ11" i="24"/>
  <c r="U91" i="24"/>
  <c r="T91" i="24" s="1"/>
  <c r="AK12" i="19"/>
  <c r="AH12" i="19"/>
  <c r="AI12" i="19"/>
  <c r="V101" i="19" s="1"/>
  <c r="U92" i="20"/>
  <c r="H28" i="51"/>
  <c r="V93" i="4"/>
  <c r="T93" i="4"/>
  <c r="V93" i="34"/>
  <c r="T93" i="34"/>
  <c r="AH12" i="7"/>
  <c r="AK12" i="7"/>
  <c r="AI12" i="7"/>
  <c r="V101" i="7" s="1"/>
  <c r="S89" i="33"/>
  <c r="T81" i="8"/>
  <c r="S103" i="15"/>
  <c r="S100" i="20"/>
  <c r="Z12" i="20"/>
  <c r="U92" i="4"/>
  <c r="H33" i="51"/>
  <c r="AL11" i="35"/>
  <c r="BC11" i="35"/>
  <c r="BB11" i="35"/>
  <c r="AA11" i="35"/>
  <c r="BB11" i="7"/>
  <c r="BC11" i="7"/>
  <c r="AL11" i="7"/>
  <c r="S89" i="14"/>
  <c r="AF10" i="35"/>
  <c r="V84" i="35"/>
  <c r="U86" i="35" s="1"/>
  <c r="AJ11" i="20"/>
  <c r="U91" i="20"/>
  <c r="T91" i="20" s="1"/>
  <c r="U92" i="22"/>
  <c r="U13" i="7"/>
  <c r="S122" i="7" s="1"/>
  <c r="T13" i="7"/>
  <c r="AD13" i="7"/>
  <c r="S111" i="7"/>
  <c r="N13" i="7"/>
  <c r="AG13" i="7"/>
  <c r="AM13" i="7" s="1"/>
  <c r="R14" i="7"/>
  <c r="V13" i="7"/>
  <c r="S114" i="7" s="1"/>
  <c r="H22" i="51"/>
  <c r="BC11" i="33"/>
  <c r="AL11" i="33"/>
  <c r="BB11" i="33"/>
  <c r="AA11" i="33"/>
  <c r="U13" i="17"/>
  <c r="S122" i="17" s="1"/>
  <c r="N13" i="17"/>
  <c r="AG13" i="17"/>
  <c r="AM13" i="17" s="1"/>
  <c r="R14" i="17"/>
  <c r="V13" i="17"/>
  <c r="S114" i="17" s="1"/>
  <c r="AD13" i="17"/>
  <c r="T13" i="17"/>
  <c r="S111" i="17"/>
  <c r="AA10" i="7"/>
  <c r="AE12" i="16"/>
  <c r="S106" i="16"/>
  <c r="S89" i="37"/>
  <c r="AJ11" i="17"/>
  <c r="U91" i="17"/>
  <c r="T91" i="17" s="1"/>
  <c r="Z12" i="16"/>
  <c r="S100" i="16"/>
  <c r="Z12" i="4"/>
  <c r="S100" i="4"/>
  <c r="U92" i="16"/>
  <c r="AJ11" i="4"/>
  <c r="U91" i="4"/>
  <c r="T91" i="4" s="1"/>
  <c r="T81" i="16"/>
  <c r="T93" i="8"/>
  <c r="V93" i="8"/>
  <c r="V13" i="19"/>
  <c r="S114" i="19" s="1"/>
  <c r="T13" i="19"/>
  <c r="U13" i="19"/>
  <c r="S122" i="19" s="1"/>
  <c r="AD13" i="19"/>
  <c r="S111" i="19"/>
  <c r="N13" i="19"/>
  <c r="AG13" i="19"/>
  <c r="AM13" i="19" s="1"/>
  <c r="R14" i="19"/>
  <c r="S100" i="7"/>
  <c r="Z12" i="7"/>
  <c r="U92" i="19"/>
  <c r="U13" i="14"/>
  <c r="S122" i="14" s="1"/>
  <c r="AD13" i="14"/>
  <c r="S111" i="14"/>
  <c r="N13" i="14"/>
  <c r="AG13" i="14"/>
  <c r="AM13" i="14" s="1"/>
  <c r="V13" i="14"/>
  <c r="S114" i="14" s="1"/>
  <c r="R14" i="14"/>
  <c r="T13" i="14"/>
  <c r="AK12" i="17"/>
  <c r="AI12" i="17"/>
  <c r="V101" i="17" s="1"/>
  <c r="AH12" i="17"/>
  <c r="AL11" i="37"/>
  <c r="BC11" i="37"/>
  <c r="BB11" i="37"/>
  <c r="AA11" i="37"/>
  <c r="U92" i="17"/>
  <c r="Z12" i="15"/>
  <c r="S100" i="15"/>
  <c r="AH12" i="4"/>
  <c r="AI12" i="4"/>
  <c r="V101" i="4" s="1"/>
  <c r="AK12" i="4"/>
  <c r="AJ11" i="8"/>
  <c r="U91" i="8"/>
  <c r="T91" i="8" s="1"/>
  <c r="AE12" i="8"/>
  <c r="S106" i="8"/>
  <c r="AJ11" i="16"/>
  <c r="U91" i="16"/>
  <c r="T91" i="16" s="1"/>
  <c r="AF10" i="24"/>
  <c r="V84" i="24"/>
  <c r="U86" i="24" s="1"/>
  <c r="AJ11" i="22"/>
  <c r="U91" i="22"/>
  <c r="T91" i="22" s="1"/>
  <c r="AJ11" i="19"/>
  <c r="U91" i="19"/>
  <c r="T91" i="19" s="1"/>
  <c r="AE12" i="5"/>
  <c r="S106" i="5"/>
  <c r="S99" i="5" s="1"/>
  <c r="V93" i="24"/>
  <c r="T93" i="24"/>
  <c r="AK12" i="14"/>
  <c r="AI12" i="14"/>
  <c r="V101" i="14" s="1"/>
  <c r="AH12" i="14"/>
  <c r="AF10" i="14"/>
  <c r="T93" i="35"/>
  <c r="V93" i="35"/>
  <c r="AI12" i="16"/>
  <c r="V101" i="16" s="1"/>
  <c r="AH12" i="16"/>
  <c r="AK12" i="16"/>
  <c r="S103" i="14"/>
  <c r="U92" i="8"/>
  <c r="AE12" i="6"/>
  <c r="S106" i="6"/>
  <c r="AL12" i="11"/>
  <c r="BC12" i="11"/>
  <c r="BB12" i="11"/>
  <c r="U91" i="7"/>
  <c r="T91" i="7" s="1"/>
  <c r="AJ11" i="7"/>
  <c r="Z12" i="35"/>
  <c r="S100" i="35"/>
  <c r="BC11" i="5"/>
  <c r="BB11" i="5"/>
  <c r="AL11" i="5"/>
  <c r="V84" i="5"/>
  <c r="U86" i="5" s="1"/>
  <c r="AF10" i="5"/>
  <c r="S106" i="20"/>
  <c r="AE12" i="20"/>
  <c r="S89" i="7"/>
  <c r="S89" i="22"/>
  <c r="T81" i="19"/>
  <c r="S111" i="16"/>
  <c r="N13" i="16"/>
  <c r="R14" i="16"/>
  <c r="V13" i="16"/>
  <c r="S114" i="16" s="1"/>
  <c r="AG13" i="16"/>
  <c r="AM13" i="16" s="1"/>
  <c r="T13" i="16"/>
  <c r="U13" i="16"/>
  <c r="S122" i="16" s="1"/>
  <c r="AD13" i="16"/>
  <c r="S103" i="24"/>
  <c r="S103" i="19"/>
  <c r="BC11" i="19"/>
  <c r="AL11" i="19"/>
  <c r="BB11" i="19"/>
  <c r="Z12" i="22"/>
  <c r="S100" i="22"/>
  <c r="Z12" i="33"/>
  <c r="S100" i="33"/>
  <c r="U92" i="7"/>
  <c r="AE12" i="24"/>
  <c r="S106" i="24"/>
  <c r="T93" i="7"/>
  <c r="V93" i="7"/>
  <c r="V93" i="22"/>
  <c r="T93" i="22"/>
  <c r="Z12" i="14"/>
  <c r="S100" i="14"/>
  <c r="Z12" i="24"/>
  <c r="S100" i="24"/>
  <c r="T93" i="33"/>
  <c r="V93" i="33"/>
  <c r="BC11" i="8"/>
  <c r="AL11" i="8"/>
  <c r="BB11" i="8"/>
  <c r="AK12" i="5"/>
  <c r="AH12" i="5"/>
  <c r="AI12" i="5"/>
  <c r="V101" i="5" s="1"/>
  <c r="S89" i="4"/>
  <c r="T93" i="15"/>
  <c r="V93" i="15"/>
  <c r="V93" i="16"/>
  <c r="T93" i="16"/>
  <c r="Z12" i="19"/>
  <c r="S100" i="19"/>
  <c r="V93" i="17"/>
  <c r="T93" i="17"/>
  <c r="AI12" i="8"/>
  <c r="V101" i="8" s="1"/>
  <c r="AH12" i="8"/>
  <c r="AK12" i="8"/>
  <c r="U92" i="6"/>
  <c r="AH12" i="6"/>
  <c r="AK12" i="6"/>
  <c r="AI12" i="6"/>
  <c r="V101" i="6" s="1"/>
  <c r="Z12" i="37"/>
  <c r="S100" i="37"/>
  <c r="AE12" i="33"/>
  <c r="S106" i="33"/>
  <c r="BB11" i="16"/>
  <c r="BC11" i="16"/>
  <c r="AL11" i="16"/>
  <c r="N13" i="24"/>
  <c r="R14" i="24"/>
  <c r="AG13" i="24"/>
  <c r="AM13" i="24" s="1"/>
  <c r="V13" i="24"/>
  <c r="S114" i="24" s="1"/>
  <c r="T13" i="24"/>
  <c r="AD13" i="24"/>
  <c r="U13" i="24"/>
  <c r="S122" i="24" s="1"/>
  <c r="S111" i="24"/>
  <c r="S104" i="22"/>
  <c r="AI12" i="20"/>
  <c r="V101" i="20" s="1"/>
  <c r="AH12" i="20"/>
  <c r="AK12" i="20"/>
  <c r="AL11" i="4"/>
  <c r="BC11" i="4"/>
  <c r="H19" i="51"/>
  <c r="BB11" i="4"/>
  <c r="AE12" i="14"/>
  <c r="S106" i="14"/>
  <c r="U92" i="5"/>
  <c r="S103" i="6"/>
  <c r="S103" i="8"/>
  <c r="AJ11" i="6"/>
  <c r="U91" i="6"/>
  <c r="T91" i="6" s="1"/>
  <c r="V13" i="6"/>
  <c r="S114" i="6" s="1"/>
  <c r="AG13" i="6"/>
  <c r="AM13" i="6" s="1"/>
  <c r="AD13" i="6"/>
  <c r="T13" i="6"/>
  <c r="U13" i="6"/>
  <c r="S122" i="6" s="1"/>
  <c r="S111" i="6"/>
  <c r="N13" i="6"/>
  <c r="R14" i="6"/>
  <c r="H29" i="50"/>
  <c r="AF10" i="33"/>
  <c r="V84" i="33"/>
  <c r="U86" i="33" s="1"/>
  <c r="R14" i="37"/>
  <c r="AG13" i="37"/>
  <c r="T13" i="37"/>
  <c r="S111" i="37"/>
  <c r="U13" i="37"/>
  <c r="S122" i="37" s="1"/>
  <c r="AD13" i="37"/>
  <c r="N13" i="37"/>
  <c r="V13" i="37"/>
  <c r="S114" i="37" s="1"/>
  <c r="S13" i="37"/>
  <c r="AE12" i="15"/>
  <c r="S106" i="15"/>
  <c r="BB11" i="20"/>
  <c r="AL11" i="20"/>
  <c r="BC11" i="20"/>
  <c r="AH12" i="24"/>
  <c r="AK12" i="24"/>
  <c r="AI12" i="24"/>
  <c r="V101" i="24" s="1"/>
  <c r="AK12" i="22"/>
  <c r="AH12" i="22"/>
  <c r="AI12" i="22"/>
  <c r="V101" i="22" s="1"/>
  <c r="S111" i="5"/>
  <c r="N13" i="5"/>
  <c r="R14" i="5"/>
  <c r="V13" i="5"/>
  <c r="S114" i="5" s="1"/>
  <c r="AG13" i="5"/>
  <c r="AM13" i="5" s="1"/>
  <c r="AD13" i="5"/>
  <c r="T13" i="5"/>
  <c r="U13" i="5"/>
  <c r="S122" i="5" s="1"/>
  <c r="S89" i="20"/>
  <c r="AF10" i="37"/>
  <c r="V84" i="37"/>
  <c r="U86" i="37" s="1"/>
  <c r="AJ11" i="5"/>
  <c r="U91" i="5"/>
  <c r="T91" i="5" s="1"/>
  <c r="Z12" i="34"/>
  <c r="S100" i="34"/>
  <c r="AE12" i="4"/>
  <c r="H20" i="52"/>
  <c r="S106" i="4"/>
  <c r="BC11" i="34"/>
  <c r="BB11" i="34"/>
  <c r="AL11" i="34"/>
  <c r="AA11" i="34"/>
  <c r="H32" i="50"/>
  <c r="N13" i="8"/>
  <c r="V13" i="8"/>
  <c r="S114" i="8" s="1"/>
  <c r="AG13" i="8"/>
  <c r="AM13" i="8" s="1"/>
  <c r="R14" i="8"/>
  <c r="AD13" i="8"/>
  <c r="S111" i="8"/>
  <c r="U13" i="8"/>
  <c r="S122" i="8" s="1"/>
  <c r="T13" i="8"/>
  <c r="U102" i="11"/>
  <c r="AI12" i="15"/>
  <c r="V101" i="15" s="1"/>
  <c r="AH12" i="15"/>
  <c r="AK12" i="15"/>
  <c r="N13" i="33"/>
  <c r="R14" i="33"/>
  <c r="V13" i="33"/>
  <c r="S114" i="33" s="1"/>
  <c r="AG13" i="33"/>
  <c r="AD13" i="33"/>
  <c r="T13" i="33"/>
  <c r="U13" i="33"/>
  <c r="S122" i="33" s="1"/>
  <c r="S111" i="33"/>
  <c r="S13" i="33"/>
  <c r="BC11" i="22"/>
  <c r="BB11" i="22"/>
  <c r="AL11" i="22"/>
  <c r="V93" i="6"/>
  <c r="T93" i="6"/>
  <c r="AE12" i="35"/>
  <c r="S106" i="35"/>
  <c r="V93" i="37"/>
  <c r="T93" i="37"/>
  <c r="H24" i="50"/>
  <c r="T13" i="22"/>
  <c r="N13" i="22"/>
  <c r="V13" i="22"/>
  <c r="S114" i="22" s="1"/>
  <c r="AG13" i="22"/>
  <c r="AM13" i="22" s="1"/>
  <c r="R14" i="22"/>
  <c r="AD13" i="22"/>
  <c r="U13" i="22"/>
  <c r="S122" i="22" s="1"/>
  <c r="S111" i="22"/>
  <c r="S89" i="6"/>
  <c r="U13" i="20"/>
  <c r="S122" i="20" s="1"/>
  <c r="AD13" i="20"/>
  <c r="N13" i="20"/>
  <c r="R14" i="20"/>
  <c r="V13" i="20"/>
  <c r="S114" i="20" s="1"/>
  <c r="AG13" i="20"/>
  <c r="AM13" i="20" s="1"/>
  <c r="S111" i="20"/>
  <c r="T13" i="20"/>
  <c r="V93" i="20"/>
  <c r="T93" i="20"/>
  <c r="V91" i="14"/>
  <c r="AE12" i="34"/>
  <c r="S106" i="34"/>
  <c r="H31" i="49"/>
  <c r="S13" i="7"/>
  <c r="Z12" i="6"/>
  <c r="S100" i="6"/>
  <c r="Z12" i="8"/>
  <c r="S100" i="8"/>
  <c r="O53" i="40"/>
  <c r="L53" i="40"/>
  <c r="D53" i="40"/>
  <c r="H54" i="40"/>
  <c r="P53" i="40"/>
  <c r="K53" i="40"/>
  <c r="C53" i="40"/>
  <c r="B53" i="40"/>
  <c r="F53" i="40"/>
  <c r="N53" i="40"/>
  <c r="M53" i="40"/>
  <c r="N35" i="40"/>
  <c r="J53" i="40"/>
  <c r="C35" i="40"/>
  <c r="Q115" i="14"/>
  <c r="V119" i="11"/>
  <c r="Q115" i="8"/>
  <c r="O125" i="4"/>
  <c r="E135" i="40"/>
  <c r="T14" i="40"/>
  <c r="E53" i="40"/>
  <c r="B74" i="40"/>
  <c r="L35" i="40"/>
  <c r="J74" i="40"/>
  <c r="O116" i="40"/>
  <c r="B14" i="40"/>
  <c r="L135" i="40"/>
  <c r="Q14" i="15"/>
  <c r="AQ13" i="19"/>
  <c r="Q14" i="19"/>
  <c r="Q15" i="11"/>
  <c r="Q14" i="6"/>
  <c r="AU11" i="33"/>
  <c r="Q14" i="16"/>
  <c r="AP14" i="6"/>
  <c r="AS11" i="33"/>
  <c r="J135" i="40"/>
  <c r="Q135" i="40"/>
  <c r="O74" i="40"/>
  <c r="R54" i="40"/>
  <c r="M135" i="40"/>
  <c r="V109" i="19"/>
  <c r="O125" i="14"/>
  <c r="M116" i="40"/>
  <c r="R35" i="40"/>
  <c r="C95" i="40"/>
  <c r="R135" i="40"/>
  <c r="R116" i="40"/>
  <c r="S135" i="40"/>
  <c r="AU10" i="60"/>
  <c r="AQ14" i="7"/>
  <c r="AQ14" i="22"/>
  <c r="AP15" i="11"/>
  <c r="AQ15" i="4"/>
  <c r="AP14" i="19"/>
  <c r="O125" i="33"/>
  <c r="B116" i="40"/>
  <c r="E95" i="40"/>
  <c r="O125" i="19"/>
  <c r="C135" i="40"/>
  <c r="P135" i="40"/>
  <c r="D74" i="40"/>
  <c r="O125" i="5"/>
  <c r="P116" i="40"/>
  <c r="AP14" i="15"/>
  <c r="AP15" i="10"/>
  <c r="Q115" i="19"/>
  <c r="O125" i="35"/>
  <c r="D14" i="40"/>
  <c r="V109" i="15"/>
  <c r="H96" i="40"/>
  <c r="T54" i="40"/>
  <c r="E116" i="40"/>
  <c r="N95" i="40"/>
  <c r="K35" i="40"/>
  <c r="O125" i="37"/>
  <c r="C74" i="40"/>
  <c r="AQ14" i="20"/>
  <c r="Q14" i="8"/>
  <c r="Q15" i="20"/>
  <c r="AP14" i="16"/>
  <c r="Q15" i="5"/>
  <c r="AQ14" i="10"/>
  <c r="AP15" i="20"/>
  <c r="AS10" i="35"/>
  <c r="AS8" i="37"/>
  <c r="C14" i="40"/>
  <c r="O125" i="34"/>
  <c r="I135" i="40"/>
  <c r="J95" i="40"/>
  <c r="N74" i="40"/>
  <c r="E35" i="40"/>
  <c r="M95" i="40"/>
  <c r="P14" i="40"/>
  <c r="V109" i="5"/>
  <c r="S14" i="40"/>
  <c r="O125" i="20"/>
  <c r="Q115" i="7"/>
  <c r="AQ13" i="24"/>
  <c r="Q15" i="7"/>
  <c r="AP15" i="5"/>
  <c r="Q115" i="34"/>
  <c r="B95" i="40"/>
  <c r="E74" i="40"/>
  <c r="O35" i="40"/>
  <c r="M14" i="40"/>
  <c r="K135" i="40"/>
  <c r="V109" i="6"/>
  <c r="C116" i="40"/>
  <c r="S54" i="40"/>
  <c r="Q115" i="33"/>
  <c r="D35" i="40"/>
  <c r="AP14" i="8"/>
  <c r="AP15" i="7"/>
  <c r="Q115" i="6"/>
  <c r="E14" i="40"/>
  <c r="V109" i="7"/>
  <c r="V109" i="17"/>
  <c r="M35" i="40"/>
  <c r="Q14" i="40"/>
  <c r="F74" i="40"/>
  <c r="T35" i="40"/>
  <c r="F95" i="40"/>
  <c r="D116" i="40"/>
  <c r="V109" i="20"/>
  <c r="AQ13" i="15"/>
  <c r="AQ14" i="17"/>
  <c r="AQ14" i="11"/>
  <c r="AU10" i="35"/>
  <c r="AU9" i="37"/>
  <c r="AS11" i="34"/>
  <c r="Q115" i="15"/>
  <c r="Q115" i="4"/>
  <c r="L116" i="40"/>
  <c r="O125" i="7"/>
  <c r="O125" i="17"/>
  <c r="K95" i="40"/>
  <c r="O95" i="40"/>
  <c r="V109" i="22"/>
  <c r="AQ13" i="8"/>
  <c r="Q14" i="14"/>
  <c r="Q15" i="22"/>
  <c r="K74" i="40"/>
  <c r="P74" i="40"/>
  <c r="AQ13" i="14"/>
  <c r="Q15" i="17"/>
  <c r="Q115" i="24"/>
  <c r="Q115" i="16"/>
  <c r="H75" i="40"/>
  <c r="T116" i="40"/>
  <c r="N14" i="40"/>
  <c r="S116" i="40"/>
  <c r="K116" i="40"/>
  <c r="F135" i="40"/>
  <c r="D135" i="40"/>
  <c r="O125" i="16"/>
  <c r="J14" i="40"/>
  <c r="O135" i="40"/>
  <c r="O125" i="24"/>
  <c r="Q116" i="40"/>
  <c r="L95" i="40"/>
  <c r="I14" i="40"/>
  <c r="O125" i="22"/>
  <c r="F35" i="40"/>
  <c r="AQ13" i="6"/>
  <c r="AQ13" i="16"/>
  <c r="AP15" i="22"/>
  <c r="AU11" i="34"/>
  <c r="J116" i="40"/>
  <c r="V109" i="16"/>
  <c r="L14" i="40"/>
  <c r="O14" i="40"/>
  <c r="O125" i="15"/>
  <c r="N135" i="40"/>
  <c r="K14" i="40"/>
  <c r="P35" i="40"/>
  <c r="N116" i="40"/>
  <c r="B35" i="40"/>
  <c r="Q54" i="40"/>
  <c r="I74" i="40"/>
  <c r="D95" i="40"/>
  <c r="V109" i="24"/>
  <c r="I95" i="40"/>
  <c r="S35" i="40"/>
  <c r="V109" i="8"/>
  <c r="I116" i="40"/>
  <c r="Q14" i="24"/>
  <c r="AP14" i="14"/>
  <c r="M74" i="40"/>
  <c r="H15" i="40"/>
  <c r="J24" i="57" s="1"/>
  <c r="F14" i="40"/>
  <c r="O125" i="8"/>
  <c r="Q125" i="11"/>
  <c r="V109" i="4"/>
  <c r="L74" i="40"/>
  <c r="Q115" i="35"/>
  <c r="H36" i="40"/>
  <c r="R14" i="40"/>
  <c r="V109" i="14"/>
  <c r="I35" i="40"/>
  <c r="J35" i="40"/>
  <c r="Q35" i="40"/>
  <c r="P95" i="40"/>
  <c r="O125" i="6"/>
  <c r="Q115" i="37"/>
  <c r="B135" i="40"/>
  <c r="F116" i="40"/>
  <c r="T135" i="40"/>
  <c r="AS10" i="60"/>
  <c r="AP14" i="24"/>
  <c r="AQ14" i="5"/>
  <c r="AP15" i="17"/>
  <c r="AF10" i="17" l="1"/>
  <c r="V94" i="11"/>
  <c r="U96" i="11" s="1"/>
  <c r="V84" i="6"/>
  <c r="U86" i="6" s="1"/>
  <c r="H27" i="50"/>
  <c r="H31" i="50" s="1"/>
  <c r="H34" i="50" s="1"/>
  <c r="H37" i="50" s="1"/>
  <c r="V84" i="15"/>
  <c r="U86" i="15" s="1"/>
  <c r="BB12" i="17"/>
  <c r="AA12" i="17" s="1"/>
  <c r="AA11" i="4"/>
  <c r="AF11" i="4" s="1"/>
  <c r="S99" i="8"/>
  <c r="AF10" i="19"/>
  <c r="V84" i="8"/>
  <c r="U86" i="8" s="1"/>
  <c r="Z13" i="17"/>
  <c r="BC13" i="17" s="1"/>
  <c r="V84" i="4"/>
  <c r="U86" i="4" s="1"/>
  <c r="V84" i="20"/>
  <c r="U86" i="20" s="1"/>
  <c r="AA11" i="16"/>
  <c r="AF11" i="16" s="1"/>
  <c r="AA11" i="19"/>
  <c r="AF11" i="19" s="1"/>
  <c r="H24" i="51"/>
  <c r="S99" i="37"/>
  <c r="S99" i="34"/>
  <c r="AA11" i="8"/>
  <c r="AA11" i="17"/>
  <c r="Z13" i="20"/>
  <c r="BC13" i="20" s="1"/>
  <c r="Z13" i="5"/>
  <c r="BC13" i="5" s="1"/>
  <c r="AA11" i="24"/>
  <c r="V94" i="24" s="1"/>
  <c r="U96" i="24" s="1"/>
  <c r="BC12" i="5"/>
  <c r="AA12" i="5" s="1"/>
  <c r="AA12" i="11"/>
  <c r="V104" i="11" s="1"/>
  <c r="U106" i="11" s="1"/>
  <c r="AA11" i="14"/>
  <c r="AF11" i="14" s="1"/>
  <c r="AA11" i="15"/>
  <c r="V94" i="15" s="1"/>
  <c r="U96" i="15" s="1"/>
  <c r="S99" i="4"/>
  <c r="AA11" i="20"/>
  <c r="AF11" i="20" s="1"/>
  <c r="AL12" i="5"/>
  <c r="Z13" i="22"/>
  <c r="BB13" i="22" s="1"/>
  <c r="S99" i="14"/>
  <c r="AA11" i="6"/>
  <c r="AF11" i="6" s="1"/>
  <c r="S99" i="7"/>
  <c r="Q138" i="5"/>
  <c r="S88" i="60"/>
  <c r="S14" i="24"/>
  <c r="Q120" i="24"/>
  <c r="Q128" i="16"/>
  <c r="Q128" i="6"/>
  <c r="Q130" i="17"/>
  <c r="W15" i="17"/>
  <c r="Q128" i="14"/>
  <c r="Q130" i="22"/>
  <c r="W15" i="22"/>
  <c r="Q120" i="14"/>
  <c r="S14" i="14"/>
  <c r="Q128" i="8"/>
  <c r="S98" i="34"/>
  <c r="Q138" i="11"/>
  <c r="Q138" i="17"/>
  <c r="Q128" i="15"/>
  <c r="Q130" i="7"/>
  <c r="W15" i="7"/>
  <c r="Q128" i="24"/>
  <c r="S68" i="37"/>
  <c r="S88" i="35"/>
  <c r="Q138" i="10"/>
  <c r="Q130" i="5"/>
  <c r="W15" i="5"/>
  <c r="Q130" i="20"/>
  <c r="W15" i="20"/>
  <c r="S14" i="8"/>
  <c r="Q120" i="8"/>
  <c r="Q138" i="20"/>
  <c r="Q138" i="22"/>
  <c r="Q138" i="7"/>
  <c r="S98" i="33"/>
  <c r="S14" i="16"/>
  <c r="Q120" i="16"/>
  <c r="S14" i="6"/>
  <c r="Q120" i="6"/>
  <c r="AG15" i="11"/>
  <c r="AM15" i="11" s="1"/>
  <c r="S15" i="11"/>
  <c r="Q130" i="11"/>
  <c r="W15" i="11"/>
  <c r="S14" i="19"/>
  <c r="Q120" i="19"/>
  <c r="Q128" i="19"/>
  <c r="S14" i="15"/>
  <c r="Q120" i="15"/>
  <c r="AJ12" i="22"/>
  <c r="U101" i="22"/>
  <c r="T101" i="22" s="1"/>
  <c r="V103" i="35"/>
  <c r="T103" i="35"/>
  <c r="AE13" i="8"/>
  <c r="S116" i="8"/>
  <c r="H28" i="52"/>
  <c r="V103" i="4"/>
  <c r="T103" i="4"/>
  <c r="S110" i="37"/>
  <c r="Z13" i="37"/>
  <c r="R15" i="6"/>
  <c r="V14" i="6"/>
  <c r="S124" i="6" s="1"/>
  <c r="AG14" i="6"/>
  <c r="AM14" i="6" s="1"/>
  <c r="T14" i="6"/>
  <c r="U14" i="6"/>
  <c r="S132" i="6" s="1"/>
  <c r="AD14" i="6"/>
  <c r="S121" i="6"/>
  <c r="N14" i="6"/>
  <c r="U102" i="20"/>
  <c r="AL12" i="37"/>
  <c r="BC12" i="37"/>
  <c r="BB12" i="37"/>
  <c r="AA12" i="37"/>
  <c r="BC12" i="19"/>
  <c r="AL12" i="19"/>
  <c r="BB12" i="19"/>
  <c r="BC12" i="22"/>
  <c r="AL12" i="22"/>
  <c r="BB12" i="22"/>
  <c r="AK13" i="14"/>
  <c r="AI13" i="14"/>
  <c r="V111" i="14" s="1"/>
  <c r="AH13" i="14"/>
  <c r="T91" i="14"/>
  <c r="AL13" i="11"/>
  <c r="BC13" i="11"/>
  <c r="BB13" i="11"/>
  <c r="S110" i="35"/>
  <c r="Z13" i="35"/>
  <c r="AI13" i="4"/>
  <c r="V111" i="4" s="1"/>
  <c r="AK13" i="4"/>
  <c r="AH13" i="4"/>
  <c r="S133" i="4"/>
  <c r="W16" i="4"/>
  <c r="Z14" i="11"/>
  <c r="S120" i="11"/>
  <c r="S119" i="11" s="1"/>
  <c r="R15" i="8"/>
  <c r="V14" i="8"/>
  <c r="S124" i="8" s="1"/>
  <c r="S121" i="8"/>
  <c r="AG14" i="8"/>
  <c r="AM14" i="8" s="1"/>
  <c r="AD14" i="8"/>
  <c r="T14" i="8"/>
  <c r="U14" i="8"/>
  <c r="S132" i="8" s="1"/>
  <c r="N14" i="8"/>
  <c r="AJ12" i="20"/>
  <c r="U101" i="20"/>
  <c r="T101" i="20" s="1"/>
  <c r="S116" i="22"/>
  <c r="S109" i="22" s="1"/>
  <c r="AE13" i="22"/>
  <c r="AH13" i="8"/>
  <c r="AK13" i="8"/>
  <c r="AI13" i="8"/>
  <c r="V111" i="8" s="1"/>
  <c r="BC12" i="34"/>
  <c r="AL12" i="34"/>
  <c r="BB12" i="34"/>
  <c r="AA12" i="34"/>
  <c r="U102" i="22"/>
  <c r="AK13" i="24"/>
  <c r="AI13" i="24"/>
  <c r="V111" i="24" s="1"/>
  <c r="AH13" i="24"/>
  <c r="U102" i="6"/>
  <c r="AA11" i="5"/>
  <c r="AJ12" i="14"/>
  <c r="U101" i="14"/>
  <c r="T101" i="14" s="1"/>
  <c r="AF11" i="37"/>
  <c r="V94" i="37"/>
  <c r="U96" i="37" s="1"/>
  <c r="H19" i="52"/>
  <c r="BB12" i="4"/>
  <c r="BC12" i="4"/>
  <c r="AL12" i="4"/>
  <c r="AE13" i="17"/>
  <c r="S116" i="17"/>
  <c r="S109" i="17" s="1"/>
  <c r="AL12" i="20"/>
  <c r="BC12" i="20"/>
  <c r="BB12" i="20"/>
  <c r="V103" i="17"/>
  <c r="T103" i="17"/>
  <c r="S121" i="15"/>
  <c r="U14" i="15"/>
  <c r="S132" i="15" s="1"/>
  <c r="T14" i="15"/>
  <c r="N14" i="15"/>
  <c r="V14" i="15"/>
  <c r="S124" i="15" s="1"/>
  <c r="R15" i="15"/>
  <c r="AG14" i="15"/>
  <c r="AM14" i="15" s="1"/>
  <c r="AD14" i="15"/>
  <c r="AH13" i="16"/>
  <c r="AK13" i="16"/>
  <c r="AI13" i="16"/>
  <c r="V111" i="16" s="1"/>
  <c r="AE13" i="19"/>
  <c r="S116" i="19"/>
  <c r="BC12" i="8"/>
  <c r="AL12" i="8"/>
  <c r="BB12" i="8"/>
  <c r="V14" i="22"/>
  <c r="S124" i="22" s="1"/>
  <c r="AG14" i="22"/>
  <c r="AM14" i="22" s="1"/>
  <c r="T14" i="22"/>
  <c r="AD14" i="22"/>
  <c r="S121" i="22"/>
  <c r="U14" i="22"/>
  <c r="S132" i="22" s="1"/>
  <c r="N14" i="22"/>
  <c r="R15" i="22"/>
  <c r="U102" i="15"/>
  <c r="AE13" i="37"/>
  <c r="S116" i="37"/>
  <c r="S121" i="24"/>
  <c r="AD14" i="24"/>
  <c r="T14" i="24"/>
  <c r="U14" i="24"/>
  <c r="S132" i="24" s="1"/>
  <c r="N14" i="24"/>
  <c r="AG14" i="24"/>
  <c r="AM14" i="24" s="1"/>
  <c r="R15" i="24"/>
  <c r="V14" i="24"/>
  <c r="S124" i="24" s="1"/>
  <c r="AJ12" i="6"/>
  <c r="U101" i="6"/>
  <c r="T101" i="6" s="1"/>
  <c r="T103" i="24"/>
  <c r="V103" i="24"/>
  <c r="AG14" i="16"/>
  <c r="AM14" i="16" s="1"/>
  <c r="V14" i="16"/>
  <c r="S124" i="16" s="1"/>
  <c r="R15" i="16"/>
  <c r="T14" i="16"/>
  <c r="U14" i="16"/>
  <c r="S132" i="16" s="1"/>
  <c r="AD14" i="16"/>
  <c r="N14" i="16"/>
  <c r="S121" i="16"/>
  <c r="V103" i="6"/>
  <c r="T103" i="6"/>
  <c r="V103" i="8"/>
  <c r="T103" i="8"/>
  <c r="AE13" i="14"/>
  <c r="S116" i="14"/>
  <c r="S99" i="20"/>
  <c r="AE13" i="34"/>
  <c r="S116" i="34"/>
  <c r="AE13" i="35"/>
  <c r="S116" i="35"/>
  <c r="Z13" i="16"/>
  <c r="S110" i="16"/>
  <c r="Z13" i="24"/>
  <c r="S110" i="24"/>
  <c r="AI13" i="22"/>
  <c r="V111" i="22" s="1"/>
  <c r="AK13" i="22"/>
  <c r="AH13" i="22"/>
  <c r="AA11" i="22"/>
  <c r="AJ12" i="15"/>
  <c r="U101" i="15"/>
  <c r="T101" i="15" s="1"/>
  <c r="U102" i="24"/>
  <c r="S99" i="35"/>
  <c r="U102" i="14"/>
  <c r="S99" i="16"/>
  <c r="S14" i="17"/>
  <c r="V14" i="17"/>
  <c r="S124" i="17" s="1"/>
  <c r="R15" i="17"/>
  <c r="T14" i="17"/>
  <c r="U14" i="17"/>
  <c r="S132" i="17" s="1"/>
  <c r="AD14" i="17"/>
  <c r="S121" i="17"/>
  <c r="N14" i="17"/>
  <c r="AG14" i="17"/>
  <c r="AM14" i="17" s="1"/>
  <c r="S14" i="7"/>
  <c r="AG14" i="7"/>
  <c r="AM14" i="7" s="1"/>
  <c r="AD14" i="7"/>
  <c r="T14" i="7"/>
  <c r="U14" i="7"/>
  <c r="S132" i="7" s="1"/>
  <c r="S121" i="7"/>
  <c r="N14" i="7"/>
  <c r="V14" i="7"/>
  <c r="S124" i="7" s="1"/>
  <c r="R15" i="7"/>
  <c r="AE13" i="15"/>
  <c r="S116" i="15"/>
  <c r="AF11" i="17"/>
  <c r="V94" i="17"/>
  <c r="U96" i="17" s="1"/>
  <c r="Z13" i="4"/>
  <c r="S110" i="4"/>
  <c r="S110" i="15"/>
  <c r="Z13" i="15"/>
  <c r="S99" i="6"/>
  <c r="AI13" i="20"/>
  <c r="V111" i="20" s="1"/>
  <c r="AH13" i="20"/>
  <c r="AK13" i="20"/>
  <c r="U101" i="24"/>
  <c r="T101" i="24" s="1"/>
  <c r="AJ12" i="24"/>
  <c r="AE13" i="6"/>
  <c r="S116" i="6"/>
  <c r="U102" i="8"/>
  <c r="S99" i="24"/>
  <c r="BC12" i="35"/>
  <c r="AL12" i="35"/>
  <c r="BB12" i="35"/>
  <c r="AA12" i="35"/>
  <c r="BC12" i="16"/>
  <c r="AL12" i="16"/>
  <c r="BB12" i="16"/>
  <c r="AK13" i="17"/>
  <c r="AI13" i="17"/>
  <c r="V111" i="17" s="1"/>
  <c r="AH13" i="17"/>
  <c r="AI13" i="7"/>
  <c r="V111" i="7" s="1"/>
  <c r="AH13" i="7"/>
  <c r="AK13" i="7"/>
  <c r="S110" i="6"/>
  <c r="Z13" i="6"/>
  <c r="AL12" i="6"/>
  <c r="BC12" i="6"/>
  <c r="BB12" i="6"/>
  <c r="Z13" i="33"/>
  <c r="S110" i="33"/>
  <c r="AF11" i="34"/>
  <c r="V94" i="34"/>
  <c r="U96" i="34" s="1"/>
  <c r="AE13" i="5"/>
  <c r="S116" i="5"/>
  <c r="S109" i="5" s="1"/>
  <c r="AI13" i="6"/>
  <c r="V111" i="6" s="1"/>
  <c r="AK13" i="6"/>
  <c r="AH13" i="6"/>
  <c r="T103" i="14"/>
  <c r="V103" i="14"/>
  <c r="AJ12" i="8"/>
  <c r="U101" i="8"/>
  <c r="T101" i="8" s="1"/>
  <c r="BB12" i="24"/>
  <c r="AL12" i="24"/>
  <c r="BC12" i="24"/>
  <c r="H33" i="52"/>
  <c r="U102" i="4"/>
  <c r="AJ12" i="17"/>
  <c r="U101" i="17"/>
  <c r="T101" i="17" s="1"/>
  <c r="AA11" i="7"/>
  <c r="AJ12" i="19"/>
  <c r="U101" i="19"/>
  <c r="T101" i="19" s="1"/>
  <c r="U111" i="11"/>
  <c r="T111" i="11" s="1"/>
  <c r="AJ13" i="11"/>
  <c r="Z13" i="34"/>
  <c r="S110" i="34"/>
  <c r="Z13" i="7"/>
  <c r="S110" i="7"/>
  <c r="S14" i="20"/>
  <c r="V14" i="20"/>
  <c r="S124" i="20" s="1"/>
  <c r="AG14" i="20"/>
  <c r="AM14" i="20" s="1"/>
  <c r="S121" i="20"/>
  <c r="AD14" i="20"/>
  <c r="U14" i="20"/>
  <c r="S132" i="20" s="1"/>
  <c r="T14" i="20"/>
  <c r="N14" i="20"/>
  <c r="R15" i="20"/>
  <c r="AH13" i="5"/>
  <c r="AI13" i="5"/>
  <c r="V111" i="5" s="1"/>
  <c r="AK13" i="5"/>
  <c r="V94" i="4"/>
  <c r="U96" i="4" s="1"/>
  <c r="U102" i="16"/>
  <c r="BB12" i="7"/>
  <c r="BC12" i="7"/>
  <c r="AL12" i="7"/>
  <c r="U102" i="19"/>
  <c r="T103" i="22"/>
  <c r="V103" i="22"/>
  <c r="V14" i="34"/>
  <c r="S124" i="34" s="1"/>
  <c r="T14" i="34"/>
  <c r="U14" i="34"/>
  <c r="S132" i="34" s="1"/>
  <c r="AD14" i="34"/>
  <c r="S121" i="34"/>
  <c r="N14" i="34"/>
  <c r="AG14" i="34"/>
  <c r="R15" i="34"/>
  <c r="S14" i="34"/>
  <c r="C50" i="50"/>
  <c r="N14" i="37"/>
  <c r="S121" i="37"/>
  <c r="R15" i="37"/>
  <c r="V14" i="37"/>
  <c r="S124" i="37" s="1"/>
  <c r="AG14" i="37"/>
  <c r="U14" i="37"/>
  <c r="S132" i="37" s="1"/>
  <c r="AD14" i="37"/>
  <c r="T14" i="37"/>
  <c r="S14" i="37"/>
  <c r="AL12" i="14"/>
  <c r="BB12" i="14"/>
  <c r="BC12" i="14"/>
  <c r="AJ12" i="16"/>
  <c r="U101" i="16"/>
  <c r="T101" i="16" s="1"/>
  <c r="AJ12" i="4"/>
  <c r="U101" i="4"/>
  <c r="T101" i="4" s="1"/>
  <c r="U102" i="17"/>
  <c r="AE13" i="7"/>
  <c r="S116" i="7"/>
  <c r="AF11" i="35"/>
  <c r="V94" i="35"/>
  <c r="U96" i="35" s="1"/>
  <c r="U112" i="11"/>
  <c r="AH13" i="15"/>
  <c r="AK13" i="15"/>
  <c r="AI13" i="15"/>
  <c r="V111" i="15" s="1"/>
  <c r="S121" i="35"/>
  <c r="N14" i="35"/>
  <c r="AG14" i="35"/>
  <c r="V14" i="35"/>
  <c r="S124" i="35" s="1"/>
  <c r="R15" i="35"/>
  <c r="U14" i="35"/>
  <c r="S132" i="35" s="1"/>
  <c r="T14" i="35"/>
  <c r="AD14" i="35"/>
  <c r="S14" i="35"/>
  <c r="AL12" i="17"/>
  <c r="S110" i="19"/>
  <c r="Z13" i="19"/>
  <c r="S116" i="20"/>
  <c r="S109" i="20" s="1"/>
  <c r="AE13" i="20"/>
  <c r="S14" i="5"/>
  <c r="S121" i="5"/>
  <c r="N14" i="5"/>
  <c r="V14" i="5"/>
  <c r="S124" i="5" s="1"/>
  <c r="R15" i="5"/>
  <c r="AG14" i="5"/>
  <c r="AM14" i="5" s="1"/>
  <c r="AD14" i="5"/>
  <c r="T14" i="5"/>
  <c r="U14" i="5"/>
  <c r="S132" i="5" s="1"/>
  <c r="AJ12" i="5"/>
  <c r="U101" i="5"/>
  <c r="T101" i="5" s="1"/>
  <c r="S99" i="33"/>
  <c r="T103" i="20"/>
  <c r="V103" i="20"/>
  <c r="V103" i="5"/>
  <c r="T103" i="5"/>
  <c r="V14" i="19"/>
  <c r="S124" i="19" s="1"/>
  <c r="AG14" i="19"/>
  <c r="AM14" i="19" s="1"/>
  <c r="U14" i="19"/>
  <c r="S132" i="19" s="1"/>
  <c r="AD14" i="19"/>
  <c r="T14" i="19"/>
  <c r="S121" i="19"/>
  <c r="N14" i="19"/>
  <c r="R15" i="19"/>
  <c r="U102" i="7"/>
  <c r="AE13" i="4"/>
  <c r="H20" i="53"/>
  <c r="S116" i="4"/>
  <c r="S14" i="22"/>
  <c r="T14" i="33"/>
  <c r="U14" i="33"/>
  <c r="S132" i="33" s="1"/>
  <c r="S121" i="33"/>
  <c r="N14" i="33"/>
  <c r="AG14" i="33"/>
  <c r="V14" i="33"/>
  <c r="S124" i="33" s="1"/>
  <c r="AD14" i="33"/>
  <c r="R15" i="33"/>
  <c r="S14" i="33"/>
  <c r="T103" i="34"/>
  <c r="V103" i="34"/>
  <c r="AE13" i="33"/>
  <c r="S116" i="33"/>
  <c r="V103" i="33"/>
  <c r="T103" i="33"/>
  <c r="U102" i="5"/>
  <c r="BB12" i="33"/>
  <c r="H22" i="52"/>
  <c r="BC12" i="33"/>
  <c r="AL12" i="33"/>
  <c r="AA12" i="33"/>
  <c r="AE13" i="16"/>
  <c r="S116" i="16"/>
  <c r="AF12" i="11"/>
  <c r="S99" i="15"/>
  <c r="AG14" i="14"/>
  <c r="AM14" i="14" s="1"/>
  <c r="R15" i="14"/>
  <c r="V14" i="14"/>
  <c r="S124" i="14" s="1"/>
  <c r="T14" i="14"/>
  <c r="U14" i="14"/>
  <c r="S132" i="14" s="1"/>
  <c r="AD14" i="14"/>
  <c r="S121" i="14"/>
  <c r="N14" i="14"/>
  <c r="AH13" i="19"/>
  <c r="AK13" i="19"/>
  <c r="AI13" i="19"/>
  <c r="V111" i="19" s="1"/>
  <c r="V103" i="16"/>
  <c r="T103" i="16"/>
  <c r="V94" i="33"/>
  <c r="U96" i="33" s="1"/>
  <c r="AF11" i="33"/>
  <c r="H29" i="51"/>
  <c r="AJ12" i="7"/>
  <c r="U101" i="7"/>
  <c r="T101" i="7" s="1"/>
  <c r="T103" i="37"/>
  <c r="V103" i="37"/>
  <c r="V103" i="19"/>
  <c r="T103" i="19"/>
  <c r="T103" i="15"/>
  <c r="V103" i="15"/>
  <c r="S116" i="24"/>
  <c r="AE13" i="24"/>
  <c r="S99" i="19"/>
  <c r="V94" i="8"/>
  <c r="U96" i="8" s="1"/>
  <c r="AF11" i="8"/>
  <c r="S99" i="22"/>
  <c r="BB12" i="15"/>
  <c r="BC12" i="15"/>
  <c r="AL12" i="15"/>
  <c r="H32" i="51"/>
  <c r="V84" i="7"/>
  <c r="U86" i="7" s="1"/>
  <c r="AF10" i="7"/>
  <c r="V103" i="7"/>
  <c r="T103" i="7"/>
  <c r="R15" i="4"/>
  <c r="AG14" i="4"/>
  <c r="AM14" i="4" s="1"/>
  <c r="V14" i="4"/>
  <c r="S124" i="4" s="1"/>
  <c r="U14" i="4"/>
  <c r="S132" i="4" s="1"/>
  <c r="T14" i="4"/>
  <c r="AD14" i="4"/>
  <c r="S121" i="4"/>
  <c r="N14" i="4"/>
  <c r="S14" i="4"/>
  <c r="S110" i="8"/>
  <c r="Z13" i="8"/>
  <c r="AK14" i="11"/>
  <c r="AI14" i="11"/>
  <c r="V121" i="11" s="1"/>
  <c r="AH14" i="11"/>
  <c r="Z13" i="14"/>
  <c r="S110" i="14"/>
  <c r="B54" i="40"/>
  <c r="N36" i="40"/>
  <c r="N55" i="40"/>
  <c r="M54" i="40"/>
  <c r="J54" i="40"/>
  <c r="F54" i="40"/>
  <c r="N54" i="40"/>
  <c r="P36" i="40"/>
  <c r="C36" i="40"/>
  <c r="O54" i="40"/>
  <c r="H55" i="40"/>
  <c r="K54" i="40"/>
  <c r="L54" i="40"/>
  <c r="C55" i="40"/>
  <c r="P54" i="40"/>
  <c r="C15" i="40"/>
  <c r="I36" i="40"/>
  <c r="K63" i="58" s="1"/>
  <c r="D54" i="40"/>
  <c r="Q125" i="14"/>
  <c r="Q125" i="16"/>
  <c r="O135" i="8"/>
  <c r="C54" i="40"/>
  <c r="P15" i="40"/>
  <c r="V119" i="15"/>
  <c r="V119" i="22"/>
  <c r="Q136" i="40"/>
  <c r="O36" i="40"/>
  <c r="V119" i="17"/>
  <c r="O75" i="40"/>
  <c r="C136" i="40"/>
  <c r="O15" i="40"/>
  <c r="H76" i="40"/>
  <c r="O135" i="34"/>
  <c r="Q117" i="40"/>
  <c r="P136" i="40"/>
  <c r="R15" i="40"/>
  <c r="E75" i="40"/>
  <c r="AS11" i="60"/>
  <c r="Q15" i="15"/>
  <c r="AQ15" i="5"/>
  <c r="AQ15" i="22"/>
  <c r="Q15" i="8"/>
  <c r="AP15" i="16"/>
  <c r="AS11" i="35"/>
  <c r="AS9" i="37"/>
  <c r="AQ15" i="20"/>
  <c r="AQ15" i="10"/>
  <c r="F96" i="40"/>
  <c r="K75" i="40"/>
  <c r="L117" i="40"/>
  <c r="Q125" i="7"/>
  <c r="D136" i="40"/>
  <c r="D36" i="40"/>
  <c r="G63" i="58" s="1"/>
  <c r="S36" i="40"/>
  <c r="O135" i="20"/>
  <c r="E15" i="40"/>
  <c r="Q125" i="34"/>
  <c r="Q125" i="5"/>
  <c r="V119" i="19"/>
  <c r="R55" i="40"/>
  <c r="K117" i="40"/>
  <c r="AP15" i="15"/>
  <c r="Q15" i="19"/>
  <c r="AS12" i="34"/>
  <c r="Q125" i="24"/>
  <c r="Q125" i="6"/>
  <c r="F136" i="40"/>
  <c r="D117" i="40"/>
  <c r="I117" i="40"/>
  <c r="V119" i="16"/>
  <c r="K136" i="40"/>
  <c r="V119" i="7"/>
  <c r="B36" i="40"/>
  <c r="F63" i="58" s="1"/>
  <c r="M15" i="40"/>
  <c r="Q125" i="37"/>
  <c r="Q125" i="22"/>
  <c r="Q125" i="4"/>
  <c r="AQ16" i="4"/>
  <c r="V119" i="8"/>
  <c r="M96" i="40"/>
  <c r="O117" i="40"/>
  <c r="E117" i="40"/>
  <c r="E36" i="40"/>
  <c r="H63" i="58" s="1"/>
  <c r="K15" i="40"/>
  <c r="E136" i="40"/>
  <c r="O135" i="35"/>
  <c r="J117" i="40"/>
  <c r="R136" i="40"/>
  <c r="M136" i="40"/>
  <c r="O136" i="40"/>
  <c r="AQ14" i="15"/>
  <c r="AQ15" i="17"/>
  <c r="AQ15" i="11"/>
  <c r="V129" i="11"/>
  <c r="I15" i="40"/>
  <c r="T36" i="40"/>
  <c r="F117" i="40"/>
  <c r="S15" i="40"/>
  <c r="O135" i="16"/>
  <c r="Q125" i="17"/>
  <c r="D15" i="40"/>
  <c r="C96" i="40"/>
  <c r="F36" i="40"/>
  <c r="I63" i="58" s="1"/>
  <c r="AQ14" i="24"/>
  <c r="AU12" i="34"/>
  <c r="AQ14" i="6"/>
  <c r="AQ14" i="16"/>
  <c r="Q135" i="11"/>
  <c r="J136" i="40"/>
  <c r="I96" i="40"/>
  <c r="N96" i="40"/>
  <c r="D96" i="40"/>
  <c r="N75" i="40"/>
  <c r="Q125" i="20"/>
  <c r="O135" i="5"/>
  <c r="J96" i="40"/>
  <c r="H97" i="40"/>
  <c r="Q125" i="8"/>
  <c r="Q15" i="40"/>
  <c r="B96" i="40"/>
  <c r="S55" i="40"/>
  <c r="O135" i="22"/>
  <c r="S136" i="40"/>
  <c r="O135" i="17"/>
  <c r="L36" i="40"/>
  <c r="N63" i="58" s="1"/>
  <c r="T117" i="40"/>
  <c r="V119" i="5"/>
  <c r="O135" i="4"/>
  <c r="AQ15" i="7"/>
  <c r="AU4" i="4"/>
  <c r="Q15" i="14"/>
  <c r="AS12" i="33"/>
  <c r="K96" i="40"/>
  <c r="V119" i="24"/>
  <c r="M117" i="40"/>
  <c r="I54" i="40"/>
  <c r="V119" i="20"/>
  <c r="M75" i="40"/>
  <c r="Q125" i="35"/>
  <c r="C117" i="40"/>
  <c r="O135" i="19"/>
  <c r="V119" i="4"/>
  <c r="AQ14" i="14"/>
  <c r="AP15" i="14"/>
  <c r="Q125" i="19"/>
  <c r="Q36" i="40"/>
  <c r="P75" i="40"/>
  <c r="O96" i="40"/>
  <c r="B15" i="40"/>
  <c r="F15" i="40"/>
  <c r="O135" i="24"/>
  <c r="T136" i="40"/>
  <c r="L75" i="40"/>
  <c r="R36" i="40"/>
  <c r="E54" i="40"/>
  <c r="S117" i="40"/>
  <c r="O135" i="37"/>
  <c r="N15" i="40"/>
  <c r="V119" i="14"/>
  <c r="K36" i="40"/>
  <c r="M63" i="58" s="1"/>
  <c r="Q15" i="24"/>
  <c r="AU12" i="33"/>
  <c r="O135" i="6"/>
  <c r="Q55" i="40"/>
  <c r="N117" i="40"/>
  <c r="O135" i="7"/>
  <c r="T15" i="40"/>
  <c r="F75" i="40"/>
  <c r="J75" i="40"/>
  <c r="P117" i="40"/>
  <c r="L96" i="40"/>
  <c r="R117" i="40"/>
  <c r="O135" i="14"/>
  <c r="AP15" i="24"/>
  <c r="AQ14" i="19"/>
  <c r="I75" i="40"/>
  <c r="H37" i="40"/>
  <c r="N136" i="40"/>
  <c r="D75" i="40"/>
  <c r="M36" i="40"/>
  <c r="L136" i="40"/>
  <c r="P96" i="40"/>
  <c r="E96" i="40"/>
  <c r="J36" i="40"/>
  <c r="L63" i="58" s="1"/>
  <c r="O135" i="33"/>
  <c r="L15" i="40"/>
  <c r="AU11" i="60"/>
  <c r="AQ14" i="8"/>
  <c r="Q15" i="6"/>
  <c r="AU11" i="35"/>
  <c r="AU10" i="37"/>
  <c r="AP15" i="6"/>
  <c r="Q125" i="15"/>
  <c r="V119" i="6"/>
  <c r="J15" i="40"/>
  <c r="H16" i="40"/>
  <c r="K24" i="57" s="1"/>
  <c r="I136" i="40"/>
  <c r="O135" i="15"/>
  <c r="T55" i="40"/>
  <c r="B75" i="40"/>
  <c r="C75" i="40"/>
  <c r="B136" i="40"/>
  <c r="Q125" i="33"/>
  <c r="B117" i="40"/>
  <c r="AP15" i="8"/>
  <c r="Q15" i="16"/>
  <c r="AP15" i="19"/>
  <c r="S109" i="34" l="1"/>
  <c r="V94" i="20"/>
  <c r="U96" i="20" s="1"/>
  <c r="AF11" i="24"/>
  <c r="V94" i="19"/>
  <c r="U96" i="19" s="1"/>
  <c r="BB13" i="20"/>
  <c r="AA13" i="20" s="1"/>
  <c r="V114" i="20" s="1"/>
  <c r="V94" i="16"/>
  <c r="U96" i="16" s="1"/>
  <c r="BC13" i="22"/>
  <c r="AA13" i="22" s="1"/>
  <c r="AF13" i="22" s="1"/>
  <c r="S109" i="8"/>
  <c r="BB13" i="5"/>
  <c r="AA13" i="5" s="1"/>
  <c r="BB13" i="17"/>
  <c r="AA13" i="17" s="1"/>
  <c r="AF13" i="17" s="1"/>
  <c r="S109" i="14"/>
  <c r="V94" i="6"/>
  <c r="U96" i="6" s="1"/>
  <c r="AF12" i="17"/>
  <c r="V104" i="17"/>
  <c r="U106" i="17" s="1"/>
  <c r="V94" i="14"/>
  <c r="U96" i="14" s="1"/>
  <c r="AA12" i="14"/>
  <c r="AF12" i="14" s="1"/>
  <c r="C50" i="51"/>
  <c r="AF11" i="15"/>
  <c r="AA12" i="6"/>
  <c r="V104" i="6" s="1"/>
  <c r="U106" i="6" s="1"/>
  <c r="AA12" i="16"/>
  <c r="AF12" i="16" s="1"/>
  <c r="AA12" i="4"/>
  <c r="V104" i="4" s="1"/>
  <c r="U106" i="4" s="1"/>
  <c r="AA12" i="24"/>
  <c r="AA12" i="19"/>
  <c r="AF12" i="19" s="1"/>
  <c r="V104" i="5"/>
  <c r="U106" i="5" s="1"/>
  <c r="AF12" i="5"/>
  <c r="AA13" i="11"/>
  <c r="V114" i="11" s="1"/>
  <c r="U116" i="11" s="1"/>
  <c r="S109" i="19"/>
  <c r="AA12" i="22"/>
  <c r="V104" i="22" s="1"/>
  <c r="U106" i="22" s="1"/>
  <c r="AA12" i="15"/>
  <c r="AF12" i="15" s="1"/>
  <c r="AA12" i="7"/>
  <c r="S109" i="15"/>
  <c r="AA12" i="20"/>
  <c r="AF12" i="20" s="1"/>
  <c r="S109" i="33"/>
  <c r="AA12" i="8"/>
  <c r="AF12" i="8" s="1"/>
  <c r="S15" i="16"/>
  <c r="Q130" i="16"/>
  <c r="W15" i="16"/>
  <c r="Q130" i="6"/>
  <c r="S15" i="6"/>
  <c r="W15" i="6"/>
  <c r="Q138" i="8"/>
  <c r="Q138" i="19"/>
  <c r="S15" i="24"/>
  <c r="Q130" i="24"/>
  <c r="W15" i="24"/>
  <c r="Q138" i="14"/>
  <c r="S108" i="33"/>
  <c r="S15" i="14"/>
  <c r="Q130" i="14"/>
  <c r="W15" i="14"/>
  <c r="Q138" i="16"/>
  <c r="Q138" i="6"/>
  <c r="Q138" i="24"/>
  <c r="Q138" i="15"/>
  <c r="AQ17" i="4"/>
  <c r="S108" i="34"/>
  <c r="S15" i="19"/>
  <c r="Q130" i="19"/>
  <c r="W15" i="19"/>
  <c r="S78" i="37"/>
  <c r="S98" i="35"/>
  <c r="S15" i="8"/>
  <c r="Q130" i="8"/>
  <c r="W15" i="8"/>
  <c r="S15" i="15"/>
  <c r="Q130" i="15"/>
  <c r="W15" i="15"/>
  <c r="S98" i="60"/>
  <c r="AE14" i="4"/>
  <c r="H20" i="54"/>
  <c r="S126" i="4"/>
  <c r="S120" i="33"/>
  <c r="Z14" i="33"/>
  <c r="H28" i="53"/>
  <c r="V113" i="4"/>
  <c r="T113" i="4"/>
  <c r="H32" i="52"/>
  <c r="AF12" i="35"/>
  <c r="V104" i="35"/>
  <c r="U106" i="35" s="1"/>
  <c r="S109" i="16"/>
  <c r="U15" i="15"/>
  <c r="U16" i="15" s="1"/>
  <c r="T15" i="15"/>
  <c r="T16" i="15" s="1"/>
  <c r="N15" i="15"/>
  <c r="V15" i="15"/>
  <c r="AG15" i="15"/>
  <c r="AM15" i="15" s="1"/>
  <c r="AD15" i="15"/>
  <c r="S131" i="15"/>
  <c r="V113" i="22"/>
  <c r="T113" i="22"/>
  <c r="AK14" i="6"/>
  <c r="AI14" i="6"/>
  <c r="V121" i="6" s="1"/>
  <c r="AH14" i="6"/>
  <c r="Z14" i="15"/>
  <c r="S120" i="15"/>
  <c r="AG15" i="33"/>
  <c r="AD15" i="33"/>
  <c r="U15" i="33"/>
  <c r="U16" i="33" s="1"/>
  <c r="T15" i="33"/>
  <c r="T16" i="33" s="1"/>
  <c r="S131" i="33"/>
  <c r="N15" i="33"/>
  <c r="V15" i="33"/>
  <c r="S15" i="33"/>
  <c r="BC13" i="19"/>
  <c r="AL13" i="19"/>
  <c r="BB13" i="19"/>
  <c r="U112" i="7"/>
  <c r="U112" i="20"/>
  <c r="V113" i="15"/>
  <c r="T113" i="15"/>
  <c r="BC13" i="16"/>
  <c r="BB13" i="16"/>
  <c r="AL13" i="16"/>
  <c r="T113" i="17"/>
  <c r="V113" i="17"/>
  <c r="AJ13" i="24"/>
  <c r="U111" i="24"/>
  <c r="T111" i="24" s="1"/>
  <c r="BC14" i="11"/>
  <c r="AL14" i="11"/>
  <c r="BB14" i="11"/>
  <c r="S133" i="22"/>
  <c r="W16" i="22"/>
  <c r="V15" i="14"/>
  <c r="U15" i="14"/>
  <c r="U16" i="14" s="1"/>
  <c r="T15" i="14"/>
  <c r="T16" i="14" s="1"/>
  <c r="AD15" i="14"/>
  <c r="S131" i="14"/>
  <c r="N15" i="14"/>
  <c r="AG15" i="14"/>
  <c r="AM15" i="14" s="1"/>
  <c r="AE14" i="33"/>
  <c r="S126" i="33"/>
  <c r="U112" i="15"/>
  <c r="AE14" i="20"/>
  <c r="S126" i="20"/>
  <c r="AJ13" i="7"/>
  <c r="U111" i="7"/>
  <c r="T111" i="7" s="1"/>
  <c r="AJ13" i="20"/>
  <c r="U111" i="20"/>
  <c r="T111" i="20" s="1"/>
  <c r="T15" i="7"/>
  <c r="T16" i="7" s="1"/>
  <c r="U15" i="7"/>
  <c r="U16" i="7" s="1"/>
  <c r="AD15" i="7"/>
  <c r="S131" i="7"/>
  <c r="N15" i="7"/>
  <c r="V15" i="7"/>
  <c r="AG15" i="7"/>
  <c r="AM15" i="7" s="1"/>
  <c r="S126" i="17"/>
  <c r="AE14" i="17"/>
  <c r="AJ13" i="14"/>
  <c r="U111" i="14"/>
  <c r="T111" i="14" s="1"/>
  <c r="AF12" i="37"/>
  <c r="V104" i="37"/>
  <c r="U106" i="37" s="1"/>
  <c r="V15" i="6"/>
  <c r="AG15" i="6"/>
  <c r="AM15" i="6" s="1"/>
  <c r="T15" i="6"/>
  <c r="T16" i="6" s="1"/>
  <c r="U15" i="6"/>
  <c r="U16" i="6" s="1"/>
  <c r="AD15" i="6"/>
  <c r="S131" i="6"/>
  <c r="N15" i="6"/>
  <c r="AL13" i="14"/>
  <c r="BC13" i="14"/>
  <c r="BB13" i="14"/>
  <c r="AK14" i="14"/>
  <c r="AH14" i="14"/>
  <c r="AI14" i="14"/>
  <c r="V121" i="14" s="1"/>
  <c r="U111" i="15"/>
  <c r="T111" i="15" s="1"/>
  <c r="AJ13" i="15"/>
  <c r="S131" i="37"/>
  <c r="V15" i="37"/>
  <c r="T15" i="37"/>
  <c r="T16" i="37" s="1"/>
  <c r="AD15" i="37"/>
  <c r="U15" i="37"/>
  <c r="U16" i="37" s="1"/>
  <c r="N15" i="37"/>
  <c r="AG15" i="37"/>
  <c r="S15" i="37"/>
  <c r="AE14" i="34"/>
  <c r="S126" i="34"/>
  <c r="V94" i="7"/>
  <c r="U96" i="7" s="1"/>
  <c r="AF11" i="7"/>
  <c r="H22" i="53"/>
  <c r="AL13" i="33"/>
  <c r="BC13" i="33"/>
  <c r="BB13" i="33"/>
  <c r="AA13" i="33"/>
  <c r="T113" i="35"/>
  <c r="V113" i="35"/>
  <c r="U15" i="24"/>
  <c r="U16" i="24" s="1"/>
  <c r="N15" i="24"/>
  <c r="V15" i="24"/>
  <c r="AG15" i="24"/>
  <c r="AM15" i="24" s="1"/>
  <c r="AD15" i="24"/>
  <c r="T15" i="24"/>
  <c r="T16" i="24" s="1"/>
  <c r="S131" i="24"/>
  <c r="U112" i="24"/>
  <c r="AL13" i="37"/>
  <c r="BC13" i="37"/>
  <c r="BB13" i="37"/>
  <c r="AA13" i="37"/>
  <c r="AL13" i="20"/>
  <c r="Z14" i="19"/>
  <c r="S120" i="19"/>
  <c r="S133" i="7"/>
  <c r="W16" i="7"/>
  <c r="AJ14" i="11"/>
  <c r="U121" i="11"/>
  <c r="T121" i="11" s="1"/>
  <c r="AH14" i="4"/>
  <c r="AK14" i="4"/>
  <c r="AI14" i="4"/>
  <c r="V121" i="4" s="1"/>
  <c r="T15" i="19"/>
  <c r="T16" i="19" s="1"/>
  <c r="S131" i="19"/>
  <c r="N15" i="19"/>
  <c r="AG15" i="19"/>
  <c r="AM15" i="19" s="1"/>
  <c r="V15" i="19"/>
  <c r="U15" i="19"/>
  <c r="U16" i="19" s="1"/>
  <c r="AD15" i="19"/>
  <c r="AE14" i="5"/>
  <c r="S126" i="5"/>
  <c r="Z14" i="35"/>
  <c r="S120" i="35"/>
  <c r="H27" i="51"/>
  <c r="AI14" i="20"/>
  <c r="V121" i="20" s="1"/>
  <c r="AH14" i="20"/>
  <c r="AK14" i="20"/>
  <c r="AJ13" i="17"/>
  <c r="U111" i="17"/>
  <c r="T111" i="17" s="1"/>
  <c r="AF11" i="22"/>
  <c r="V94" i="22"/>
  <c r="U96" i="22" s="1"/>
  <c r="AE14" i="16"/>
  <c r="S126" i="16"/>
  <c r="AI14" i="24"/>
  <c r="V121" i="24" s="1"/>
  <c r="AK14" i="24"/>
  <c r="AH14" i="24"/>
  <c r="AJ13" i="4"/>
  <c r="U111" i="4"/>
  <c r="T111" i="4" s="1"/>
  <c r="U112" i="14"/>
  <c r="S109" i="37"/>
  <c r="AL13" i="22"/>
  <c r="S133" i="11"/>
  <c r="W16" i="11"/>
  <c r="S15" i="7"/>
  <c r="S133" i="17"/>
  <c r="W16" i="17"/>
  <c r="AD15" i="4"/>
  <c r="U15" i="4"/>
  <c r="U16" i="4" s="1"/>
  <c r="T15" i="4"/>
  <c r="T16" i="4" s="1"/>
  <c r="S131" i="4"/>
  <c r="N15" i="4"/>
  <c r="AG15" i="4"/>
  <c r="AM15" i="4" s="1"/>
  <c r="V15" i="4"/>
  <c r="S15" i="4"/>
  <c r="AH14" i="5"/>
  <c r="AI14" i="5"/>
  <c r="V121" i="5" s="1"/>
  <c r="AK14" i="5"/>
  <c r="AE14" i="35"/>
  <c r="S126" i="35"/>
  <c r="AJ13" i="6"/>
  <c r="U111" i="6"/>
  <c r="T111" i="6" s="1"/>
  <c r="AL13" i="15"/>
  <c r="BC13" i="15"/>
  <c r="BB13" i="15"/>
  <c r="S15" i="17"/>
  <c r="N15" i="17"/>
  <c r="V15" i="17"/>
  <c r="AG15" i="17"/>
  <c r="AM15" i="17" s="1"/>
  <c r="T15" i="17"/>
  <c r="T16" i="17" s="1"/>
  <c r="U15" i="17"/>
  <c r="U16" i="17" s="1"/>
  <c r="S131" i="17"/>
  <c r="AD15" i="17"/>
  <c r="AJ13" i="22"/>
  <c r="U111" i="22"/>
  <c r="T111" i="22" s="1"/>
  <c r="T113" i="34"/>
  <c r="V113" i="34"/>
  <c r="S15" i="22"/>
  <c r="AD15" i="22"/>
  <c r="U15" i="22"/>
  <c r="U16" i="22" s="1"/>
  <c r="N15" i="22"/>
  <c r="V15" i="22"/>
  <c r="AG15" i="22"/>
  <c r="AM15" i="22" s="1"/>
  <c r="S131" i="22"/>
  <c r="T15" i="22"/>
  <c r="T16" i="22" s="1"/>
  <c r="AF12" i="34"/>
  <c r="V104" i="34"/>
  <c r="U106" i="34" s="1"/>
  <c r="H33" i="53"/>
  <c r="U112" i="4"/>
  <c r="Z14" i="8"/>
  <c r="S120" i="8"/>
  <c r="U122" i="11"/>
  <c r="U112" i="19"/>
  <c r="AG15" i="5"/>
  <c r="AM15" i="5" s="1"/>
  <c r="V15" i="5"/>
  <c r="U15" i="5"/>
  <c r="U16" i="5" s="1"/>
  <c r="AD15" i="5"/>
  <c r="T15" i="5"/>
  <c r="T16" i="5" s="1"/>
  <c r="S131" i="5"/>
  <c r="N15" i="5"/>
  <c r="S120" i="20"/>
  <c r="Z14" i="20"/>
  <c r="U112" i="6"/>
  <c r="U112" i="17"/>
  <c r="U112" i="22"/>
  <c r="T113" i="19"/>
  <c r="V113" i="19"/>
  <c r="H24" i="52"/>
  <c r="C50" i="52" s="1"/>
  <c r="S130" i="11"/>
  <c r="Z15" i="11"/>
  <c r="S16" i="11"/>
  <c r="S133" i="20"/>
  <c r="W16" i="20"/>
  <c r="BC13" i="8"/>
  <c r="AL13" i="8"/>
  <c r="BB13" i="8"/>
  <c r="AJ13" i="19"/>
  <c r="U111" i="19"/>
  <c r="T111" i="19" s="1"/>
  <c r="U112" i="5"/>
  <c r="S109" i="7"/>
  <c r="S120" i="17"/>
  <c r="Z14" i="17"/>
  <c r="AG15" i="16"/>
  <c r="AM15" i="16" s="1"/>
  <c r="V15" i="16"/>
  <c r="T15" i="16"/>
  <c r="T16" i="16" s="1"/>
  <c r="U15" i="16"/>
  <c r="U16" i="16" s="1"/>
  <c r="AD15" i="16"/>
  <c r="S131" i="16"/>
  <c r="N15" i="16"/>
  <c r="AE14" i="8"/>
  <c r="S126" i="8"/>
  <c r="AL13" i="35"/>
  <c r="BC13" i="35"/>
  <c r="BB13" i="35"/>
  <c r="AA13" i="35"/>
  <c r="AL13" i="17"/>
  <c r="AH15" i="11"/>
  <c r="AK15" i="11"/>
  <c r="AI15" i="11"/>
  <c r="T113" i="24"/>
  <c r="V113" i="24"/>
  <c r="T113" i="16"/>
  <c r="V113" i="16"/>
  <c r="V113" i="33"/>
  <c r="T113" i="33"/>
  <c r="AE14" i="19"/>
  <c r="S126" i="19"/>
  <c r="V15" i="35"/>
  <c r="AG15" i="35"/>
  <c r="U15" i="35"/>
  <c r="U16" i="35" s="1"/>
  <c r="AD15" i="35"/>
  <c r="T15" i="35"/>
  <c r="T16" i="35" s="1"/>
  <c r="S131" i="35"/>
  <c r="N15" i="35"/>
  <c r="S15" i="35"/>
  <c r="T113" i="7"/>
  <c r="V113" i="7"/>
  <c r="BC13" i="7"/>
  <c r="AL13" i="7"/>
  <c r="BB13" i="7"/>
  <c r="S109" i="4"/>
  <c r="AE14" i="7"/>
  <c r="S126" i="7"/>
  <c r="AE14" i="24"/>
  <c r="S126" i="24"/>
  <c r="U112" i="16"/>
  <c r="AI14" i="8"/>
  <c r="V121" i="8" s="1"/>
  <c r="AH14" i="8"/>
  <c r="AK14" i="8"/>
  <c r="S109" i="35"/>
  <c r="S133" i="5"/>
  <c r="W16" i="5"/>
  <c r="Z14" i="4"/>
  <c r="S120" i="4"/>
  <c r="Z14" i="22"/>
  <c r="S120" i="22"/>
  <c r="Z14" i="37"/>
  <c r="S120" i="37"/>
  <c r="AJ13" i="5"/>
  <c r="U111" i="5"/>
  <c r="T111" i="5" s="1"/>
  <c r="AF12" i="24"/>
  <c r="V104" i="24"/>
  <c r="U106" i="24" s="1"/>
  <c r="AL13" i="4"/>
  <c r="H19" i="53"/>
  <c r="BB13" i="4"/>
  <c r="BC13" i="4"/>
  <c r="AI14" i="7"/>
  <c r="V121" i="7" s="1"/>
  <c r="AH14" i="7"/>
  <c r="AK14" i="7"/>
  <c r="V113" i="14"/>
  <c r="T113" i="14"/>
  <c r="AI14" i="16"/>
  <c r="V121" i="16" s="1"/>
  <c r="AK14" i="16"/>
  <c r="AH14" i="16"/>
  <c r="AE14" i="22"/>
  <c r="S126" i="22"/>
  <c r="AJ13" i="16"/>
  <c r="U111" i="16"/>
  <c r="T111" i="16" s="1"/>
  <c r="AE14" i="6"/>
  <c r="S126" i="6"/>
  <c r="V113" i="8"/>
  <c r="T113" i="8"/>
  <c r="Z14" i="6"/>
  <c r="S120" i="6"/>
  <c r="S15" i="5"/>
  <c r="Z14" i="24"/>
  <c r="S120" i="24"/>
  <c r="AE14" i="14"/>
  <c r="S126" i="14"/>
  <c r="H29" i="52"/>
  <c r="AF12" i="33"/>
  <c r="V104" i="33"/>
  <c r="U106" i="33" s="1"/>
  <c r="AH14" i="19"/>
  <c r="AI14" i="19"/>
  <c r="V121" i="19" s="1"/>
  <c r="AK14" i="19"/>
  <c r="S120" i="5"/>
  <c r="Z14" i="5"/>
  <c r="Z14" i="34"/>
  <c r="S120" i="34"/>
  <c r="S15" i="20"/>
  <c r="AG15" i="20"/>
  <c r="AM15" i="20" s="1"/>
  <c r="V15" i="20"/>
  <c r="U15" i="20"/>
  <c r="U16" i="20" s="1"/>
  <c r="T15" i="20"/>
  <c r="T16" i="20" s="1"/>
  <c r="AD15" i="20"/>
  <c r="S131" i="20"/>
  <c r="N15" i="20"/>
  <c r="BC13" i="34"/>
  <c r="BB13" i="34"/>
  <c r="AL13" i="34"/>
  <c r="AA13" i="34"/>
  <c r="AL13" i="6"/>
  <c r="BC13" i="6"/>
  <c r="BB13" i="6"/>
  <c r="V113" i="6"/>
  <c r="T113" i="6"/>
  <c r="S120" i="7"/>
  <c r="Z14" i="7"/>
  <c r="S109" i="24"/>
  <c r="AE14" i="15"/>
  <c r="S126" i="15"/>
  <c r="U112" i="8"/>
  <c r="AL13" i="5"/>
  <c r="V113" i="20"/>
  <c r="T113" i="20"/>
  <c r="AE14" i="37"/>
  <c r="S126" i="37"/>
  <c r="V15" i="34"/>
  <c r="AG15" i="34"/>
  <c r="U15" i="34"/>
  <c r="U16" i="34" s="1"/>
  <c r="S131" i="34"/>
  <c r="T15" i="34"/>
  <c r="T16" i="34" s="1"/>
  <c r="AD15" i="34"/>
  <c r="N15" i="34"/>
  <c r="S15" i="34"/>
  <c r="AF12" i="7"/>
  <c r="V104" i="7"/>
  <c r="U106" i="7" s="1"/>
  <c r="T113" i="5"/>
  <c r="V113" i="5"/>
  <c r="S109" i="6"/>
  <c r="AI14" i="17"/>
  <c r="V121" i="17" s="1"/>
  <c r="AK14" i="17"/>
  <c r="AH14" i="17"/>
  <c r="BC13" i="24"/>
  <c r="AL13" i="24"/>
  <c r="BB13" i="24"/>
  <c r="T113" i="37"/>
  <c r="V113" i="37"/>
  <c r="AK14" i="22"/>
  <c r="AH14" i="22"/>
  <c r="AI14" i="22"/>
  <c r="V121" i="22" s="1"/>
  <c r="AK14" i="15"/>
  <c r="AI14" i="15"/>
  <c r="V121" i="15" s="1"/>
  <c r="AH14" i="15"/>
  <c r="AF11" i="5"/>
  <c r="V94" i="5"/>
  <c r="U96" i="5" s="1"/>
  <c r="AJ13" i="8"/>
  <c r="U111" i="8"/>
  <c r="T111" i="8" s="1"/>
  <c r="V15" i="8"/>
  <c r="AG15" i="8"/>
  <c r="AM15" i="8" s="1"/>
  <c r="T15" i="8"/>
  <c r="T16" i="8" s="1"/>
  <c r="U15" i="8"/>
  <c r="U16" i="8" s="1"/>
  <c r="AD15" i="8"/>
  <c r="S131" i="8"/>
  <c r="N15" i="8"/>
  <c r="Z14" i="16"/>
  <c r="S120" i="16"/>
  <c r="Z14" i="14"/>
  <c r="S120" i="14"/>
  <c r="K55" i="40"/>
  <c r="D55" i="40"/>
  <c r="M55" i="40"/>
  <c r="P56" i="40"/>
  <c r="B55" i="40"/>
  <c r="N56" i="40"/>
  <c r="O55" i="40"/>
  <c r="J55" i="40"/>
  <c r="C56" i="40"/>
  <c r="I56" i="40"/>
  <c r="H56" i="40"/>
  <c r="I55" i="40"/>
  <c r="L55" i="40"/>
  <c r="E55" i="40"/>
  <c r="P55" i="40"/>
  <c r="F55" i="40"/>
  <c r="Q135" i="16"/>
  <c r="J16" i="40"/>
  <c r="E118" i="40"/>
  <c r="Q56" i="40"/>
  <c r="B76" i="40"/>
  <c r="V129" i="22"/>
  <c r="H98" i="40"/>
  <c r="K137" i="40"/>
  <c r="Q135" i="20"/>
  <c r="D16" i="40"/>
  <c r="S118" i="40"/>
  <c r="O16" i="40"/>
  <c r="K37" i="40"/>
  <c r="AQ16" i="20"/>
  <c r="AQ15" i="14"/>
  <c r="AU4" i="10"/>
  <c r="AU4" i="11"/>
  <c r="AU12" i="35"/>
  <c r="AU11" i="37"/>
  <c r="AQ15" i="19"/>
  <c r="K76" i="40"/>
  <c r="C97" i="40"/>
  <c r="R37" i="40"/>
  <c r="L37" i="40"/>
  <c r="M16" i="40"/>
  <c r="K97" i="40"/>
  <c r="Q135" i="37"/>
  <c r="D76" i="40"/>
  <c r="M118" i="40"/>
  <c r="T118" i="40"/>
  <c r="M76" i="40"/>
  <c r="V129" i="20"/>
  <c r="F76" i="40"/>
  <c r="AQ15" i="15"/>
  <c r="AU4" i="15"/>
  <c r="B97" i="40"/>
  <c r="B16" i="40"/>
  <c r="Q135" i="14"/>
  <c r="S137" i="40"/>
  <c r="P16" i="40"/>
  <c r="P97" i="40"/>
  <c r="N118" i="40"/>
  <c r="C118" i="40"/>
  <c r="I37" i="40"/>
  <c r="C16" i="40"/>
  <c r="Q135" i="34"/>
  <c r="AS12" i="60"/>
  <c r="AQ16" i="22"/>
  <c r="O37" i="40"/>
  <c r="AQ16" i="10"/>
  <c r="P137" i="40"/>
  <c r="V129" i="6"/>
  <c r="J37" i="40"/>
  <c r="V129" i="19"/>
  <c r="N76" i="40"/>
  <c r="V129" i="4"/>
  <c r="L16" i="40"/>
  <c r="I76" i="40"/>
  <c r="H38" i="40"/>
  <c r="D137" i="40"/>
  <c r="AU5" i="4"/>
  <c r="AS4" i="22"/>
  <c r="AU13" i="34"/>
  <c r="Q37" i="40"/>
  <c r="AU12" i="60"/>
  <c r="AQ15" i="24"/>
  <c r="AQ15" i="8"/>
  <c r="R56" i="40"/>
  <c r="S16" i="40"/>
  <c r="Q135" i="6"/>
  <c r="Q135" i="8"/>
  <c r="R118" i="40"/>
  <c r="K118" i="40"/>
  <c r="V129" i="7"/>
  <c r="V129" i="24"/>
  <c r="I16" i="40"/>
  <c r="F137" i="40"/>
  <c r="F97" i="40"/>
  <c r="V129" i="8"/>
  <c r="N16" i="40"/>
  <c r="V129" i="15"/>
  <c r="O76" i="40"/>
  <c r="E76" i="40"/>
  <c r="L76" i="40"/>
  <c r="O118" i="40"/>
  <c r="Q135" i="4"/>
  <c r="Q135" i="35"/>
  <c r="E137" i="40"/>
  <c r="E97" i="40"/>
  <c r="P118" i="40"/>
  <c r="Q137" i="40"/>
  <c r="I97" i="40"/>
  <c r="AQ16" i="11"/>
  <c r="AU4" i="5"/>
  <c r="AS13" i="34"/>
  <c r="Q135" i="33"/>
  <c r="O97" i="40"/>
  <c r="L118" i="40"/>
  <c r="N137" i="40"/>
  <c r="D118" i="40"/>
  <c r="J118" i="40"/>
  <c r="T16" i="40"/>
  <c r="C76" i="40"/>
  <c r="AQ16" i="7"/>
  <c r="AQ16" i="17"/>
  <c r="AU4" i="7"/>
  <c r="D97" i="40"/>
  <c r="V129" i="17"/>
  <c r="Q135" i="15"/>
  <c r="V129" i="14"/>
  <c r="R16" i="40"/>
  <c r="H77" i="40"/>
  <c r="C137" i="40"/>
  <c r="M137" i="40"/>
  <c r="Q135" i="7"/>
  <c r="Q135" i="17"/>
  <c r="Q135" i="22"/>
  <c r="F37" i="40"/>
  <c r="P37" i="40"/>
  <c r="D37" i="40"/>
  <c r="J97" i="40"/>
  <c r="E37" i="40"/>
  <c r="F118" i="40"/>
  <c r="AQ15" i="6"/>
  <c r="AU4" i="22"/>
  <c r="AU4" i="20"/>
  <c r="AU13" i="33"/>
  <c r="L97" i="40"/>
  <c r="AU4" i="24"/>
  <c r="AU4" i="17"/>
  <c r="B118" i="40"/>
  <c r="B37" i="40"/>
  <c r="M37" i="40"/>
  <c r="Q135" i="24"/>
  <c r="H17" i="40"/>
  <c r="L24" i="57" s="1"/>
  <c r="R137" i="40"/>
  <c r="P76" i="40"/>
  <c r="I118" i="40"/>
  <c r="F16" i="40"/>
  <c r="N37" i="40"/>
  <c r="J137" i="40"/>
  <c r="AS4" i="4"/>
  <c r="B137" i="40"/>
  <c r="K16" i="40"/>
  <c r="X24" i="57" s="1"/>
  <c r="Q118" i="40"/>
  <c r="Q16" i="40"/>
  <c r="T37" i="40"/>
  <c r="V129" i="16"/>
  <c r="T56" i="40"/>
  <c r="E16" i="40"/>
  <c r="M97" i="40"/>
  <c r="Q135" i="5"/>
  <c r="C37" i="40"/>
  <c r="L137" i="40"/>
  <c r="N97" i="40"/>
  <c r="AQ16" i="5"/>
  <c r="AQ15" i="16"/>
  <c r="AS13" i="33"/>
  <c r="Q135" i="19"/>
  <c r="T137" i="40"/>
  <c r="V129" i="5"/>
  <c r="J76" i="40"/>
  <c r="O137" i="40"/>
  <c r="I137" i="40"/>
  <c r="S56" i="40"/>
  <c r="AS12" i="35"/>
  <c r="AS10" i="37"/>
  <c r="S37" i="40"/>
  <c r="V104" i="19" l="1"/>
  <c r="U106" i="19" s="1"/>
  <c r="V104" i="8"/>
  <c r="U106" i="8" s="1"/>
  <c r="S119" i="4"/>
  <c r="V114" i="5"/>
  <c r="U116" i="5" s="1"/>
  <c r="AF13" i="5"/>
  <c r="V104" i="14"/>
  <c r="U106" i="14" s="1"/>
  <c r="V104" i="15"/>
  <c r="U106" i="15" s="1"/>
  <c r="AF12" i="4"/>
  <c r="V104" i="16"/>
  <c r="U106" i="16" s="1"/>
  <c r="AF12" i="6"/>
  <c r="V114" i="17"/>
  <c r="U116" i="17" s="1"/>
  <c r="AA13" i="19"/>
  <c r="AF13" i="19" s="1"/>
  <c r="AF13" i="20"/>
  <c r="AF12" i="22"/>
  <c r="S119" i="34"/>
  <c r="AA13" i="16"/>
  <c r="V114" i="16" s="1"/>
  <c r="U116" i="16" s="1"/>
  <c r="V114" i="22"/>
  <c r="U116" i="22" s="1"/>
  <c r="AA13" i="24"/>
  <c r="AF13" i="24" s="1"/>
  <c r="S119" i="16"/>
  <c r="AF13" i="11"/>
  <c r="AA13" i="8"/>
  <c r="AF13" i="8" s="1"/>
  <c r="H27" i="52"/>
  <c r="H31" i="52" s="1"/>
  <c r="H34" i="52" s="1"/>
  <c r="H37" i="52" s="1"/>
  <c r="S119" i="19"/>
  <c r="S119" i="33"/>
  <c r="AA14" i="11"/>
  <c r="AF14" i="11" s="1"/>
  <c r="AA13" i="4"/>
  <c r="V114" i="4" s="1"/>
  <c r="U116" i="4" s="1"/>
  <c r="S119" i="8"/>
  <c r="S129" i="11"/>
  <c r="AA13" i="15"/>
  <c r="AF13" i="15" s="1"/>
  <c r="AA13" i="14"/>
  <c r="AF13" i="14" s="1"/>
  <c r="AA13" i="6"/>
  <c r="V114" i="6" s="1"/>
  <c r="U116" i="6" s="1"/>
  <c r="S119" i="35"/>
  <c r="S119" i="14"/>
  <c r="AA13" i="7"/>
  <c r="AF13" i="7" s="1"/>
  <c r="V104" i="20"/>
  <c r="U106" i="20" s="1"/>
  <c r="S119" i="24"/>
  <c r="S88" i="37"/>
  <c r="S108" i="35"/>
  <c r="S118" i="33"/>
  <c r="AQ17" i="5"/>
  <c r="Q119" i="40"/>
  <c r="Q120" i="40" s="1"/>
  <c r="S28" i="4"/>
  <c r="I119" i="40"/>
  <c r="I120" i="40" s="1"/>
  <c r="B119" i="40"/>
  <c r="B120" i="40" s="1"/>
  <c r="F119" i="40"/>
  <c r="F120" i="40" s="1"/>
  <c r="AQ17" i="17"/>
  <c r="AQ17" i="7"/>
  <c r="J119" i="40"/>
  <c r="J120" i="40" s="1"/>
  <c r="D119" i="40"/>
  <c r="D120" i="40" s="1"/>
  <c r="L119" i="40"/>
  <c r="L120" i="40" s="1"/>
  <c r="S118" i="34"/>
  <c r="AQ17" i="11"/>
  <c r="P119" i="40"/>
  <c r="P120" i="40" s="1"/>
  <c r="O119" i="40"/>
  <c r="O120" i="40" s="1"/>
  <c r="K119" i="40"/>
  <c r="K120" i="40" s="1"/>
  <c r="R119" i="40"/>
  <c r="R120" i="40" s="1"/>
  <c r="S28" i="22"/>
  <c r="H39" i="40"/>
  <c r="AQ17" i="10"/>
  <c r="AQ17" i="22"/>
  <c r="S108" i="60"/>
  <c r="C119" i="40"/>
  <c r="C120" i="40" s="1"/>
  <c r="N119" i="40"/>
  <c r="N120" i="40" s="1"/>
  <c r="T119" i="40"/>
  <c r="T120" i="40" s="1"/>
  <c r="M119" i="40"/>
  <c r="M120" i="40" s="1"/>
  <c r="AQ17" i="20"/>
  <c r="S119" i="40"/>
  <c r="S120" i="40" s="1"/>
  <c r="H99" i="40"/>
  <c r="H100" i="40" s="1"/>
  <c r="E119" i="40"/>
  <c r="E120" i="40" s="1"/>
  <c r="BB14" i="34"/>
  <c r="AL14" i="34"/>
  <c r="BC14" i="34"/>
  <c r="AA14" i="34"/>
  <c r="V114" i="34"/>
  <c r="U116" i="34" s="1"/>
  <c r="AF13" i="34"/>
  <c r="V123" i="22"/>
  <c r="T123" i="22"/>
  <c r="H24" i="53"/>
  <c r="T123" i="24"/>
  <c r="V123" i="24"/>
  <c r="AJ15" i="11"/>
  <c r="U131" i="11"/>
  <c r="AH16" i="11"/>
  <c r="AK15" i="5"/>
  <c r="AH15" i="5"/>
  <c r="AI15" i="5"/>
  <c r="S134" i="22"/>
  <c r="V16" i="22"/>
  <c r="V123" i="35"/>
  <c r="T123" i="35"/>
  <c r="AJ14" i="24"/>
  <c r="U121" i="24"/>
  <c r="T121" i="24" s="1"/>
  <c r="H31" i="51"/>
  <c r="H34" i="51" s="1"/>
  <c r="H37" i="51" s="1"/>
  <c r="U116" i="20"/>
  <c r="Z15" i="19"/>
  <c r="S130" i="19"/>
  <c r="S16" i="19"/>
  <c r="S133" i="24"/>
  <c r="W16" i="24"/>
  <c r="U122" i="17"/>
  <c r="V123" i="15"/>
  <c r="T123" i="15"/>
  <c r="BB14" i="5"/>
  <c r="BC14" i="5"/>
  <c r="AL14" i="5"/>
  <c r="Z15" i="5"/>
  <c r="S130" i="5"/>
  <c r="S16" i="5"/>
  <c r="U122" i="16"/>
  <c r="AF13" i="35"/>
  <c r="V114" i="35"/>
  <c r="U116" i="35" s="1"/>
  <c r="AK15" i="16"/>
  <c r="AI15" i="16"/>
  <c r="AH15" i="16"/>
  <c r="S134" i="17"/>
  <c r="V16" i="17"/>
  <c r="AL14" i="35"/>
  <c r="BB14" i="35"/>
  <c r="BC14" i="35"/>
  <c r="AA14" i="35"/>
  <c r="AJ14" i="4"/>
  <c r="U121" i="4"/>
  <c r="T121" i="4" s="1"/>
  <c r="AE15" i="37"/>
  <c r="S136" i="37"/>
  <c r="AD16" i="37"/>
  <c r="H18" i="37" s="1"/>
  <c r="S134" i="33"/>
  <c r="V16" i="33"/>
  <c r="H28" i="54"/>
  <c r="T123" i="4"/>
  <c r="V123" i="4"/>
  <c r="S133" i="15"/>
  <c r="W16" i="15"/>
  <c r="S134" i="16"/>
  <c r="V16" i="16"/>
  <c r="S119" i="6"/>
  <c r="V123" i="19"/>
  <c r="T123" i="19"/>
  <c r="BB14" i="17"/>
  <c r="BC14" i="17"/>
  <c r="AL14" i="17"/>
  <c r="AE15" i="22"/>
  <c r="S136" i="22"/>
  <c r="AD16" i="22"/>
  <c r="H18" i="22" s="1"/>
  <c r="AJ14" i="5"/>
  <c r="U121" i="5"/>
  <c r="T121" i="5" s="1"/>
  <c r="S119" i="5"/>
  <c r="V123" i="33"/>
  <c r="T123" i="33"/>
  <c r="Z15" i="24"/>
  <c r="S130" i="24"/>
  <c r="S16" i="24"/>
  <c r="BC14" i="16"/>
  <c r="AL14" i="16"/>
  <c r="BB14" i="16"/>
  <c r="AL14" i="4"/>
  <c r="BC14" i="4"/>
  <c r="H19" i="54"/>
  <c r="BB14" i="4"/>
  <c r="AE15" i="4"/>
  <c r="H20" i="55"/>
  <c r="J24" i="1" s="1"/>
  <c r="S136" i="4"/>
  <c r="AD16" i="4"/>
  <c r="H18" i="4" s="1"/>
  <c r="U122" i="15"/>
  <c r="AE15" i="8"/>
  <c r="S136" i="8"/>
  <c r="AD16" i="8"/>
  <c r="H18" i="8" s="1"/>
  <c r="S134" i="34"/>
  <c r="V16" i="34"/>
  <c r="BC14" i="7"/>
  <c r="AL14" i="7"/>
  <c r="BB14" i="7"/>
  <c r="U122" i="19"/>
  <c r="BC14" i="6"/>
  <c r="AL14" i="6"/>
  <c r="BB14" i="6"/>
  <c r="BB14" i="20"/>
  <c r="BC14" i="20"/>
  <c r="AL14" i="20"/>
  <c r="BC14" i="8"/>
  <c r="BB14" i="8"/>
  <c r="AL14" i="8"/>
  <c r="S130" i="22"/>
  <c r="Z15" i="22"/>
  <c r="S16" i="22"/>
  <c r="S130" i="17"/>
  <c r="Z15" i="17"/>
  <c r="S16" i="17"/>
  <c r="Z15" i="7"/>
  <c r="S130" i="7"/>
  <c r="S16" i="7"/>
  <c r="V123" i="16"/>
  <c r="T123" i="16"/>
  <c r="T123" i="5"/>
  <c r="V123" i="5"/>
  <c r="S134" i="37"/>
  <c r="V16" i="37"/>
  <c r="AI15" i="14"/>
  <c r="AH15" i="14"/>
  <c r="AK15" i="14"/>
  <c r="Z15" i="15"/>
  <c r="S130" i="15"/>
  <c r="S16" i="15"/>
  <c r="U121" i="15"/>
  <c r="T121" i="15" s="1"/>
  <c r="AJ14" i="15"/>
  <c r="AH15" i="17"/>
  <c r="AK15" i="17"/>
  <c r="AI15" i="17"/>
  <c r="U122" i="6"/>
  <c r="AJ14" i="22"/>
  <c r="U121" i="22"/>
  <c r="T121" i="22" s="1"/>
  <c r="S119" i="7"/>
  <c r="AE15" i="19"/>
  <c r="S136" i="19"/>
  <c r="AD16" i="19"/>
  <c r="H18" i="19" s="1"/>
  <c r="S136" i="6"/>
  <c r="AE15" i="6"/>
  <c r="AD16" i="6"/>
  <c r="H18" i="6" s="1"/>
  <c r="V123" i="17"/>
  <c r="T123" i="17"/>
  <c r="AE15" i="15"/>
  <c r="S136" i="15"/>
  <c r="AD16" i="15"/>
  <c r="H18" i="15" s="1"/>
  <c r="S133" i="8"/>
  <c r="W16" i="8"/>
  <c r="S134" i="35"/>
  <c r="V16" i="35"/>
  <c r="U122" i="24"/>
  <c r="Z15" i="33"/>
  <c r="S130" i="33"/>
  <c r="S16" i="33"/>
  <c r="U122" i="22"/>
  <c r="V123" i="37"/>
  <c r="T123" i="37"/>
  <c r="AE15" i="20"/>
  <c r="S136" i="20"/>
  <c r="AD16" i="20"/>
  <c r="H18" i="20" s="1"/>
  <c r="AJ14" i="19"/>
  <c r="U121" i="19"/>
  <c r="T121" i="19" s="1"/>
  <c r="U122" i="7"/>
  <c r="S119" i="37"/>
  <c r="T123" i="7"/>
  <c r="V123" i="7"/>
  <c r="Z15" i="35"/>
  <c r="S130" i="35"/>
  <c r="S16" i="35"/>
  <c r="Z15" i="4"/>
  <c r="S130" i="4"/>
  <c r="S16" i="4"/>
  <c r="AE15" i="24"/>
  <c r="S136" i="24"/>
  <c r="AD16" i="24"/>
  <c r="H18" i="24" s="1"/>
  <c r="S119" i="17"/>
  <c r="AK15" i="15"/>
  <c r="AH15" i="15"/>
  <c r="AI15" i="15"/>
  <c r="S133" i="6"/>
  <c r="W16" i="6"/>
  <c r="U121" i="16"/>
  <c r="T121" i="16" s="1"/>
  <c r="AJ14" i="16"/>
  <c r="AK15" i="8"/>
  <c r="AI15" i="8"/>
  <c r="AH15" i="8"/>
  <c r="AJ14" i="7"/>
  <c r="U121" i="7"/>
  <c r="T121" i="7" s="1"/>
  <c r="U122" i="8"/>
  <c r="T123" i="8"/>
  <c r="V123" i="8"/>
  <c r="S134" i="4"/>
  <c r="V16" i="4"/>
  <c r="S134" i="19"/>
  <c r="V16" i="19"/>
  <c r="AK15" i="24"/>
  <c r="AI15" i="24"/>
  <c r="AH15" i="24"/>
  <c r="AK15" i="7"/>
  <c r="AI15" i="7"/>
  <c r="AH15" i="7"/>
  <c r="S119" i="20"/>
  <c r="AE15" i="14"/>
  <c r="S136" i="14"/>
  <c r="AD16" i="14"/>
  <c r="H18" i="14" s="1"/>
  <c r="AE15" i="33"/>
  <c r="S136" i="33"/>
  <c r="AD16" i="33"/>
  <c r="H18" i="33" s="1"/>
  <c r="S134" i="15"/>
  <c r="V16" i="15"/>
  <c r="S130" i="8"/>
  <c r="Z15" i="8"/>
  <c r="S16" i="8"/>
  <c r="S133" i="14"/>
  <c r="W16" i="14"/>
  <c r="Z15" i="6"/>
  <c r="S130" i="6"/>
  <c r="S16" i="6"/>
  <c r="AF13" i="33"/>
  <c r="H29" i="53"/>
  <c r="V114" i="33"/>
  <c r="U116" i="33" s="1"/>
  <c r="BC14" i="37"/>
  <c r="BB14" i="37"/>
  <c r="AL14" i="37"/>
  <c r="AA14" i="37"/>
  <c r="S134" i="8"/>
  <c r="V16" i="8"/>
  <c r="V123" i="6"/>
  <c r="T123" i="6"/>
  <c r="S119" i="22"/>
  <c r="AJ14" i="8"/>
  <c r="U121" i="8"/>
  <c r="T121" i="8" s="1"/>
  <c r="AL15" i="11"/>
  <c r="BC15" i="11"/>
  <c r="BB15" i="11"/>
  <c r="Z16" i="11"/>
  <c r="AK15" i="4"/>
  <c r="AI15" i="4"/>
  <c r="AH15" i="4"/>
  <c r="AI15" i="19"/>
  <c r="AH15" i="19"/>
  <c r="AK15" i="19"/>
  <c r="BC14" i="19"/>
  <c r="AL14" i="19"/>
  <c r="BB14" i="19"/>
  <c r="S134" i="24"/>
  <c r="V16" i="24"/>
  <c r="AI15" i="6"/>
  <c r="AH15" i="6"/>
  <c r="AK15" i="6"/>
  <c r="S134" i="7"/>
  <c r="V16" i="7"/>
  <c r="V123" i="20"/>
  <c r="T123" i="20"/>
  <c r="BB14" i="24"/>
  <c r="AL14" i="24"/>
  <c r="BC14" i="24"/>
  <c r="V114" i="24"/>
  <c r="U116" i="24" s="1"/>
  <c r="Z15" i="34"/>
  <c r="S130" i="34"/>
  <c r="S16" i="34"/>
  <c r="S134" i="20"/>
  <c r="V16" i="20"/>
  <c r="AF13" i="4"/>
  <c r="AL14" i="22"/>
  <c r="BC14" i="22"/>
  <c r="BB14" i="22"/>
  <c r="AE15" i="5"/>
  <c r="S136" i="5"/>
  <c r="AD16" i="5"/>
  <c r="H18" i="5" s="1"/>
  <c r="AE15" i="17"/>
  <c r="S136" i="17"/>
  <c r="AD16" i="17"/>
  <c r="H18" i="17" s="1"/>
  <c r="U122" i="20"/>
  <c r="V123" i="34"/>
  <c r="T123" i="34"/>
  <c r="AJ14" i="14"/>
  <c r="U121" i="14"/>
  <c r="T121" i="14" s="1"/>
  <c r="S134" i="6"/>
  <c r="V16" i="6"/>
  <c r="V114" i="19"/>
  <c r="U116" i="19" s="1"/>
  <c r="S119" i="15"/>
  <c r="Z15" i="14"/>
  <c r="S130" i="14"/>
  <c r="S16" i="14"/>
  <c r="S133" i="16"/>
  <c r="W16" i="16"/>
  <c r="H33" i="54"/>
  <c r="U122" i="4"/>
  <c r="AK15" i="20"/>
  <c r="AH15" i="20"/>
  <c r="AI15" i="20"/>
  <c r="AE15" i="35"/>
  <c r="S136" i="35"/>
  <c r="AD16" i="35"/>
  <c r="H18" i="35" s="1"/>
  <c r="V131" i="11"/>
  <c r="AI16" i="11"/>
  <c r="AE15" i="16"/>
  <c r="S136" i="16"/>
  <c r="AD16" i="16"/>
  <c r="H18" i="16" s="1"/>
  <c r="U121" i="20"/>
  <c r="T121" i="20" s="1"/>
  <c r="AJ14" i="20"/>
  <c r="Z15" i="37"/>
  <c r="S130" i="37"/>
  <c r="S16" i="37"/>
  <c r="U122" i="14"/>
  <c r="S134" i="14"/>
  <c r="V16" i="14"/>
  <c r="BC14" i="15"/>
  <c r="AL14" i="15"/>
  <c r="BB14" i="15"/>
  <c r="BC14" i="33"/>
  <c r="AL14" i="33"/>
  <c r="H22" i="54"/>
  <c r="BB14" i="33"/>
  <c r="AA14" i="33"/>
  <c r="S133" i="19"/>
  <c r="W16" i="19"/>
  <c r="AJ14" i="17"/>
  <c r="U121" i="17"/>
  <c r="T121" i="17" s="1"/>
  <c r="U122" i="5"/>
  <c r="AL14" i="14"/>
  <c r="BC14" i="14"/>
  <c r="BB14" i="14"/>
  <c r="AE15" i="34"/>
  <c r="S136" i="34"/>
  <c r="AD16" i="34"/>
  <c r="H18" i="34" s="1"/>
  <c r="S130" i="20"/>
  <c r="Z15" i="20"/>
  <c r="S16" i="20"/>
  <c r="T123" i="14"/>
  <c r="V123" i="14"/>
  <c r="U132" i="11"/>
  <c r="AK16" i="11"/>
  <c r="S134" i="5"/>
  <c r="V16" i="5"/>
  <c r="AH15" i="22"/>
  <c r="AK15" i="22"/>
  <c r="AI15" i="22"/>
  <c r="H32" i="53"/>
  <c r="AF13" i="37"/>
  <c r="V114" i="37"/>
  <c r="U116" i="37" s="1"/>
  <c r="AE15" i="7"/>
  <c r="S136" i="7"/>
  <c r="AD16" i="7"/>
  <c r="H18" i="7" s="1"/>
  <c r="AJ14" i="6"/>
  <c r="U121" i="6"/>
  <c r="T121" i="6" s="1"/>
  <c r="S130" i="16"/>
  <c r="Z15" i="16"/>
  <c r="S16" i="16"/>
  <c r="J56" i="40"/>
  <c r="M56" i="40"/>
  <c r="O56" i="40"/>
  <c r="F56" i="40"/>
  <c r="H57" i="40"/>
  <c r="B56" i="40"/>
  <c r="L56" i="40"/>
  <c r="K56" i="40"/>
  <c r="D56" i="40"/>
  <c r="E56" i="40"/>
  <c r="K98" i="40"/>
  <c r="F98" i="40"/>
  <c r="O98" i="40"/>
  <c r="M19" i="57"/>
  <c r="F77" i="40"/>
  <c r="L17" i="40"/>
  <c r="AQ16" i="24"/>
  <c r="AQ16" i="16"/>
  <c r="AQ16" i="6"/>
  <c r="AU5" i="17"/>
  <c r="M38" i="40"/>
  <c r="I77" i="40"/>
  <c r="M5" i="57"/>
  <c r="J38" i="40"/>
  <c r="C17" i="40"/>
  <c r="B17" i="40"/>
  <c r="E38" i="40"/>
  <c r="L38" i="40"/>
  <c r="M10" i="57"/>
  <c r="P98" i="40"/>
  <c r="P77" i="40"/>
  <c r="K17" i="40"/>
  <c r="E138" i="40"/>
  <c r="AU13" i="60"/>
  <c r="AU4" i="16"/>
  <c r="AS13" i="35"/>
  <c r="AS11" i="37"/>
  <c r="AS14" i="34"/>
  <c r="C38" i="40"/>
  <c r="P17" i="40"/>
  <c r="R38" i="40"/>
  <c r="J98" i="40"/>
  <c r="N138" i="40"/>
  <c r="Q38" i="40"/>
  <c r="AS4" i="20"/>
  <c r="AU4" i="8"/>
  <c r="C77" i="40"/>
  <c r="P38" i="40"/>
  <c r="AU14" i="33"/>
  <c r="T17" i="40"/>
  <c r="E77" i="40"/>
  <c r="E98" i="40"/>
  <c r="AS13" i="60"/>
  <c r="AS4" i="15"/>
  <c r="AS5" i="22"/>
  <c r="AS4" i="11"/>
  <c r="R138" i="40"/>
  <c r="N77" i="40"/>
  <c r="F38" i="40"/>
  <c r="H18" i="40"/>
  <c r="J17" i="40"/>
  <c r="M2" i="57"/>
  <c r="T138" i="40"/>
  <c r="R17" i="40"/>
  <c r="AU5" i="22"/>
  <c r="AU4" i="19"/>
  <c r="N17" i="40"/>
  <c r="E17" i="40"/>
  <c r="F17" i="40"/>
  <c r="L77" i="40"/>
  <c r="L138" i="40"/>
  <c r="T38" i="40"/>
  <c r="L98" i="40"/>
  <c r="Q17" i="40"/>
  <c r="O17" i="40"/>
  <c r="K38" i="40"/>
  <c r="S138" i="40"/>
  <c r="AU5" i="10"/>
  <c r="AS4" i="5"/>
  <c r="AU14" i="34"/>
  <c r="S57" i="40"/>
  <c r="M138" i="40"/>
  <c r="AQ16" i="14"/>
  <c r="AU4" i="14"/>
  <c r="M17" i="40"/>
  <c r="AS4" i="10"/>
  <c r="O77" i="40"/>
  <c r="T57" i="40"/>
  <c r="I138" i="40"/>
  <c r="O38" i="40"/>
  <c r="B138" i="40"/>
  <c r="Q57" i="40"/>
  <c r="M21" i="57"/>
  <c r="D77" i="40"/>
  <c r="AQ16" i="19"/>
  <c r="AU6" i="4"/>
  <c r="AS4" i="17"/>
  <c r="S17" i="40"/>
  <c r="B77" i="40"/>
  <c r="N98" i="40"/>
  <c r="J138" i="40"/>
  <c r="K138" i="40"/>
  <c r="I17" i="40"/>
  <c r="R57" i="40"/>
  <c r="M20" i="57"/>
  <c r="AQ16" i="8"/>
  <c r="AU5" i="11"/>
  <c r="AS14" i="33"/>
  <c r="Y24" i="57"/>
  <c r="D17" i="40"/>
  <c r="M4" i="57"/>
  <c r="H78" i="40"/>
  <c r="M7" i="57"/>
  <c r="I38" i="40"/>
  <c r="P138" i="40"/>
  <c r="B38" i="40"/>
  <c r="D38" i="40"/>
  <c r="K77" i="40"/>
  <c r="I98" i="40"/>
  <c r="AU5" i="15"/>
  <c r="AU5" i="24"/>
  <c r="AU5" i="7"/>
  <c r="AS4" i="8"/>
  <c r="AU4" i="6"/>
  <c r="Q138" i="40"/>
  <c r="B98" i="40"/>
  <c r="C98" i="40"/>
  <c r="F138" i="40"/>
  <c r="N38" i="40"/>
  <c r="D138" i="40"/>
  <c r="J77" i="40"/>
  <c r="O138" i="40"/>
  <c r="M77" i="40"/>
  <c r="D98" i="40"/>
  <c r="S38" i="40"/>
  <c r="C138" i="40"/>
  <c r="AQ16" i="15"/>
  <c r="AS4" i="24"/>
  <c r="AU5" i="20"/>
  <c r="AU13" i="35"/>
  <c r="AU12" i="37"/>
  <c r="AS5" i="4"/>
  <c r="AU5" i="5"/>
  <c r="M98" i="40"/>
  <c r="AS4" i="7"/>
  <c r="M24" i="57"/>
  <c r="V124" i="11" l="1"/>
  <c r="U126" i="11" s="1"/>
  <c r="AF13" i="16"/>
  <c r="V114" i="8"/>
  <c r="U116" i="8" s="1"/>
  <c r="AA14" i="8"/>
  <c r="V124" i="8" s="1"/>
  <c r="U126" i="8" s="1"/>
  <c r="S129" i="22"/>
  <c r="AF13" i="6"/>
  <c r="AA14" i="5"/>
  <c r="AA14" i="22"/>
  <c r="AF14" i="22" s="1"/>
  <c r="V114" i="14"/>
  <c r="U116" i="14" s="1"/>
  <c r="AA14" i="4"/>
  <c r="AF14" i="4" s="1"/>
  <c r="V114" i="15"/>
  <c r="U116" i="15" s="1"/>
  <c r="AA14" i="14"/>
  <c r="V124" i="14" s="1"/>
  <c r="U126" i="14" s="1"/>
  <c r="AA14" i="20"/>
  <c r="AA14" i="15"/>
  <c r="AF14" i="15" s="1"/>
  <c r="H27" i="53"/>
  <c r="H31" i="53" s="1"/>
  <c r="H34" i="53" s="1"/>
  <c r="H37" i="53" s="1"/>
  <c r="AA14" i="24"/>
  <c r="V124" i="24" s="1"/>
  <c r="U126" i="24" s="1"/>
  <c r="AA14" i="6"/>
  <c r="AF14" i="6" s="1"/>
  <c r="V114" i="7"/>
  <c r="U116" i="7" s="1"/>
  <c r="S129" i="4"/>
  <c r="AA15" i="11"/>
  <c r="V134" i="11" s="1"/>
  <c r="U136" i="11" s="1"/>
  <c r="AA14" i="19"/>
  <c r="AF14" i="19" s="1"/>
  <c r="AJ16" i="11"/>
  <c r="T131" i="11"/>
  <c r="AA14" i="16"/>
  <c r="V124" i="16" s="1"/>
  <c r="U126" i="16" s="1"/>
  <c r="S129" i="17"/>
  <c r="S28" i="7"/>
  <c r="M99" i="40"/>
  <c r="M100" i="40" s="1"/>
  <c r="S38" i="4"/>
  <c r="S28" i="24"/>
  <c r="AQ17" i="15"/>
  <c r="C139" i="40"/>
  <c r="C140" i="40" s="1"/>
  <c r="S39" i="40"/>
  <c r="S40" i="40" s="1"/>
  <c r="D99" i="40"/>
  <c r="D100" i="40" s="1"/>
  <c r="O139" i="40"/>
  <c r="O140" i="40" s="1"/>
  <c r="D139" i="40"/>
  <c r="D140" i="40" s="1"/>
  <c r="N39" i="40"/>
  <c r="N40" i="40" s="1"/>
  <c r="F139" i="40"/>
  <c r="F140" i="40" s="1"/>
  <c r="C99" i="40"/>
  <c r="C100" i="40" s="1"/>
  <c r="B99" i="40"/>
  <c r="B100" i="40" s="1"/>
  <c r="Q139" i="40"/>
  <c r="Q140" i="40" s="1"/>
  <c r="S28" i="8"/>
  <c r="I99" i="40"/>
  <c r="I100" i="40" s="1"/>
  <c r="D39" i="40"/>
  <c r="D40" i="40" s="1"/>
  <c r="B39" i="40"/>
  <c r="B40" i="40" s="1"/>
  <c r="P139" i="40"/>
  <c r="P140" i="40" s="1"/>
  <c r="I39" i="40"/>
  <c r="H79" i="40"/>
  <c r="H80" i="40" s="1"/>
  <c r="S128" i="33"/>
  <c r="AQ17" i="8"/>
  <c r="K139" i="40"/>
  <c r="K140" i="40" s="1"/>
  <c r="J139" i="40"/>
  <c r="J140" i="40" s="1"/>
  <c r="N99" i="40"/>
  <c r="N100" i="40" s="1"/>
  <c r="S28" i="17"/>
  <c r="AQ17" i="19"/>
  <c r="B139" i="40"/>
  <c r="B140" i="40" s="1"/>
  <c r="O39" i="40"/>
  <c r="O40" i="40" s="1"/>
  <c r="I139" i="40"/>
  <c r="I140" i="40" s="1"/>
  <c r="S28" i="10"/>
  <c r="AQ17" i="14"/>
  <c r="M139" i="40"/>
  <c r="M140" i="40" s="1"/>
  <c r="S28" i="5"/>
  <c r="S139" i="40"/>
  <c r="S140" i="40" s="1"/>
  <c r="K39" i="40"/>
  <c r="K40" i="40" s="1"/>
  <c r="L99" i="40"/>
  <c r="L100" i="40" s="1"/>
  <c r="T39" i="40"/>
  <c r="T40" i="40" s="1"/>
  <c r="L139" i="40"/>
  <c r="L140" i="40" s="1"/>
  <c r="T139" i="40"/>
  <c r="T140" i="40" s="1"/>
  <c r="H20" i="40"/>
  <c r="F39" i="40"/>
  <c r="F40" i="40" s="1"/>
  <c r="R139" i="40"/>
  <c r="R140" i="40" s="1"/>
  <c r="S28" i="11"/>
  <c r="S38" i="22"/>
  <c r="S28" i="15"/>
  <c r="S118" i="60"/>
  <c r="E99" i="40"/>
  <c r="E100" i="40" s="1"/>
  <c r="P39" i="40"/>
  <c r="P40" i="40" s="1"/>
  <c r="S28" i="20"/>
  <c r="Q39" i="40"/>
  <c r="Q40" i="40" s="1"/>
  <c r="N139" i="40"/>
  <c r="N140" i="40" s="1"/>
  <c r="J99" i="40"/>
  <c r="J100" i="40" s="1"/>
  <c r="R39" i="40"/>
  <c r="R40" i="40" s="1"/>
  <c r="C39" i="40"/>
  <c r="C40" i="40" s="1"/>
  <c r="S128" i="34"/>
  <c r="S98" i="37"/>
  <c r="S118" i="35"/>
  <c r="E139" i="40"/>
  <c r="E140" i="40" s="1"/>
  <c r="P99" i="40"/>
  <c r="P100" i="40" s="1"/>
  <c r="L39" i="40"/>
  <c r="L40" i="40" s="1"/>
  <c r="E39" i="40"/>
  <c r="E40" i="40" s="1"/>
  <c r="J39" i="40"/>
  <c r="J40" i="40" s="1"/>
  <c r="M39" i="40"/>
  <c r="M40" i="40" s="1"/>
  <c r="AQ17" i="6"/>
  <c r="AQ17" i="16"/>
  <c r="AQ17" i="24"/>
  <c r="O99" i="40"/>
  <c r="O100" i="40" s="1"/>
  <c r="F99" i="40"/>
  <c r="F100" i="40" s="1"/>
  <c r="K99" i="40"/>
  <c r="K100" i="40" s="1"/>
  <c r="U132" i="16"/>
  <c r="AK16" i="16"/>
  <c r="V133" i="5"/>
  <c r="T133" i="5"/>
  <c r="AE16" i="5"/>
  <c r="H28" i="5" s="1"/>
  <c r="AL15" i="34"/>
  <c r="BC15" i="34"/>
  <c r="BB15" i="34"/>
  <c r="AA15" i="34"/>
  <c r="Z16" i="34"/>
  <c r="U132" i="6"/>
  <c r="AK16" i="6"/>
  <c r="AJ15" i="4"/>
  <c r="U131" i="4"/>
  <c r="AH16" i="4"/>
  <c r="V133" i="24"/>
  <c r="T133" i="24"/>
  <c r="AE16" i="24"/>
  <c r="H28" i="24" s="1"/>
  <c r="V133" i="6"/>
  <c r="T133" i="6"/>
  <c r="AE16" i="6"/>
  <c r="H28" i="6" s="1"/>
  <c r="AJ15" i="14"/>
  <c r="U131" i="14"/>
  <c r="AH16" i="14"/>
  <c r="BC15" i="17"/>
  <c r="AL15" i="17"/>
  <c r="BB15" i="17"/>
  <c r="Z16" i="17"/>
  <c r="V133" i="8"/>
  <c r="T133" i="8"/>
  <c r="AE16" i="8"/>
  <c r="H28" i="8" s="1"/>
  <c r="V131" i="16"/>
  <c r="AI16" i="16"/>
  <c r="U132" i="5"/>
  <c r="AK16" i="5"/>
  <c r="H33" i="55"/>
  <c r="J38" i="1" s="1"/>
  <c r="M51" i="1" s="1"/>
  <c r="U132" i="4"/>
  <c r="AK16" i="4"/>
  <c r="T133" i="37"/>
  <c r="V133" i="37"/>
  <c r="AE16" i="37"/>
  <c r="H28" i="37" s="1"/>
  <c r="S129" i="16"/>
  <c r="U132" i="22"/>
  <c r="AK16" i="22"/>
  <c r="S129" i="20"/>
  <c r="G66" i="11"/>
  <c r="O17" i="11"/>
  <c r="Q88" i="11" s="1"/>
  <c r="G65" i="11"/>
  <c r="H17" i="11"/>
  <c r="H23" i="11" s="1"/>
  <c r="AL15" i="6"/>
  <c r="BC15" i="6"/>
  <c r="BB15" i="6"/>
  <c r="Z16" i="6"/>
  <c r="BB15" i="4"/>
  <c r="AL15" i="4"/>
  <c r="BC15" i="4"/>
  <c r="H19" i="55"/>
  <c r="Z16" i="4"/>
  <c r="T133" i="20"/>
  <c r="V133" i="20"/>
  <c r="AE16" i="20"/>
  <c r="H28" i="20" s="1"/>
  <c r="V131" i="17"/>
  <c r="AI16" i="17"/>
  <c r="AL15" i="22"/>
  <c r="BC15" i="22"/>
  <c r="BB15" i="22"/>
  <c r="Z16" i="22"/>
  <c r="V131" i="14"/>
  <c r="AI16" i="14"/>
  <c r="V131" i="22"/>
  <c r="AI16" i="22"/>
  <c r="H40" i="40"/>
  <c r="AJ15" i="22"/>
  <c r="U131" i="22"/>
  <c r="AH16" i="22"/>
  <c r="H29" i="54"/>
  <c r="AF14" i="33"/>
  <c r="V124" i="33"/>
  <c r="U126" i="33" s="1"/>
  <c r="V133" i="14"/>
  <c r="T133" i="14"/>
  <c r="AE16" i="14"/>
  <c r="H28" i="14" s="1"/>
  <c r="V131" i="15"/>
  <c r="AI16" i="15"/>
  <c r="V133" i="19"/>
  <c r="T133" i="19"/>
  <c r="AE16" i="19"/>
  <c r="H28" i="19" s="1"/>
  <c r="U132" i="17"/>
  <c r="AK16" i="17"/>
  <c r="S129" i="24"/>
  <c r="H32" i="54"/>
  <c r="V131" i="4"/>
  <c r="AI16" i="4"/>
  <c r="S129" i="6"/>
  <c r="S129" i="14"/>
  <c r="AF14" i="37"/>
  <c r="V124" i="37"/>
  <c r="U126" i="37" s="1"/>
  <c r="U131" i="15"/>
  <c r="AJ15" i="15"/>
  <c r="AH16" i="15"/>
  <c r="S129" i="35"/>
  <c r="AJ15" i="17"/>
  <c r="U131" i="17"/>
  <c r="AH16" i="17"/>
  <c r="AA14" i="7"/>
  <c r="V133" i="4"/>
  <c r="H28" i="55"/>
  <c r="J32" i="1" s="1"/>
  <c r="T133" i="4"/>
  <c r="AE16" i="4"/>
  <c r="H28" i="4" s="1"/>
  <c r="BC15" i="24"/>
  <c r="AL15" i="24"/>
  <c r="BB15" i="24"/>
  <c r="Z16" i="24"/>
  <c r="T133" i="22"/>
  <c r="V133" i="22"/>
  <c r="AE16" i="22"/>
  <c r="H28" i="22" s="1"/>
  <c r="AF14" i="35"/>
  <c r="V124" i="35"/>
  <c r="U126" i="35" s="1"/>
  <c r="AJ15" i="6"/>
  <c r="U131" i="6"/>
  <c r="AH16" i="6"/>
  <c r="T133" i="16"/>
  <c r="V133" i="16"/>
  <c r="AE16" i="16"/>
  <c r="H28" i="16" s="1"/>
  <c r="AF14" i="34"/>
  <c r="V124" i="34"/>
  <c r="U126" i="34" s="1"/>
  <c r="V133" i="34"/>
  <c r="T133" i="34"/>
  <c r="AE16" i="34"/>
  <c r="H28" i="34" s="1"/>
  <c r="BC15" i="14"/>
  <c r="AL15" i="14"/>
  <c r="BB15" i="14"/>
  <c r="Z16" i="14"/>
  <c r="AJ15" i="7"/>
  <c r="U131" i="7"/>
  <c r="AH16" i="7"/>
  <c r="U132" i="15"/>
  <c r="AK16" i="15"/>
  <c r="BB15" i="35"/>
  <c r="AL15" i="35"/>
  <c r="BC15" i="35"/>
  <c r="AA15" i="35"/>
  <c r="Z16" i="35"/>
  <c r="V133" i="15"/>
  <c r="T133" i="15"/>
  <c r="AE16" i="15"/>
  <c r="H28" i="15" s="1"/>
  <c r="V124" i="4"/>
  <c r="U126" i="4" s="1"/>
  <c r="T133" i="35"/>
  <c r="V133" i="35"/>
  <c r="AE16" i="35"/>
  <c r="H28" i="35" s="1"/>
  <c r="AL16" i="11"/>
  <c r="AL15" i="8"/>
  <c r="BC15" i="8"/>
  <c r="BB15" i="8"/>
  <c r="Z16" i="8"/>
  <c r="V131" i="7"/>
  <c r="AI16" i="7"/>
  <c r="AA14" i="17"/>
  <c r="C50" i="53"/>
  <c r="V124" i="22"/>
  <c r="U126" i="22" s="1"/>
  <c r="V133" i="33"/>
  <c r="T133" i="33"/>
  <c r="AE16" i="33"/>
  <c r="H28" i="33" s="1"/>
  <c r="V131" i="6"/>
  <c r="AI16" i="6"/>
  <c r="S129" i="37"/>
  <c r="V131" i="20"/>
  <c r="AI16" i="20"/>
  <c r="S129" i="8"/>
  <c r="U132" i="7"/>
  <c r="AK16" i="7"/>
  <c r="S129" i="33"/>
  <c r="H24" i="54"/>
  <c r="C50" i="54" s="1"/>
  <c r="S129" i="5"/>
  <c r="BB15" i="20"/>
  <c r="BC15" i="20"/>
  <c r="AL15" i="20"/>
  <c r="Z16" i="20"/>
  <c r="V124" i="15"/>
  <c r="U126" i="15" s="1"/>
  <c r="BB15" i="37"/>
  <c r="AL15" i="37"/>
  <c r="BC15" i="37"/>
  <c r="AA15" i="37"/>
  <c r="Z16" i="37"/>
  <c r="AJ15" i="20"/>
  <c r="U131" i="20"/>
  <c r="AH16" i="20"/>
  <c r="V133" i="17"/>
  <c r="T133" i="17"/>
  <c r="AE16" i="17"/>
  <c r="H28" i="17" s="1"/>
  <c r="U132" i="19"/>
  <c r="AK16" i="19"/>
  <c r="AJ15" i="24"/>
  <c r="U131" i="24"/>
  <c r="AH16" i="24"/>
  <c r="AJ15" i="8"/>
  <c r="U131" i="8"/>
  <c r="AH16" i="8"/>
  <c r="AL15" i="33"/>
  <c r="BC15" i="33"/>
  <c r="BB15" i="33"/>
  <c r="H22" i="55"/>
  <c r="J26" i="1" s="1"/>
  <c r="AA15" i="33"/>
  <c r="Z16" i="33"/>
  <c r="S129" i="15"/>
  <c r="S129" i="7"/>
  <c r="AL15" i="5"/>
  <c r="BC15" i="5"/>
  <c r="BB15" i="5"/>
  <c r="Z16" i="5"/>
  <c r="S129" i="19"/>
  <c r="V133" i="7"/>
  <c r="T133" i="7"/>
  <c r="AE16" i="7"/>
  <c r="H28" i="7" s="1"/>
  <c r="U132" i="20"/>
  <c r="AK16" i="20"/>
  <c r="AJ15" i="19"/>
  <c r="U131" i="19"/>
  <c r="AH16" i="19"/>
  <c r="V131" i="24"/>
  <c r="AI16" i="24"/>
  <c r="V131" i="8"/>
  <c r="AI16" i="8"/>
  <c r="BC15" i="15"/>
  <c r="AL15" i="15"/>
  <c r="BB15" i="15"/>
  <c r="Z16" i="15"/>
  <c r="BC15" i="7"/>
  <c r="AL15" i="7"/>
  <c r="BB15" i="7"/>
  <c r="Z16" i="7"/>
  <c r="AF14" i="20"/>
  <c r="V124" i="20"/>
  <c r="U126" i="20" s="1"/>
  <c r="BC15" i="19"/>
  <c r="AL15" i="19"/>
  <c r="BB15" i="19"/>
  <c r="Z16" i="19"/>
  <c r="V131" i="5"/>
  <c r="AI16" i="5"/>
  <c r="BC15" i="16"/>
  <c r="AL15" i="16"/>
  <c r="BB15" i="16"/>
  <c r="Z16" i="16"/>
  <c r="S129" i="34"/>
  <c r="V131" i="19"/>
  <c r="AI16" i="19"/>
  <c r="U132" i="24"/>
  <c r="AK16" i="24"/>
  <c r="U132" i="8"/>
  <c r="AK16" i="8"/>
  <c r="U132" i="14"/>
  <c r="AK16" i="14"/>
  <c r="AJ15" i="16"/>
  <c r="U131" i="16"/>
  <c r="T131" i="16" s="1"/>
  <c r="AH16" i="16"/>
  <c r="V124" i="5"/>
  <c r="U126" i="5" s="1"/>
  <c r="AF14" i="5"/>
  <c r="AJ15" i="5"/>
  <c r="U131" i="5"/>
  <c r="AH16" i="5"/>
  <c r="F57" i="40"/>
  <c r="C57" i="40"/>
  <c r="I57" i="40"/>
  <c r="B57" i="40"/>
  <c r="K57" i="40"/>
  <c r="P57" i="40"/>
  <c r="L57" i="40"/>
  <c r="O57" i="40"/>
  <c r="D57" i="40"/>
  <c r="H58" i="40"/>
  <c r="J57" i="40"/>
  <c r="M57" i="40"/>
  <c r="S58" i="40"/>
  <c r="V5" i="57"/>
  <c r="N78" i="40"/>
  <c r="R58" i="40"/>
  <c r="AU5" i="6"/>
  <c r="AS5" i="10"/>
  <c r="AS6" i="4"/>
  <c r="AU15" i="34"/>
  <c r="AS12" i="37"/>
  <c r="K78" i="40"/>
  <c r="I78" i="40"/>
  <c r="C78" i="40"/>
  <c r="AS5" i="5"/>
  <c r="AS5" i="17"/>
  <c r="AS5" i="11"/>
  <c r="AU6" i="15"/>
  <c r="V19" i="57"/>
  <c r="Q18" i="40"/>
  <c r="O78" i="40"/>
  <c r="AS5" i="24"/>
  <c r="AU5" i="16"/>
  <c r="AU6" i="11"/>
  <c r="AS4" i="16"/>
  <c r="AS15" i="34"/>
  <c r="AS15" i="33"/>
  <c r="AS14" i="35"/>
  <c r="I18" i="40"/>
  <c r="E57" i="40"/>
  <c r="V7" i="57"/>
  <c r="E78" i="40"/>
  <c r="J78" i="40"/>
  <c r="AU7" i="15"/>
  <c r="AS4" i="6"/>
  <c r="B78" i="40"/>
  <c r="Q58" i="40"/>
  <c r="C18" i="40"/>
  <c r="E18" i="40"/>
  <c r="AS14" i="60"/>
  <c r="AU6" i="7"/>
  <c r="AU15" i="33"/>
  <c r="N18" i="40"/>
  <c r="B18" i="40"/>
  <c r="V4" i="57"/>
  <c r="F78" i="40"/>
  <c r="AU7" i="4"/>
  <c r="AU5" i="14"/>
  <c r="AS5" i="20"/>
  <c r="D78" i="40"/>
  <c r="P78" i="40"/>
  <c r="M18" i="40"/>
  <c r="AU14" i="60"/>
  <c r="AU5" i="19"/>
  <c r="Q24" i="57"/>
  <c r="P18" i="40"/>
  <c r="AU6" i="22"/>
  <c r="V20" i="57"/>
  <c r="N57" i="40"/>
  <c r="R18" i="40"/>
  <c r="M78" i="40"/>
  <c r="AU6" i="24"/>
  <c r="AU6" i="5"/>
  <c r="Z24" i="57"/>
  <c r="S18" i="40"/>
  <c r="V10" i="57"/>
  <c r="L78" i="40"/>
  <c r="O18" i="40"/>
  <c r="T18" i="40"/>
  <c r="V21" i="57"/>
  <c r="AS5" i="15"/>
  <c r="AU5" i="8"/>
  <c r="AS6" i="22"/>
  <c r="K18" i="40"/>
  <c r="AS5" i="8"/>
  <c r="AU6" i="20"/>
  <c r="AU6" i="10"/>
  <c r="AS4" i="19"/>
  <c r="AU14" i="35"/>
  <c r="AU13" i="37"/>
  <c r="D18" i="40"/>
  <c r="T58" i="40"/>
  <c r="F18" i="40"/>
  <c r="V2" i="57"/>
  <c r="L18" i="40"/>
  <c r="J18" i="40"/>
  <c r="AS5" i="7"/>
  <c r="AU6" i="17"/>
  <c r="AS4" i="14"/>
  <c r="N24" i="57"/>
  <c r="AJ16" i="20" l="1"/>
  <c r="AA15" i="5"/>
  <c r="V134" i="5" s="1"/>
  <c r="U136" i="5" s="1"/>
  <c r="V124" i="6"/>
  <c r="U126" i="6" s="1"/>
  <c r="AJ16" i="16"/>
  <c r="AA15" i="17"/>
  <c r="AA16" i="17" s="1"/>
  <c r="H27" i="17" s="1"/>
  <c r="AF14" i="8"/>
  <c r="AA15" i="8"/>
  <c r="AA16" i="8" s="1"/>
  <c r="H27" i="8" s="1"/>
  <c r="L31" i="8" s="1"/>
  <c r="T131" i="17"/>
  <c r="AF15" i="11"/>
  <c r="AF16" i="11" s="1"/>
  <c r="AA16" i="11"/>
  <c r="H27" i="11" s="1"/>
  <c r="L31" i="11" s="1"/>
  <c r="AF14" i="24"/>
  <c r="AF14" i="14"/>
  <c r="AJ16" i="15"/>
  <c r="AF14" i="16"/>
  <c r="T131" i="15"/>
  <c r="AA15" i="22"/>
  <c r="AF15" i="22" s="1"/>
  <c r="AF16" i="22" s="1"/>
  <c r="AA15" i="6"/>
  <c r="V134" i="6" s="1"/>
  <c r="U136" i="6" s="1"/>
  <c r="AJ16" i="17"/>
  <c r="V124" i="19"/>
  <c r="U126" i="19" s="1"/>
  <c r="AA15" i="16"/>
  <c r="AF15" i="16" s="1"/>
  <c r="AA15" i="4"/>
  <c r="AA16" i="4" s="1"/>
  <c r="H27" i="4" s="1"/>
  <c r="L31" i="4" s="1"/>
  <c r="T131" i="20"/>
  <c r="AA15" i="15"/>
  <c r="V134" i="15" s="1"/>
  <c r="U136" i="15" s="1"/>
  <c r="AJ16" i="5"/>
  <c r="AA15" i="19"/>
  <c r="AA16" i="19" s="1"/>
  <c r="H27" i="19" s="1"/>
  <c r="T131" i="5"/>
  <c r="AA15" i="20"/>
  <c r="AA16" i="20" s="1"/>
  <c r="H27" i="20" s="1"/>
  <c r="AA15" i="7"/>
  <c r="AA16" i="7" s="1"/>
  <c r="H27" i="7" s="1"/>
  <c r="L31" i="7" s="1"/>
  <c r="H59" i="40"/>
  <c r="H60" i="40" s="1"/>
  <c r="AA15" i="14"/>
  <c r="V134" i="14" s="1"/>
  <c r="U136" i="14" s="1"/>
  <c r="AA15" i="24"/>
  <c r="AA16" i="24" s="1"/>
  <c r="H27" i="24" s="1"/>
  <c r="AJ16" i="6"/>
  <c r="T131" i="6"/>
  <c r="AJ16" i="8"/>
  <c r="S28" i="14"/>
  <c r="S38" i="7"/>
  <c r="J20" i="40"/>
  <c r="L20" i="40"/>
  <c r="F20" i="40"/>
  <c r="T59" i="40"/>
  <c r="T60" i="40" s="1"/>
  <c r="D20" i="40"/>
  <c r="S28" i="19"/>
  <c r="S38" i="8"/>
  <c r="K20" i="40"/>
  <c r="S48" i="22"/>
  <c r="S38" i="15"/>
  <c r="T20" i="40"/>
  <c r="O20" i="40"/>
  <c r="L79" i="40"/>
  <c r="L80" i="40" s="1"/>
  <c r="S20" i="40"/>
  <c r="M79" i="40"/>
  <c r="M80" i="40" s="1"/>
  <c r="R20" i="40"/>
  <c r="P20" i="40"/>
  <c r="M20" i="40"/>
  <c r="P79" i="40"/>
  <c r="P80" i="40" s="1"/>
  <c r="D79" i="40"/>
  <c r="D80" i="40" s="1"/>
  <c r="S38" i="20"/>
  <c r="F79" i="40"/>
  <c r="F80" i="40" s="1"/>
  <c r="B20" i="40"/>
  <c r="N20" i="40"/>
  <c r="S128" i="60"/>
  <c r="E20" i="40"/>
  <c r="C20" i="40"/>
  <c r="Q59" i="40"/>
  <c r="Q60" i="40" s="1"/>
  <c r="B79" i="40"/>
  <c r="B80" i="40" s="1"/>
  <c r="S28" i="6"/>
  <c r="J79" i="40"/>
  <c r="J80" i="40" s="1"/>
  <c r="E79" i="40"/>
  <c r="E80" i="40" s="1"/>
  <c r="I20" i="40"/>
  <c r="S128" i="35"/>
  <c r="S138" i="33"/>
  <c r="S138" i="34"/>
  <c r="S28" i="16"/>
  <c r="S38" i="24"/>
  <c r="O79" i="40"/>
  <c r="O80" i="40" s="1"/>
  <c r="Q20" i="40"/>
  <c r="S38" i="11"/>
  <c r="S38" i="17"/>
  <c r="S38" i="5"/>
  <c r="C79" i="40"/>
  <c r="C80" i="40" s="1"/>
  <c r="I79" i="40"/>
  <c r="I80" i="40" s="1"/>
  <c r="K79" i="40"/>
  <c r="K80" i="40" s="1"/>
  <c r="S108" i="37"/>
  <c r="S48" i="4"/>
  <c r="S38" i="10"/>
  <c r="R59" i="40"/>
  <c r="R60" i="40" s="1"/>
  <c r="N79" i="40"/>
  <c r="N80" i="40" s="1"/>
  <c r="S59" i="40"/>
  <c r="S60" i="40" s="1"/>
  <c r="AL16" i="19"/>
  <c r="AL16" i="15"/>
  <c r="AL16" i="8"/>
  <c r="AF15" i="35"/>
  <c r="AF16" i="35" s="1"/>
  <c r="V134" i="35"/>
  <c r="U136" i="35" s="1"/>
  <c r="AA16" i="35"/>
  <c r="H29" i="35" s="1"/>
  <c r="L31" i="35" s="1"/>
  <c r="AL16" i="6"/>
  <c r="AL16" i="14"/>
  <c r="O17" i="16"/>
  <c r="Q88" i="16" s="1"/>
  <c r="G65" i="16"/>
  <c r="H17" i="16"/>
  <c r="H23" i="16" s="1"/>
  <c r="G66" i="16"/>
  <c r="G65" i="20"/>
  <c r="G66" i="20"/>
  <c r="O17" i="20"/>
  <c r="Q88" i="20" s="1"/>
  <c r="H17" i="20"/>
  <c r="AL16" i="35"/>
  <c r="AL16" i="24"/>
  <c r="H17" i="4"/>
  <c r="H23" i="4" s="1"/>
  <c r="G65" i="4"/>
  <c r="G66" i="4"/>
  <c r="O17" i="4"/>
  <c r="Q88" i="4" s="1"/>
  <c r="AL16" i="34"/>
  <c r="I40" i="40"/>
  <c r="H17" i="5"/>
  <c r="H23" i="5" s="1"/>
  <c r="G65" i="5"/>
  <c r="O17" i="5"/>
  <c r="Q88" i="5" s="1"/>
  <c r="G66" i="5"/>
  <c r="AL16" i="33"/>
  <c r="V134" i="20"/>
  <c r="U136" i="20" s="1"/>
  <c r="V124" i="17"/>
  <c r="U126" i="17" s="1"/>
  <c r="AF14" i="17"/>
  <c r="G66" i="17"/>
  <c r="G65" i="17"/>
  <c r="O17" i="17"/>
  <c r="Q88" i="17" s="1"/>
  <c r="H17" i="17"/>
  <c r="O17" i="7"/>
  <c r="Q88" i="7" s="1"/>
  <c r="G65" i="7"/>
  <c r="G66" i="7"/>
  <c r="H17" i="7"/>
  <c r="H23" i="7" s="1"/>
  <c r="AF15" i="5"/>
  <c r="AF16" i="5" s="1"/>
  <c r="AA16" i="5"/>
  <c r="H27" i="5" s="1"/>
  <c r="L31" i="5" s="1"/>
  <c r="AL16" i="20"/>
  <c r="G65" i="22"/>
  <c r="H17" i="22"/>
  <c r="G66" i="22"/>
  <c r="O17" i="22"/>
  <c r="Q88" i="22" s="1"/>
  <c r="H24" i="55"/>
  <c r="H66" i="11"/>
  <c r="H75" i="11"/>
  <c r="G75" i="11"/>
  <c r="AL16" i="16"/>
  <c r="T131" i="8"/>
  <c r="H27" i="54"/>
  <c r="AJ16" i="4"/>
  <c r="AJ16" i="19"/>
  <c r="G66" i="37"/>
  <c r="G65" i="37"/>
  <c r="O17" i="37"/>
  <c r="Q88" i="37" s="1"/>
  <c r="H20" i="37"/>
  <c r="H23" i="37" s="1"/>
  <c r="AJ16" i="7"/>
  <c r="AL16" i="4"/>
  <c r="AL16" i="17"/>
  <c r="T131" i="4"/>
  <c r="AL16" i="7"/>
  <c r="T131" i="19"/>
  <c r="AL16" i="5"/>
  <c r="AJ16" i="24"/>
  <c r="V134" i="37"/>
  <c r="U136" i="37" s="1"/>
  <c r="AF15" i="37"/>
  <c r="AF16" i="37" s="1"/>
  <c r="AA16" i="37"/>
  <c r="H29" i="37" s="1"/>
  <c r="L31" i="37" s="1"/>
  <c r="T131" i="7"/>
  <c r="H32" i="55"/>
  <c r="J37" i="1" s="1"/>
  <c r="L51" i="1" s="1"/>
  <c r="T131" i="24"/>
  <c r="O17" i="8"/>
  <c r="Q88" i="8" s="1"/>
  <c r="G65" i="8"/>
  <c r="H17" i="8"/>
  <c r="H23" i="8" s="1"/>
  <c r="G66" i="8"/>
  <c r="V124" i="7"/>
  <c r="U126" i="7" s="1"/>
  <c r="AF14" i="7"/>
  <c r="AJ16" i="22"/>
  <c r="AL16" i="22"/>
  <c r="H17" i="6"/>
  <c r="H23" i="6" s="1"/>
  <c r="G65" i="6"/>
  <c r="O17" i="6"/>
  <c r="Q88" i="6" s="1"/>
  <c r="G66" i="6"/>
  <c r="AJ16" i="14"/>
  <c r="G65" i="19"/>
  <c r="G66" i="19"/>
  <c r="O17" i="19"/>
  <c r="Q88" i="19" s="1"/>
  <c r="H17" i="19"/>
  <c r="G65" i="15"/>
  <c r="O17" i="15"/>
  <c r="Q88" i="15" s="1"/>
  <c r="G66" i="15"/>
  <c r="H17" i="15"/>
  <c r="H23" i="15" s="1"/>
  <c r="AL16" i="37"/>
  <c r="T131" i="22"/>
  <c r="T131" i="14"/>
  <c r="H20" i="33"/>
  <c r="G66" i="33"/>
  <c r="G65" i="33"/>
  <c r="O17" i="33"/>
  <c r="Q88" i="33" s="1"/>
  <c r="G66" i="14"/>
  <c r="G65" i="14"/>
  <c r="O17" i="14"/>
  <c r="Q88" i="14" s="1"/>
  <c r="H17" i="14"/>
  <c r="H23" i="14" s="1"/>
  <c r="G65" i="34"/>
  <c r="O17" i="34"/>
  <c r="Q88" i="34" s="1"/>
  <c r="G66" i="34"/>
  <c r="H20" i="34"/>
  <c r="J23" i="1"/>
  <c r="J28" i="1" s="1"/>
  <c r="H29" i="55"/>
  <c r="J33" i="1" s="1"/>
  <c r="V134" i="33"/>
  <c r="U136" i="33" s="1"/>
  <c r="AF15" i="33"/>
  <c r="AF16" i="33" s="1"/>
  <c r="AA16" i="33"/>
  <c r="H29" i="33" s="1"/>
  <c r="L31" i="33" s="1"/>
  <c r="G65" i="35"/>
  <c r="O17" i="35"/>
  <c r="Q88" i="35" s="1"/>
  <c r="G66" i="35"/>
  <c r="H20" i="35"/>
  <c r="G66" i="24"/>
  <c r="G65" i="24"/>
  <c r="O17" i="24"/>
  <c r="Q88" i="24" s="1"/>
  <c r="H17" i="24"/>
  <c r="AF15" i="34"/>
  <c r="AF16" i="34" s="1"/>
  <c r="V134" i="34"/>
  <c r="U136" i="34" s="1"/>
  <c r="AA16" i="34"/>
  <c r="H29" i="34" s="1"/>
  <c r="L31" i="34" s="1"/>
  <c r="C58" i="40"/>
  <c r="N58" i="40"/>
  <c r="F58" i="40"/>
  <c r="I58" i="40"/>
  <c r="D58" i="40"/>
  <c r="M58" i="40"/>
  <c r="B58" i="40"/>
  <c r="L58" i="40"/>
  <c r="J58" i="40"/>
  <c r="P58" i="40"/>
  <c r="E58" i="40"/>
  <c r="K58" i="40"/>
  <c r="O58" i="40"/>
  <c r="Q19" i="57"/>
  <c r="AU6" i="19"/>
  <c r="L7" i="57"/>
  <c r="L10" i="57"/>
  <c r="AS6" i="8"/>
  <c r="AS7" i="4"/>
  <c r="AU8" i="4"/>
  <c r="AU7" i="17"/>
  <c r="P24" i="57"/>
  <c r="L2" i="57"/>
  <c r="AS7" i="22"/>
  <c r="AU16" i="34"/>
  <c r="AU6" i="8"/>
  <c r="AS6" i="17"/>
  <c r="AS16" i="33"/>
  <c r="AU7" i="24"/>
  <c r="U5" i="57"/>
  <c r="AS6" i="24"/>
  <c r="AU15" i="60"/>
  <c r="AU7" i="5"/>
  <c r="AS6" i="15"/>
  <c r="AU6" i="16"/>
  <c r="AS15" i="60"/>
  <c r="AS6" i="7"/>
  <c r="AS5" i="16"/>
  <c r="AS6" i="10"/>
  <c r="AS6" i="20"/>
  <c r="AU16" i="33"/>
  <c r="AU7" i="20"/>
  <c r="AS16" i="34"/>
  <c r="AU7" i="22"/>
  <c r="U10" i="57"/>
  <c r="L5" i="57"/>
  <c r="U2" i="57"/>
  <c r="AU8" i="15"/>
  <c r="AU7" i="10"/>
  <c r="AU7" i="11"/>
  <c r="AS15" i="35"/>
  <c r="AS5" i="19"/>
  <c r="L4" i="57"/>
  <c r="Q21" i="57"/>
  <c r="AU6" i="6"/>
  <c r="AU15" i="35"/>
  <c r="AU14" i="37"/>
  <c r="AS5" i="14"/>
  <c r="AS7" i="24"/>
  <c r="AU6" i="14"/>
  <c r="AS13" i="37"/>
  <c r="U4" i="57"/>
  <c r="Q20" i="57"/>
  <c r="AU7" i="7"/>
  <c r="AS5" i="6"/>
  <c r="AS6" i="5"/>
  <c r="AS6" i="11"/>
  <c r="AU8" i="24"/>
  <c r="AA16" i="15" l="1"/>
  <c r="H27" i="15" s="1"/>
  <c r="L31" i="15" s="1"/>
  <c r="AA16" i="6"/>
  <c r="H27" i="6" s="1"/>
  <c r="L31" i="6" s="1"/>
  <c r="V134" i="19"/>
  <c r="U136" i="19" s="1"/>
  <c r="AF15" i="17"/>
  <c r="AF16" i="17" s="1"/>
  <c r="C59" i="40"/>
  <c r="C60" i="40" s="1"/>
  <c r="AF15" i="19"/>
  <c r="AF16" i="19" s="1"/>
  <c r="V134" i="8"/>
  <c r="U136" i="8" s="1"/>
  <c r="N59" i="40"/>
  <c r="N60" i="40" s="1"/>
  <c r="V134" i="16"/>
  <c r="U136" i="16" s="1"/>
  <c r="V134" i="17"/>
  <c r="U136" i="17" s="1"/>
  <c r="AF15" i="8"/>
  <c r="AF16" i="8" s="1"/>
  <c r="F59" i="40"/>
  <c r="F60" i="40" s="1"/>
  <c r="V134" i="24"/>
  <c r="U136" i="24" s="1"/>
  <c r="V134" i="7"/>
  <c r="U136" i="7" s="1"/>
  <c r="AF16" i="16"/>
  <c r="AF15" i="15"/>
  <c r="AF16" i="15" s="1"/>
  <c r="AA16" i="16"/>
  <c r="H27" i="16" s="1"/>
  <c r="L31" i="16" s="1"/>
  <c r="AF15" i="6"/>
  <c r="AF16" i="6" s="1"/>
  <c r="V134" i="4"/>
  <c r="U136" i="4" s="1"/>
  <c r="AF15" i="7"/>
  <c r="AF16" i="7" s="1"/>
  <c r="AF15" i="4"/>
  <c r="AF16" i="4" s="1"/>
  <c r="AA16" i="14"/>
  <c r="H27" i="14" s="1"/>
  <c r="L31" i="14" s="1"/>
  <c r="AF15" i="20"/>
  <c r="AF16" i="20" s="1"/>
  <c r="AA16" i="22"/>
  <c r="H27" i="22" s="1"/>
  <c r="V134" i="22"/>
  <c r="U136" i="22" s="1"/>
  <c r="D59" i="40"/>
  <c r="D60" i="40" s="1"/>
  <c r="I59" i="40"/>
  <c r="I60" i="40" s="1"/>
  <c r="E59" i="40"/>
  <c r="E60" i="40" s="1"/>
  <c r="P59" i="40"/>
  <c r="P60" i="40" s="1"/>
  <c r="J59" i="40"/>
  <c r="J60" i="40" s="1"/>
  <c r="L59" i="40"/>
  <c r="L60" i="40" s="1"/>
  <c r="B59" i="40"/>
  <c r="B60" i="40" s="1"/>
  <c r="M59" i="40"/>
  <c r="M60" i="40" s="1"/>
  <c r="AF15" i="14"/>
  <c r="AF16" i="14" s="1"/>
  <c r="O59" i="40"/>
  <c r="O60" i="40" s="1"/>
  <c r="K59" i="40"/>
  <c r="K60" i="40" s="1"/>
  <c r="C50" i="55"/>
  <c r="H27" i="55"/>
  <c r="H31" i="55" s="1"/>
  <c r="H34" i="55" s="1"/>
  <c r="H37" i="55" s="1"/>
  <c r="AF15" i="24"/>
  <c r="AF16" i="24" s="1"/>
  <c r="S48" i="11"/>
  <c r="S48" i="5"/>
  <c r="S38" i="6"/>
  <c r="S118" i="37"/>
  <c r="S58" i="24"/>
  <c r="S38" i="14"/>
  <c r="S38" i="19"/>
  <c r="S138" i="35"/>
  <c r="S48" i="20"/>
  <c r="S48" i="10"/>
  <c r="S38" i="16"/>
  <c r="S48" i="7"/>
  <c r="S138" i="60"/>
  <c r="S48" i="15"/>
  <c r="S48" i="24"/>
  <c r="S48" i="17"/>
  <c r="S58" i="22"/>
  <c r="S58" i="4"/>
  <c r="S48" i="8"/>
  <c r="H75" i="24"/>
  <c r="H66" i="24"/>
  <c r="G75" i="24"/>
  <c r="H23" i="34"/>
  <c r="L31" i="19"/>
  <c r="H75" i="37"/>
  <c r="G75" i="37"/>
  <c r="H66" i="37"/>
  <c r="H23" i="35"/>
  <c r="H75" i="34"/>
  <c r="H66" i="34"/>
  <c r="G75" i="34"/>
  <c r="H23" i="19"/>
  <c r="H75" i="35"/>
  <c r="G75" i="35"/>
  <c r="H66" i="35"/>
  <c r="L31" i="17"/>
  <c r="H23" i="20"/>
  <c r="L31" i="24"/>
  <c r="H66" i="19"/>
  <c r="H75" i="19"/>
  <c r="G75" i="19"/>
  <c r="H31" i="54"/>
  <c r="H34" i="54" s="1"/>
  <c r="H37" i="54" s="1"/>
  <c r="H66" i="7"/>
  <c r="H75" i="7"/>
  <c r="G75" i="7"/>
  <c r="G75" i="20"/>
  <c r="H75" i="20"/>
  <c r="H66" i="20"/>
  <c r="L31" i="20"/>
  <c r="G75" i="8"/>
  <c r="H66" i="8"/>
  <c r="H75" i="8"/>
  <c r="H66" i="16"/>
  <c r="H75" i="16"/>
  <c r="G75" i="16"/>
  <c r="H66" i="14"/>
  <c r="H75" i="14"/>
  <c r="G75" i="14"/>
  <c r="H23" i="17"/>
  <c r="H66" i="4"/>
  <c r="G75" i="4"/>
  <c r="H75" i="4"/>
  <c r="H75" i="22"/>
  <c r="H66" i="22"/>
  <c r="G75" i="22"/>
  <c r="H23" i="24"/>
  <c r="H23" i="22"/>
  <c r="G75" i="5"/>
  <c r="H75" i="5"/>
  <c r="H66" i="5"/>
  <c r="H75" i="33"/>
  <c r="G75" i="33"/>
  <c r="H66" i="33"/>
  <c r="H75" i="15"/>
  <c r="H66" i="15"/>
  <c r="G75" i="15"/>
  <c r="H75" i="6"/>
  <c r="H66" i="6"/>
  <c r="G75" i="6"/>
  <c r="H75" i="17"/>
  <c r="H66" i="17"/>
  <c r="G75" i="17"/>
  <c r="H23" i="33"/>
  <c r="U7" i="57"/>
  <c r="AU16" i="35"/>
  <c r="AS7" i="5"/>
  <c r="AS7" i="7"/>
  <c r="AU9" i="15"/>
  <c r="AU8" i="10"/>
  <c r="AS16" i="35"/>
  <c r="AU9" i="24"/>
  <c r="AS7" i="15"/>
  <c r="AU8" i="20"/>
  <c r="AS6" i="14"/>
  <c r="AU8" i="11"/>
  <c r="AS14" i="37"/>
  <c r="AU7" i="19"/>
  <c r="AS7" i="11"/>
  <c r="AU15" i="37"/>
  <c r="AS8" i="24"/>
  <c r="AS8" i="4"/>
  <c r="AS6" i="6"/>
  <c r="AS7" i="17"/>
  <c r="AU7" i="8"/>
  <c r="AS8" i="22"/>
  <c r="AS7" i="10"/>
  <c r="AU9" i="4"/>
  <c r="AU8" i="5"/>
  <c r="AS16" i="60"/>
  <c r="AU8" i="17"/>
  <c r="AS6" i="19"/>
  <c r="AU7" i="16"/>
  <c r="AU8" i="7"/>
  <c r="AS7" i="8"/>
  <c r="AU7" i="6"/>
  <c r="AU8" i="22"/>
  <c r="AS7" i="20"/>
  <c r="AU16" i="60"/>
  <c r="AS6" i="16"/>
  <c r="AU7" i="14"/>
  <c r="J31" i="1" l="1"/>
  <c r="J35" i="1" s="1"/>
  <c r="K51" i="1" s="1"/>
  <c r="L31" i="22"/>
  <c r="S48" i="16"/>
  <c r="S58" i="20"/>
  <c r="S58" i="8"/>
  <c r="S48" i="19"/>
  <c r="S58" i="10"/>
  <c r="S68" i="22"/>
  <c r="S58" i="17"/>
  <c r="S48" i="6"/>
  <c r="S68" i="4"/>
  <c r="S68" i="24"/>
  <c r="S58" i="11"/>
  <c r="S128" i="37"/>
  <c r="S48" i="14"/>
  <c r="S58" i="15"/>
  <c r="S58" i="7"/>
  <c r="S58" i="5"/>
  <c r="AU8" i="8"/>
  <c r="AS9" i="24"/>
  <c r="AS7" i="16"/>
  <c r="AU9" i="22"/>
  <c r="AS9" i="4"/>
  <c r="AU9" i="5"/>
  <c r="AS7" i="6"/>
  <c r="AU16" i="37"/>
  <c r="AU9" i="20"/>
  <c r="AS8" i="8"/>
  <c r="AU10" i="15"/>
  <c r="AS9" i="22"/>
  <c r="AS8" i="20"/>
  <c r="AS8" i="15"/>
  <c r="AS7" i="14"/>
  <c r="AS8" i="10"/>
  <c r="AU10" i="24"/>
  <c r="AU8" i="6"/>
  <c r="AS8" i="5"/>
  <c r="AU9" i="17"/>
  <c r="AU8" i="14"/>
  <c r="AU9" i="10"/>
  <c r="AS15" i="37"/>
  <c r="AU8" i="16"/>
  <c r="AS8" i="7"/>
  <c r="AU9" i="11"/>
  <c r="AU9" i="7"/>
  <c r="AU10" i="4"/>
  <c r="AS8" i="17"/>
  <c r="AS7" i="19"/>
  <c r="AS8" i="11"/>
  <c r="AU8" i="19"/>
  <c r="S68" i="11" l="1"/>
  <c r="S58" i="19"/>
  <c r="S68" i="17"/>
  <c r="S68" i="7"/>
  <c r="S138" i="37"/>
  <c r="S68" i="5"/>
  <c r="S68" i="10"/>
  <c r="S58" i="14"/>
  <c r="S68" i="15"/>
  <c r="S68" i="20"/>
  <c r="S78" i="22"/>
  <c r="S68" i="8"/>
  <c r="S58" i="6"/>
  <c r="S78" i="4"/>
  <c r="S58" i="16"/>
  <c r="S78" i="24"/>
  <c r="AU9" i="6"/>
  <c r="AS10" i="24"/>
  <c r="AU9" i="16"/>
  <c r="AS10" i="22"/>
  <c r="AS9" i="20"/>
  <c r="AU10" i="22"/>
  <c r="AS9" i="15"/>
  <c r="AU10" i="20"/>
  <c r="AU9" i="14"/>
  <c r="AU10" i="10"/>
  <c r="AS16" i="37"/>
  <c r="AU11" i="24"/>
  <c r="AS9" i="17"/>
  <c r="AS9" i="10"/>
  <c r="AS9" i="7"/>
  <c r="AU9" i="8"/>
  <c r="AS8" i="14"/>
  <c r="AU10" i="5"/>
  <c r="AS10" i="4"/>
  <c r="AS9" i="5"/>
  <c r="AS8" i="6"/>
  <c r="AU10" i="17"/>
  <c r="AS8" i="19"/>
  <c r="AU10" i="11"/>
  <c r="AU11" i="15"/>
  <c r="AU11" i="4"/>
  <c r="AU10" i="7"/>
  <c r="AS9" i="8"/>
  <c r="AS8" i="16"/>
  <c r="AU9" i="19"/>
  <c r="AS9" i="11"/>
  <c r="S78" i="11" l="1"/>
  <c r="S68" i="16"/>
  <c r="S78" i="8"/>
  <c r="S68" i="19"/>
  <c r="S68" i="6"/>
  <c r="S78" i="5"/>
  <c r="S88" i="4"/>
  <c r="S68" i="14"/>
  <c r="S78" i="7"/>
  <c r="S78" i="10"/>
  <c r="S78" i="17"/>
  <c r="S78" i="15"/>
  <c r="S78" i="20"/>
  <c r="S88" i="22"/>
  <c r="S88" i="24"/>
  <c r="AS9" i="16"/>
  <c r="AS11" i="22"/>
  <c r="AS10" i="20"/>
  <c r="AS11" i="24"/>
  <c r="AS10" i="15"/>
  <c r="AU12" i="15"/>
  <c r="AS9" i="14"/>
  <c r="AS10" i="10"/>
  <c r="AS10" i="8"/>
  <c r="AU11" i="5"/>
  <c r="AS10" i="17"/>
  <c r="AS10" i="11"/>
  <c r="AS10" i="7"/>
  <c r="AU11" i="20"/>
  <c r="AS9" i="6"/>
  <c r="AU10" i="8"/>
  <c r="AU11" i="22"/>
  <c r="AU11" i="17"/>
  <c r="AU10" i="14"/>
  <c r="AU11" i="10"/>
  <c r="AU11" i="7"/>
  <c r="AU12" i="4"/>
  <c r="AU10" i="6"/>
  <c r="AU10" i="19"/>
  <c r="AS10" i="5"/>
  <c r="AU10" i="16"/>
  <c r="AS9" i="19"/>
  <c r="AU11" i="11"/>
  <c r="AU12" i="24"/>
  <c r="AS11" i="4"/>
  <c r="S98" i="4" l="1"/>
  <c r="S78" i="19"/>
  <c r="S88" i="5"/>
  <c r="S78" i="6"/>
  <c r="S88" i="7"/>
  <c r="S88" i="11"/>
  <c r="S88" i="17"/>
  <c r="S88" i="8"/>
  <c r="S88" i="10"/>
  <c r="S78" i="14"/>
  <c r="S88" i="15"/>
  <c r="S98" i="24"/>
  <c r="S88" i="20"/>
  <c r="S98" i="22"/>
  <c r="S78" i="16"/>
  <c r="AU12" i="22"/>
  <c r="AU13" i="15"/>
  <c r="AU13" i="24"/>
  <c r="AS12" i="22"/>
  <c r="AS12" i="4"/>
  <c r="AU12" i="5"/>
  <c r="AS11" i="15"/>
  <c r="AU11" i="14"/>
  <c r="AS12" i="24"/>
  <c r="AS11" i="5"/>
  <c r="AU13" i="4"/>
  <c r="AS11" i="17"/>
  <c r="AS10" i="14"/>
  <c r="AS11" i="10"/>
  <c r="AU11" i="16"/>
  <c r="AS11" i="7"/>
  <c r="AU12" i="10"/>
  <c r="AU11" i="19"/>
  <c r="AU12" i="11"/>
  <c r="AS10" i="19"/>
  <c r="AU12" i="20"/>
  <c r="AU12" i="7"/>
  <c r="AU12" i="17"/>
  <c r="AS11" i="8"/>
  <c r="AU11" i="6"/>
  <c r="AS10" i="16"/>
  <c r="AS11" i="11"/>
  <c r="AS10" i="6"/>
  <c r="AS11" i="20"/>
  <c r="AU11" i="8"/>
  <c r="S98" i="20" l="1"/>
  <c r="S88" i="6"/>
  <c r="S98" i="11"/>
  <c r="S88" i="16"/>
  <c r="S98" i="8"/>
  <c r="S88" i="19"/>
  <c r="S98" i="7"/>
  <c r="S98" i="10"/>
  <c r="S88" i="14"/>
  <c r="S98" i="17"/>
  <c r="S98" i="5"/>
  <c r="S108" i="24"/>
  <c r="S98" i="15"/>
  <c r="S108" i="4"/>
  <c r="S108" i="22"/>
  <c r="AU14" i="4"/>
  <c r="AU12" i="8"/>
  <c r="AS13" i="22"/>
  <c r="AS13" i="4"/>
  <c r="AU13" i="22"/>
  <c r="AS13" i="24"/>
  <c r="AU13" i="20"/>
  <c r="AS11" i="14"/>
  <c r="AS12" i="10"/>
  <c r="AU13" i="10"/>
  <c r="AU12" i="6"/>
  <c r="AU13" i="17"/>
  <c r="AS12" i="15"/>
  <c r="AS12" i="7"/>
  <c r="AU12" i="14"/>
  <c r="AU14" i="15"/>
  <c r="AU13" i="5"/>
  <c r="AS12" i="17"/>
  <c r="AS11" i="19"/>
  <c r="AS12" i="11"/>
  <c r="AS12" i="8"/>
  <c r="AU13" i="7"/>
  <c r="AU14" i="24"/>
  <c r="AS11" i="16"/>
  <c r="AU12" i="19"/>
  <c r="AU13" i="11"/>
  <c r="AU12" i="16"/>
  <c r="AS12" i="5"/>
  <c r="AS11" i="6"/>
  <c r="AS12" i="20"/>
  <c r="S108" i="20" l="1"/>
  <c r="S98" i="6"/>
  <c r="S108" i="5"/>
  <c r="S98" i="16"/>
  <c r="S108" i="8"/>
  <c r="S108" i="11"/>
  <c r="S98" i="19"/>
  <c r="S108" i="17"/>
  <c r="S108" i="7"/>
  <c r="S108" i="15"/>
  <c r="S108" i="10"/>
  <c r="S98" i="14"/>
  <c r="S118" i="24"/>
  <c r="S118" i="4"/>
  <c r="S118" i="22"/>
  <c r="AU14" i="7"/>
  <c r="AU15" i="4"/>
  <c r="AU15" i="15"/>
  <c r="AU13" i="14"/>
  <c r="AU14" i="10"/>
  <c r="AS12" i="6"/>
  <c r="AU13" i="19"/>
  <c r="AS13" i="15"/>
  <c r="AS13" i="7"/>
  <c r="AU14" i="20"/>
  <c r="AS14" i="24"/>
  <c r="AS13" i="17"/>
  <c r="AS12" i="14"/>
  <c r="AS13" i="10"/>
  <c r="AU14" i="17"/>
  <c r="AU14" i="11"/>
  <c r="AS13" i="11"/>
  <c r="AS13" i="8"/>
  <c r="AS13" i="5"/>
  <c r="AU13" i="16"/>
  <c r="AU14" i="5"/>
  <c r="AS12" i="19"/>
  <c r="AU14" i="22"/>
  <c r="AU13" i="6"/>
  <c r="AS14" i="4"/>
  <c r="AU15" i="24"/>
  <c r="AU13" i="8"/>
  <c r="AS12" i="16"/>
  <c r="AS14" i="22"/>
  <c r="AS13" i="20"/>
  <c r="S118" i="20" l="1"/>
  <c r="S128" i="22"/>
  <c r="S108" i="16"/>
  <c r="S128" i="4"/>
  <c r="S108" i="19"/>
  <c r="S118" i="5"/>
  <c r="S118" i="8"/>
  <c r="S118" i="11"/>
  <c r="S118" i="10"/>
  <c r="S108" i="14"/>
  <c r="S118" i="17"/>
  <c r="S128" i="24"/>
  <c r="S118" i="7"/>
  <c r="S118" i="15"/>
  <c r="S108" i="6"/>
  <c r="AU16" i="4"/>
  <c r="AS15" i="24"/>
  <c r="AU14" i="8"/>
  <c r="AS15" i="4"/>
  <c r="AS14" i="7"/>
  <c r="AU16" i="24"/>
  <c r="AU16" i="15"/>
  <c r="AS14" i="20"/>
  <c r="AU15" i="10"/>
  <c r="AS14" i="15"/>
  <c r="AU15" i="20"/>
  <c r="AU15" i="22"/>
  <c r="AU14" i="6"/>
  <c r="AU14" i="14"/>
  <c r="AS14" i="5"/>
  <c r="AU15" i="5"/>
  <c r="AS14" i="17"/>
  <c r="AS13" i="14"/>
  <c r="AS15" i="22"/>
  <c r="AU14" i="16"/>
  <c r="AS14" i="10"/>
  <c r="AS13" i="16"/>
  <c r="AU15" i="11"/>
  <c r="AS13" i="6"/>
  <c r="AU15" i="17"/>
  <c r="AS13" i="19"/>
  <c r="AS14" i="11"/>
  <c r="AU15" i="7"/>
  <c r="AU14" i="19"/>
  <c r="AS14" i="8"/>
  <c r="S128" i="8" l="1"/>
  <c r="S128" i="11"/>
  <c r="S118" i="19"/>
  <c r="S118" i="6"/>
  <c r="S118" i="16"/>
  <c r="S128" i="10"/>
  <c r="S138" i="22"/>
  <c r="S118" i="14"/>
  <c r="S128" i="17"/>
  <c r="S128" i="5"/>
  <c r="S128" i="15"/>
  <c r="S128" i="20"/>
  <c r="S128" i="7"/>
  <c r="S138" i="4"/>
  <c r="S138" i="24"/>
  <c r="AU15" i="6"/>
  <c r="AS15" i="10"/>
  <c r="AU15" i="19"/>
  <c r="AU16" i="11"/>
  <c r="AS15" i="7"/>
  <c r="AU16" i="17"/>
  <c r="AS15" i="15"/>
  <c r="AU16" i="7"/>
  <c r="AS15" i="17"/>
  <c r="AS15" i="11"/>
  <c r="AS14" i="19"/>
  <c r="AS16" i="4"/>
  <c r="AS14" i="6"/>
  <c r="AU15" i="16"/>
  <c r="AS15" i="20"/>
  <c r="AU16" i="22"/>
  <c r="AS16" i="24"/>
  <c r="AS14" i="16"/>
  <c r="AU15" i="8"/>
  <c r="AS14" i="14"/>
  <c r="AU16" i="10"/>
  <c r="AU15" i="14"/>
  <c r="AU16" i="5"/>
  <c r="AS16" i="22"/>
  <c r="AS15" i="8"/>
  <c r="AU16" i="20"/>
  <c r="AS15" i="5"/>
  <c r="S138" i="5" l="1"/>
  <c r="S138" i="8"/>
  <c r="S128" i="14"/>
  <c r="S128" i="16"/>
  <c r="S138" i="20"/>
  <c r="S128" i="6"/>
  <c r="S128" i="19"/>
  <c r="S138" i="11"/>
  <c r="S138" i="17"/>
  <c r="S138" i="15"/>
  <c r="S138" i="7"/>
  <c r="S138" i="10"/>
  <c r="AS16" i="8"/>
  <c r="AU16" i="14"/>
  <c r="AS16" i="20"/>
  <c r="AS16" i="7"/>
  <c r="AS15" i="14"/>
  <c r="AU16" i="6"/>
  <c r="AU16" i="8"/>
  <c r="AS16" i="17"/>
  <c r="AU16" i="19"/>
  <c r="AS16" i="15"/>
  <c r="AS16" i="5"/>
  <c r="AS15" i="19"/>
  <c r="AS16" i="11"/>
  <c r="AU16" i="16"/>
  <c r="AS15" i="16"/>
  <c r="AS15" i="6"/>
  <c r="AS16" i="10"/>
  <c r="S138" i="6" l="1"/>
  <c r="S138" i="16"/>
  <c r="S138" i="19"/>
  <c r="S138" i="14"/>
  <c r="AS17" i="20"/>
  <c r="AS17" i="34"/>
  <c r="AS17" i="8"/>
  <c r="AS17" i="33"/>
  <c r="AS17" i="11"/>
  <c r="AS17" i="5"/>
  <c r="AS17" i="4"/>
  <c r="AS17" i="10"/>
  <c r="AS17" i="16"/>
  <c r="AS17" i="37"/>
  <c r="AS17" i="59"/>
  <c r="AS17" i="60"/>
  <c r="AS17" i="35"/>
  <c r="AS17" i="17"/>
  <c r="AS17" i="15"/>
  <c r="AS17" i="19"/>
  <c r="AS17" i="24"/>
  <c r="AS17" i="6"/>
  <c r="AS17" i="7"/>
  <c r="AS17" i="22"/>
  <c r="AS17" i="14"/>
  <c r="AS16" i="19"/>
  <c r="AS16" i="6"/>
  <c r="AS16" i="16"/>
  <c r="AS1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3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300-000002000000}">
      <text>
        <r>
          <rPr>
            <sz val="11"/>
            <color theme="1"/>
            <rFont val="Calibri"/>
            <family val="2"/>
            <scheme val="minor"/>
          </rPr>
          <t xml:space="preserve">chris gauci:
Hours before december calculated as per january
</t>
        </r>
      </text>
    </comment>
    <comment ref="W6" authorId="0" shapeId="0" xr:uid="{00000000-0006-0000-03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4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400-000002000000}">
      <text>
        <r>
          <rPr>
            <sz val="11"/>
            <color theme="1"/>
            <rFont val="Calibri"/>
            <family val="2"/>
            <scheme val="minor"/>
          </rPr>
          <t xml:space="preserve">chris gauci:
Hours before december calculated as per january
</t>
        </r>
      </text>
    </comment>
    <comment ref="W6" authorId="0" shapeId="0" xr:uid="{00000000-0006-0000-04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5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500-000002000000}">
      <text>
        <r>
          <rPr>
            <sz val="11"/>
            <color theme="1"/>
            <rFont val="Calibri"/>
            <family val="2"/>
            <scheme val="minor"/>
          </rPr>
          <t xml:space="preserve">chris gauci:
Hours before december calculated as per january
</t>
        </r>
      </text>
    </comment>
    <comment ref="W6" authorId="0" shapeId="0" xr:uid="{00000000-0006-0000-05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6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600-000002000000}">
      <text>
        <r>
          <rPr>
            <sz val="11"/>
            <color theme="1"/>
            <rFont val="Calibri"/>
            <family val="2"/>
            <scheme val="minor"/>
          </rPr>
          <t xml:space="preserve">chris gauci:
Hours before december calculated as per january
</t>
        </r>
      </text>
    </comment>
    <comment ref="W6" authorId="0" shapeId="0" xr:uid="{00000000-0006-0000-06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7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700-000002000000}">
      <text>
        <r>
          <rPr>
            <sz val="11"/>
            <color theme="1"/>
            <rFont val="Calibri"/>
            <family val="2"/>
            <scheme val="minor"/>
          </rPr>
          <t xml:space="preserve">chris gauci:
Hours before december calculated as per january
</t>
        </r>
      </text>
    </comment>
    <comment ref="W6" authorId="0" shapeId="0" xr:uid="{00000000-0006-0000-07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9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900-000002000000}">
      <text>
        <r>
          <rPr>
            <sz val="11"/>
            <color theme="1"/>
            <rFont val="Calibri"/>
            <family val="2"/>
            <scheme val="minor"/>
          </rPr>
          <t xml:space="preserve">chris gauci:
Hours before december calculated as per january
</t>
        </r>
      </text>
    </comment>
    <comment ref="W6" authorId="0" shapeId="0" xr:uid="{00000000-0006-0000-09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A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A00-000002000000}">
      <text>
        <r>
          <rPr>
            <sz val="11"/>
            <color theme="1"/>
            <rFont val="Calibri"/>
            <family val="2"/>
            <scheme val="minor"/>
          </rPr>
          <t xml:space="preserve">chris gauci:
Hours before december calculated as per january
</t>
        </r>
      </text>
    </comment>
    <comment ref="W6" authorId="0" shapeId="0" xr:uid="{00000000-0006-0000-0A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D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D00-000002000000}">
      <text>
        <r>
          <rPr>
            <sz val="11"/>
            <color theme="1"/>
            <rFont val="Calibri"/>
            <family val="2"/>
            <scheme val="minor"/>
          </rPr>
          <t xml:space="preserve">chris gauci:
Hours before december calculated as per january
</t>
        </r>
      </text>
    </comment>
    <comment ref="W6" authorId="0" shapeId="0" xr:uid="{00000000-0006-0000-0D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E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E00-000002000000}">
      <text>
        <r>
          <rPr>
            <sz val="11"/>
            <color theme="1"/>
            <rFont val="Calibri"/>
            <family val="2"/>
            <scheme val="minor"/>
          </rPr>
          <t xml:space="preserve">chris gauci:
Hours before december calculated as per january
</t>
        </r>
      </text>
    </comment>
    <comment ref="W6" authorId="0" shapeId="0" xr:uid="{00000000-0006-0000-0E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0F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0F00-000002000000}">
      <text>
        <r>
          <rPr>
            <sz val="11"/>
            <color theme="1"/>
            <rFont val="Calibri"/>
            <family val="2"/>
            <scheme val="minor"/>
          </rPr>
          <t xml:space="preserve">chris gauci:
Hours before december calculated as per january
</t>
        </r>
      </text>
    </comment>
    <comment ref="W6" authorId="0" shapeId="0" xr:uid="{00000000-0006-0000-0F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10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1000-000002000000}">
      <text>
        <r>
          <rPr>
            <sz val="11"/>
            <color theme="1"/>
            <rFont val="Calibri"/>
            <family val="2"/>
            <scheme val="minor"/>
          </rPr>
          <t xml:space="preserve">chris gauci:
Hours before december calculated as per january
</t>
        </r>
      </text>
    </comment>
    <comment ref="W6" authorId="0" shapeId="0" xr:uid="{00000000-0006-0000-10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12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1200-000002000000}">
      <text>
        <r>
          <rPr>
            <sz val="11"/>
            <color theme="1"/>
            <rFont val="Calibri"/>
            <family val="2"/>
            <scheme val="minor"/>
          </rPr>
          <t xml:space="preserve">chris gauci:
Hours before december calculated as per january
</t>
        </r>
      </text>
    </comment>
    <comment ref="W6" authorId="0" shapeId="0" xr:uid="{00000000-0006-0000-12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13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1300-000002000000}">
      <text>
        <r>
          <rPr>
            <sz val="11"/>
            <color theme="1"/>
            <rFont val="Calibri"/>
            <family val="2"/>
            <scheme val="minor"/>
          </rPr>
          <t xml:space="preserve">chris gauci:
Hours before december calculated as per january
</t>
        </r>
      </text>
    </comment>
    <comment ref="W6" authorId="0" shapeId="0" xr:uid="{00000000-0006-0000-13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15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1500-000002000000}">
      <text>
        <r>
          <rPr>
            <sz val="11"/>
            <color theme="1"/>
            <rFont val="Calibri"/>
            <family val="2"/>
            <scheme val="minor"/>
          </rPr>
          <t xml:space="preserve">chris gauci:
Hours before december calculated as per january
</t>
        </r>
      </text>
    </comment>
    <comment ref="W6" authorId="0" shapeId="0" xr:uid="{00000000-0006-0000-15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F0FE3407-0FB0-4B78-BA40-8F9D955DD6AF}">
      <text>
        <r>
          <rPr>
            <sz val="11"/>
            <color theme="1"/>
            <rFont val="Calibri"/>
            <family val="2"/>
            <scheme val="minor"/>
          </rPr>
          <t xml:space="preserve">chris gauci:
If Unpaid Leave is taken after payslip is issued, this needs to be inputted in following month
</t>
        </r>
      </text>
    </comment>
    <comment ref="AO3" authorId="0" shapeId="0" xr:uid="{FC383DD4-3F3B-4DAC-9F0E-BC60EAC5824E}">
      <text>
        <r>
          <rPr>
            <sz val="11"/>
            <color theme="1"/>
            <rFont val="Calibri"/>
            <family val="2"/>
            <scheme val="minor"/>
          </rPr>
          <t xml:space="preserve">chris gauci:
Hours before december calculated as per january
</t>
        </r>
      </text>
    </comment>
    <comment ref="W6" authorId="0" shapeId="0" xr:uid="{01FDA793-5952-4A4A-8F9B-DB94B65C9255}">
      <text>
        <r>
          <rPr>
            <sz val="11"/>
            <color theme="1"/>
            <rFont val="Calibri"/>
            <family val="2"/>
            <scheme val="minor"/>
          </rPr>
          <t>chris gauci:
This formula does not take in into account if the employee works less than 40 hrs in oct/nov/dec in previous year)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17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1700-000002000000}">
      <text>
        <r>
          <rPr>
            <sz val="11"/>
            <color theme="1"/>
            <rFont val="Calibri"/>
            <family val="2"/>
            <scheme val="minor"/>
          </rPr>
          <t xml:space="preserve">chris gauci:
Hours before december calculated as per january
</t>
        </r>
      </text>
    </comment>
    <comment ref="W6" authorId="0" shapeId="0" xr:uid="{00000000-0006-0000-17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20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2000-000002000000}">
      <text>
        <r>
          <rPr>
            <sz val="11"/>
            <color theme="1"/>
            <rFont val="Calibri"/>
            <family val="2"/>
            <scheme val="minor"/>
          </rPr>
          <t xml:space="preserve">chris gauci:
Hours before december calculated as per january
</t>
        </r>
      </text>
    </comment>
    <comment ref="W6" authorId="0" shapeId="0" xr:uid="{00000000-0006-0000-20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21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2100-000002000000}">
      <text>
        <r>
          <rPr>
            <sz val="11"/>
            <color theme="1"/>
            <rFont val="Calibri"/>
            <family val="2"/>
            <scheme val="minor"/>
          </rPr>
          <t xml:space="preserve">chris gauci:
Hours before december calculated as per january
</t>
        </r>
      </text>
    </comment>
    <comment ref="W6" authorId="0" shapeId="0" xr:uid="{00000000-0006-0000-21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22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2200-000002000000}">
      <text>
        <r>
          <rPr>
            <sz val="11"/>
            <color theme="1"/>
            <rFont val="Calibri"/>
            <family val="2"/>
            <scheme val="minor"/>
          </rPr>
          <t xml:space="preserve">chris gauci:
Hours before december calculated as per january
</t>
        </r>
      </text>
    </comment>
    <comment ref="W6" authorId="0" shapeId="0" xr:uid="{00000000-0006-0000-22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24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2400-000002000000}">
      <text>
        <r>
          <rPr>
            <sz val="11"/>
            <color theme="1"/>
            <rFont val="Calibri"/>
            <family val="2"/>
            <scheme val="minor"/>
          </rPr>
          <t xml:space="preserve">chris gauci:
Hours before december calculated as per january
</t>
        </r>
      </text>
    </comment>
    <comment ref="W6" authorId="0" shapeId="0" xr:uid="{00000000-0006-0000-2400-000003000000}">
      <text>
        <r>
          <rPr>
            <sz val="11"/>
            <color theme="1"/>
            <rFont val="Calibri"/>
            <family val="2"/>
            <scheme val="minor"/>
          </rPr>
          <t>chris gauci:
This formula does not take in into account if the employee works less than 40 hrs in oct/nov/dec in previous year)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X3" authorId="0" shapeId="0" xr:uid="{00000000-0006-0000-3700-000001000000}">
      <text>
        <r>
          <rPr>
            <sz val="11"/>
            <color theme="1"/>
            <rFont val="Calibri"/>
            <family val="2"/>
            <scheme val="minor"/>
          </rPr>
          <t xml:space="preserve">checked 2026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Keith</author>
    <author>David Galea</author>
    <author>galed082</author>
  </authors>
  <commentList>
    <comment ref="C1" authorId="0" shapeId="0" xr:uid="{00000000-0006-0000-3800-000001000000}">
      <text>
        <r>
          <rPr>
            <sz val="11"/>
            <color theme="1"/>
            <rFont val="Calibri"/>
            <family val="2"/>
            <scheme val="minor"/>
          </rPr>
          <t>Year
Length: 4
Note: Must be in yyyy format</t>
        </r>
      </text>
    </comment>
    <comment ref="D1" authorId="0" shapeId="0" xr:uid="{00000000-0006-0000-3800-000002000000}">
      <text>
        <r>
          <rPr>
            <sz val="11"/>
            <color theme="1"/>
            <rFont val="Calibri"/>
            <family val="2"/>
            <scheme val="minor"/>
          </rPr>
          <t xml:space="preserve">Payee's Surname
Max Length: 25
Note: Free format field - can contain blanks between words but no leading blanks and no hyphens "-" or other characters such as "(" or ")"
</t>
        </r>
      </text>
    </comment>
    <comment ref="E1" authorId="0" shapeId="0" xr:uid="{00000000-0006-0000-3800-000003000000}">
      <text>
        <r>
          <rPr>
            <sz val="11"/>
            <color theme="1"/>
            <rFont val="Calibri"/>
            <family val="2"/>
            <scheme val="minor"/>
          </rPr>
          <t xml:space="preserve">Payee's ID Card/IT Reg No.
Max Length: 9
Note: No spaces or brackets between the number and the letters of the ID card number
</t>
        </r>
      </text>
    </comment>
    <comment ref="F1" authorId="0" shapeId="0" xr:uid="{00000000-0006-0000-3800-000004000000}">
      <text>
        <r>
          <rPr>
            <sz val="11"/>
            <color theme="1"/>
            <rFont val="Calibri"/>
            <family val="2"/>
            <scheme val="minor"/>
          </rPr>
          <t xml:space="preserve">Payee's Social Security Number
Length: 9
Note: No spaces or brackets between characters. Format is X99999999
</t>
        </r>
      </text>
    </comment>
    <comment ref="G1" authorId="0" shapeId="0" xr:uid="{00000000-0006-0000-3800-000005000000}">
      <text>
        <r>
          <rPr>
            <sz val="11"/>
            <color theme="1"/>
            <rFont val="Calibri"/>
            <family val="2"/>
            <scheme val="minor"/>
          </rPr>
          <t>Spouse's ID Card / IT Reg Number
Max Length: 9
Note:No spaces or brackets between the numbers and the letters of the ID card number</t>
        </r>
      </text>
    </comment>
    <comment ref="H1" authorId="0" shapeId="0" xr:uid="{00000000-0006-0000-3800-000006000000}">
      <text>
        <r>
          <rPr>
            <sz val="11"/>
            <color theme="1"/>
            <rFont val="Calibri"/>
            <family val="2"/>
            <scheme val="minor"/>
          </rPr>
          <t xml:space="preserve">Period From
Length: 8
Note: Must be in ddmmyyyy format
</t>
        </r>
      </text>
    </comment>
    <comment ref="I1" authorId="0" shapeId="0" xr:uid="{00000000-0006-0000-3800-000007000000}">
      <text>
        <r>
          <rPr>
            <sz val="11"/>
            <color theme="1"/>
            <rFont val="Calibri"/>
            <family val="2"/>
            <scheme val="minor"/>
          </rPr>
          <t xml:space="preserve">Period To
Length: 8
Note: Must be in ddmmyyyy format
</t>
        </r>
      </text>
    </comment>
    <comment ref="J1" authorId="0" shapeId="0" xr:uid="{00000000-0006-0000-3800-000008000000}">
      <text>
        <r>
          <rPr>
            <sz val="11"/>
            <color theme="1"/>
            <rFont val="Calibri"/>
            <family val="2"/>
            <scheme val="minor"/>
          </rPr>
          <t xml:space="preserve">Gross Emoluments (Main &amp; Other)
Max Length: 6
Note: Numeric values only (no cents) and no negative numbers (i.e. with a "-" in front)
</t>
        </r>
      </text>
    </comment>
    <comment ref="K1" authorId="0" shapeId="0" xr:uid="{00000000-0006-0000-3800-000009000000}">
      <text>
        <r>
          <rPr>
            <sz val="11"/>
            <color theme="1"/>
            <rFont val="Calibri"/>
            <family val="2"/>
            <scheme val="minor"/>
          </rPr>
          <t xml:space="preserve">Overtime (Eligible for 15% tax deduction)
Max Length: 6
Note: Numeric values only (no cents) and no negative numbers (i.e. with a "-" in front)
</t>
        </r>
      </text>
    </comment>
    <comment ref="L1" authorId="0" shapeId="0" xr:uid="{00000000-0006-0000-3800-00000A000000}">
      <text>
        <r>
          <rPr>
            <sz val="11"/>
            <color theme="1"/>
            <rFont val="Calibri"/>
            <family val="2"/>
            <scheme val="minor"/>
          </rPr>
          <t xml:space="preserve">Director’s Fees
Max Length: 6
Note: Numeric values only (no cents) and no negative numbers (i.e. with a "-" in front)
</t>
        </r>
      </text>
    </comment>
    <comment ref="M1" authorId="0" shapeId="0" xr:uid="{00000000-0006-0000-3800-00000B000000}">
      <text>
        <r>
          <rPr>
            <sz val="11"/>
            <color theme="1"/>
            <rFont val="Calibri"/>
            <family val="2"/>
            <scheme val="minor"/>
          </rPr>
          <t xml:space="preserve">Gross Emoluments (Part Time)
Max Length: 6
Note: Numeric values only (no cents) and no negative numbers (i.e. with a "-" in front)
</t>
        </r>
      </text>
    </comment>
    <comment ref="N1" authorId="0" shapeId="0" xr:uid="{00000000-0006-0000-3800-00000C000000}">
      <text>
        <r>
          <rPr>
            <sz val="11"/>
            <color theme="1"/>
            <rFont val="Calibri"/>
            <family val="2"/>
            <scheme val="minor"/>
          </rPr>
          <t>Fringe Benefits 
Category 1: Company Cars
Max Length: 6
Note: Numeric values only (no cents) and no negative numbers (i.e. with a "-" in front)</t>
        </r>
      </text>
    </comment>
    <comment ref="O1" authorId="0" shapeId="0" xr:uid="{00000000-0006-0000-3800-00000D000000}">
      <text>
        <r>
          <rPr>
            <sz val="11"/>
            <color theme="1"/>
            <rFont val="Calibri"/>
            <family val="2"/>
            <scheme val="minor"/>
          </rPr>
          <t xml:space="preserve">Fringe Benefits 
Category 2: Use of an asset and accomodation
Max Length: 6
Note: Numeric values only (no cents) and no negative numbers (i.e. with a "-" in front)
</t>
        </r>
      </text>
    </comment>
    <comment ref="P1" authorId="0" shapeId="0" xr:uid="{00000000-0006-0000-3800-00000E000000}">
      <text>
        <r>
          <rPr>
            <sz val="11"/>
            <color theme="1"/>
            <rFont val="Calibri"/>
            <family val="2"/>
            <scheme val="minor"/>
          </rPr>
          <t xml:space="preserve">Fringe Benefits 
Category 3: Other benefits and services
Max Length: 6
Note: Numeric values only (no cents) and no negative numbers (i.e. with a "-" in front)
</t>
        </r>
      </text>
    </comment>
    <comment ref="Q1" authorId="1" shapeId="0" xr:uid="{00000000-0006-0000-3800-00000F000000}">
      <text>
        <r>
          <rPr>
            <sz val="11"/>
            <color theme="1"/>
            <rFont val="Calibri"/>
            <family val="2"/>
            <scheme val="minor"/>
          </rPr>
          <t>Share Options fringe benefits taxes at 15% 
Max Length: 7
Note: Numeric values only (no cents) and no negative numbers (i.e. with a "-" in front)</t>
        </r>
      </text>
    </comment>
    <comment ref="R1" authorId="0" shapeId="0" xr:uid="{00000000-0006-0000-3800-000010000000}">
      <text>
        <r>
          <rPr>
            <sz val="11"/>
            <color theme="1"/>
            <rFont val="Calibri"/>
            <family val="2"/>
            <scheme val="minor"/>
          </rPr>
          <t xml:space="preserve">Non Taxable Car Cash Allowance
Note: Numeric values only (no cents) and no negative numbers (i.e. with a "-" in front)
</t>
        </r>
      </text>
    </comment>
    <comment ref="S1" authorId="0" shapeId="0" xr:uid="{00000000-0006-0000-3800-000011000000}">
      <text>
        <r>
          <rPr>
            <sz val="11"/>
            <color theme="1"/>
            <rFont val="Calibri"/>
            <family val="2"/>
            <scheme val="minor"/>
          </rPr>
          <t>Tax Deductions - Main &amp; Other
Max Length: 6
Note: Numeric values only (no cents) and no negative numbers (i.e. with a "-" in front)</t>
        </r>
      </text>
    </comment>
    <comment ref="T1" authorId="0" shapeId="0" xr:uid="{00000000-0006-0000-3800-000012000000}">
      <text>
        <r>
          <rPr>
            <sz val="11"/>
            <color theme="1"/>
            <rFont val="Calibri"/>
            <family val="2"/>
            <scheme val="minor"/>
          </rPr>
          <t xml:space="preserve">Tax Deductions - Overtime
Max Length: 6
Note: Numeric values only (no cents) and no negative numbers (i.e. with a "-" in front)
</t>
        </r>
      </text>
    </comment>
    <comment ref="U1" authorId="0" shapeId="0" xr:uid="{00000000-0006-0000-3800-000013000000}">
      <text>
        <r>
          <rPr>
            <sz val="11"/>
            <color theme="1"/>
            <rFont val="Calibri"/>
            <family val="2"/>
            <scheme val="minor"/>
          </rPr>
          <t xml:space="preserve">Tax Deductions - Part Time
Max Length: 6
Note: Numeric values only (no cents) and no negative numbers (i.e. with a "-" in front)
</t>
        </r>
      </text>
    </comment>
    <comment ref="V1" authorId="0" shapeId="0" xr:uid="{00000000-0006-0000-3800-000014000000}">
      <text>
        <r>
          <rPr>
            <sz val="11"/>
            <color theme="1"/>
            <rFont val="Calibri"/>
            <family val="2"/>
            <scheme val="minor"/>
          </rPr>
          <t xml:space="preserve">Tax Deductions - Arrears
Max Length: 6
Note: Numeric values only (no cents) and no negative numbers (i.e. with a "-" in front)
</t>
        </r>
      </text>
    </comment>
    <comment ref="W1" authorId="1" shapeId="0" xr:uid="{00000000-0006-0000-3800-000015000000}">
      <text>
        <r>
          <rPr>
            <sz val="11"/>
            <color theme="1"/>
            <rFont val="Calibri"/>
            <family val="2"/>
            <scheme val="minor"/>
          </rPr>
          <t>15% Tax on Share Options
Max Length: 7
Note: Numeric values only (no cents) and no negative numbers (i.e. with a "-" in front)</t>
        </r>
      </text>
    </comment>
    <comment ref="X1" authorId="0" shapeId="0" xr:uid="{00000000-0006-0000-3800-000016000000}">
      <text>
        <r>
          <rPr>
            <sz val="11"/>
            <color theme="1"/>
            <rFont val="Calibri"/>
            <family val="2"/>
            <scheme val="minor"/>
          </rPr>
          <t xml:space="preserve">Number of Overtime Hours
Max Length: 6
Note: Maximum number of hours reported cannot be more than 100.00. 
Minutes are to be reported in fraction of an hour (e.g. 15 minutes are reported as 0.25, 30 minutes are reported as 0.50 etc).
</t>
        </r>
      </text>
    </comment>
    <comment ref="Y1" authorId="0" shapeId="0" xr:uid="{00000000-0006-0000-3800-000017000000}">
      <text>
        <r>
          <rPr>
            <sz val="11"/>
            <color theme="1"/>
            <rFont val="Calibri"/>
            <family val="2"/>
            <scheme val="minor"/>
          </rPr>
          <t xml:space="preserve">Social Security Contributions Totals
Max Length: 7
Note: Numeric value only (including cents)
</t>
        </r>
      </text>
    </comment>
    <comment ref="Z1" authorId="2" shapeId="0" xr:uid="{00000000-0006-0000-3800-000018000000}">
      <text>
        <r>
          <rPr>
            <sz val="11"/>
            <color theme="1"/>
            <rFont val="Calibri"/>
            <family val="2"/>
            <scheme val="minor"/>
          </rPr>
          <t>Maternity Fund Contributions Totals
Max Length: 7
Note: Numeric value only (including cents)</t>
        </r>
      </text>
    </comment>
    <comment ref="AA1" authorId="0" shapeId="0" xr:uid="{00000000-0006-0000-3800-000019000000}">
      <text>
        <r>
          <rPr>
            <sz val="11"/>
            <color theme="1"/>
            <rFont val="Calibri"/>
            <family val="2"/>
            <scheme val="minor"/>
          </rPr>
          <t>Payer PE Number
Length: 6
Note: Employer Reference Number</t>
        </r>
      </text>
    </comment>
    <comment ref="AB1" authorId="0" shapeId="0" xr:uid="{00000000-0006-0000-3800-00001A000000}">
      <text>
        <r>
          <rPr>
            <sz val="11"/>
            <color theme="1"/>
            <rFont val="Calibri"/>
            <family val="2"/>
            <scheme val="minor"/>
          </rPr>
          <t xml:space="preserve">Date
Length: 8
Note: Must be in ddmmyyyy format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Keith</author>
    <author>galed082</author>
  </authors>
  <commentList>
    <comment ref="C1" authorId="0" shapeId="0" xr:uid="{00000000-0006-0000-3900-000001000000}">
      <text>
        <r>
          <rPr>
            <sz val="11"/>
            <color theme="1"/>
            <rFont val="Calibri"/>
            <family val="2"/>
            <scheme val="minor"/>
          </rPr>
          <t>Year
Length: 4
Note: Must be in yyyy format</t>
        </r>
      </text>
    </comment>
    <comment ref="D1" authorId="0" shapeId="0" xr:uid="{00000000-0006-0000-3900-000002000000}">
      <text>
        <r>
          <rPr>
            <sz val="11"/>
            <color theme="1"/>
            <rFont val="Calibri"/>
            <family val="2"/>
            <scheme val="minor"/>
          </rPr>
          <t xml:space="preserve">Payee's Surname
Max Length: 25
Note: Free format field - can contain blanks between words but no leading blanks and no hyphens "-" or other characters such as "(" or ")"
</t>
        </r>
      </text>
    </comment>
    <comment ref="E1" authorId="0" shapeId="0" xr:uid="{00000000-0006-0000-3900-000003000000}">
      <text>
        <r>
          <rPr>
            <sz val="11"/>
            <color theme="1"/>
            <rFont val="Calibri"/>
            <family val="2"/>
            <scheme val="minor"/>
          </rPr>
          <t xml:space="preserve">Payee's ID Card/IT Reg No.
Max Length: 9
Note: No spaces or brackets between the number and the letters of the ID card number
</t>
        </r>
      </text>
    </comment>
    <comment ref="F1" authorId="0" shapeId="0" xr:uid="{00000000-0006-0000-3900-000004000000}">
      <text>
        <r>
          <rPr>
            <sz val="11"/>
            <color theme="1"/>
            <rFont val="Calibri"/>
            <family val="2"/>
            <scheme val="minor"/>
          </rPr>
          <t>Basic Wage
Max Length: 7
Note: Decimal (including cents)</t>
        </r>
      </text>
    </comment>
    <comment ref="G1" authorId="0" shapeId="0" xr:uid="{00000000-0006-0000-3900-000005000000}">
      <text>
        <r>
          <rPr>
            <sz val="11"/>
            <color theme="1"/>
            <rFont val="Calibri"/>
            <family val="2"/>
            <scheme val="minor"/>
          </rPr>
          <t xml:space="preserve">Number of Weeks
Max Length: 2
Note: Numeric
</t>
        </r>
      </text>
    </comment>
    <comment ref="H1" authorId="0" shapeId="0" xr:uid="{00000000-0006-0000-3900-000006000000}">
      <text>
        <r>
          <rPr>
            <sz val="11"/>
            <color theme="1"/>
            <rFont val="Calibri"/>
            <family val="2"/>
            <scheme val="minor"/>
          </rPr>
          <t xml:space="preserve">Social Security Contributions - Class 1
Length: 1
Note: Alphacharacter from A to F
</t>
        </r>
      </text>
    </comment>
    <comment ref="I1" authorId="0" shapeId="0" xr:uid="{00000000-0006-0000-3900-000007000000}">
      <text>
        <r>
          <rPr>
            <sz val="11"/>
            <color theme="1"/>
            <rFont val="Calibri"/>
            <family val="2"/>
            <scheme val="minor"/>
          </rPr>
          <t xml:space="preserve">Contributions paid by Payee
Max Length: 7
Note: Decimal (including cents) - No negative amounts (i.e. with a "-" infront)
</t>
        </r>
      </text>
    </comment>
    <comment ref="J1" authorId="0" shapeId="0" xr:uid="{00000000-0006-0000-3900-000008000000}">
      <text>
        <r>
          <rPr>
            <sz val="11"/>
            <color theme="1"/>
            <rFont val="Calibri"/>
            <family val="2"/>
            <scheme val="minor"/>
          </rPr>
          <t xml:space="preserve">Contributions paid by Payer
Max Length: 7
Note: Decimal (including cents) - No negative amounts (i.e. with a "-" infront)
</t>
        </r>
      </text>
    </comment>
    <comment ref="K1" authorId="1" shapeId="0" xr:uid="{00000000-0006-0000-3900-000009000000}">
      <text>
        <r>
          <rPr>
            <sz val="11"/>
            <color theme="1"/>
            <rFont val="Calibri"/>
            <family val="2"/>
            <scheme val="minor"/>
          </rPr>
          <t>Maternity Fund Contributions Totals
Max Length: 7
Note: Numeric value only (including cents)</t>
        </r>
      </text>
    </comment>
    <comment ref="L1" authorId="0" shapeId="0" xr:uid="{00000000-0006-0000-3900-00000A000000}">
      <text>
        <r>
          <rPr>
            <sz val="11"/>
            <color theme="1"/>
            <rFont val="Calibri"/>
            <family val="2"/>
            <scheme val="minor"/>
          </rPr>
          <t xml:space="preserve">Unpaid Contributions Date From
Length: 8
Note: Date must be in ddmmyyyy format
</t>
        </r>
      </text>
    </comment>
    <comment ref="M1" authorId="0" shapeId="0" xr:uid="{00000000-0006-0000-3900-00000B000000}">
      <text>
        <r>
          <rPr>
            <sz val="11"/>
            <color theme="1"/>
            <rFont val="Calibri"/>
            <family val="2"/>
            <scheme val="minor"/>
          </rPr>
          <t xml:space="preserve">Unpaid Contributions Date To
Length: 8
Note: Date must be in ddmmyyyy format
</t>
        </r>
      </text>
    </comment>
    <comment ref="N1" authorId="0" shapeId="0" xr:uid="{00000000-0006-0000-3900-00000C000000}">
      <text>
        <r>
          <rPr>
            <sz val="11"/>
            <color theme="1"/>
            <rFont val="Calibri"/>
            <family val="2"/>
            <scheme val="minor"/>
          </rPr>
          <t xml:space="preserve">Number of Unpaid Contributions
Max Length: 2
Note: Numeric
</t>
        </r>
      </text>
    </comment>
    <comment ref="O1" authorId="0" shapeId="0" xr:uid="{00000000-0006-0000-3900-00000D000000}">
      <text>
        <r>
          <rPr>
            <sz val="11"/>
            <color theme="1"/>
            <rFont val="Calibri"/>
            <family val="2"/>
            <scheme val="minor"/>
          </rPr>
          <t>Payer PE Number
Length: 6
Note: Employer Reference Number</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chris gauci</author>
  </authors>
  <commentList>
    <comment ref="U2" authorId="0" shapeId="0" xr:uid="{00000000-0006-0000-3A00-000001000000}">
      <text>
        <r>
          <rPr>
            <sz val="11"/>
            <color theme="1"/>
            <rFont val="Calibri"/>
            <family val="2"/>
            <scheme val="minor"/>
          </rPr>
          <t xml:space="preserve">chris gauci:
If Unpaid Leave is taken after payslip is issued, this needs to be inputted in following month
</t>
        </r>
      </text>
    </comment>
    <comment ref="AO3" authorId="0" shapeId="0" xr:uid="{00000000-0006-0000-3A00-000002000000}">
      <text>
        <r>
          <rPr>
            <sz val="11"/>
            <color theme="1"/>
            <rFont val="Calibri"/>
            <family val="2"/>
            <scheme val="minor"/>
          </rPr>
          <t xml:space="preserve">chris gauci:
Hours before december calculated as per january
</t>
        </r>
      </text>
    </comment>
    <comment ref="W6" authorId="0" shapeId="0" xr:uid="{00000000-0006-0000-3A00-000003000000}">
      <text>
        <r>
          <rPr>
            <sz val="11"/>
            <color theme="1"/>
            <rFont val="Calibri"/>
            <family val="2"/>
            <scheme val="minor"/>
          </rPr>
          <t>chris gauci:
This formula does not take in into account if the employee works less than 40 hrs in oct/nov/dec in previous year)</t>
        </r>
      </text>
    </comment>
  </commentList>
</comments>
</file>

<file path=xl/sharedStrings.xml><?xml version="1.0" encoding="utf-8"?>
<sst xmlns="http://schemas.openxmlformats.org/spreadsheetml/2006/main" count="11023" uniqueCount="656">
  <si>
    <t>FS7</t>
  </si>
  <si>
    <t>Final Settlement System (FSS)</t>
  </si>
  <si>
    <t>Payer's Annual Reconciliation</t>
  </si>
  <si>
    <t>A</t>
  </si>
  <si>
    <t>Payer information</t>
  </si>
  <si>
    <t>Statement</t>
  </si>
  <si>
    <t>MEDIATRIX DENTAL CLINIC</t>
  </si>
  <si>
    <t>For Year ended 31st Dec</t>
  </si>
  <si>
    <t>7, SANCTUARY STR</t>
  </si>
  <si>
    <t>A1</t>
  </si>
  <si>
    <t>ZABBAR</t>
  </si>
  <si>
    <t>ZBR1010</t>
  </si>
  <si>
    <t>Payer P.E. No.</t>
  </si>
  <si>
    <t>A2</t>
  </si>
  <si>
    <t>Telephone Number</t>
  </si>
  <si>
    <t>Principal's Full Name</t>
  </si>
  <si>
    <t>Christian Gauci</t>
  </si>
  <si>
    <t>IT Reg No.</t>
  </si>
  <si>
    <t>Principal's Position</t>
  </si>
  <si>
    <t>Owner</t>
  </si>
  <si>
    <t>A3</t>
  </si>
  <si>
    <t>Principal's Signature</t>
  </si>
  <si>
    <t>Have you paid or reimbursed the cost of Childcare</t>
  </si>
  <si>
    <t>ETC Reg No.</t>
  </si>
  <si>
    <t>Yes</t>
  </si>
  <si>
    <t>x</t>
  </si>
  <si>
    <t>No</t>
  </si>
  <si>
    <t>Amount</t>
  </si>
  <si>
    <t>No. of Employees</t>
  </si>
  <si>
    <t>Date</t>
  </si>
  <si>
    <t>If yes insert amount paid and no. of employees</t>
  </si>
  <si>
    <t>A4</t>
  </si>
  <si>
    <t>B</t>
  </si>
  <si>
    <t>Number of FSS FS3s Issued</t>
  </si>
  <si>
    <t>B1</t>
  </si>
  <si>
    <t>C</t>
  </si>
  <si>
    <t>Gross Emoluments</t>
  </si>
  <si>
    <t>€</t>
  </si>
  <si>
    <t>Gross Emoluments (FSS Main or FSS Other Applies)</t>
  </si>
  <si>
    <t>C1</t>
  </si>
  <si>
    <t>Overtime (Eligible for 15% tax deductions)</t>
  </si>
  <si>
    <t>C1A</t>
  </si>
  <si>
    <t>Director's Fees</t>
  </si>
  <si>
    <t>C1B</t>
  </si>
  <si>
    <t>Gross Emoluments (FSS Part-time method applies)</t>
  </si>
  <si>
    <t>C2</t>
  </si>
  <si>
    <t>Taxable Fringe Benefits (Total of all Categories less any Non-taxable Car Allowances)</t>
  </si>
  <si>
    <t>C3</t>
  </si>
  <si>
    <t>Total Gross Emoluments and Fringe Benefits</t>
  </si>
  <si>
    <t>C4</t>
  </si>
  <si>
    <t>D</t>
  </si>
  <si>
    <t>Tax Deductions due as per FS3s attached</t>
  </si>
  <si>
    <t>Tax Deductions (FSS Main or FSS Other applies)</t>
  </si>
  <si>
    <t>D1</t>
  </si>
  <si>
    <t>Tax Deductions (Eligible Overtime Income)</t>
  </si>
  <si>
    <t>D1a</t>
  </si>
  <si>
    <t>Tax Deductions (FSS Part time Tax Deduction Method Applies)</t>
  </si>
  <si>
    <t>D2</t>
  </si>
  <si>
    <t>Tax Arrears Deductions (as per amount on PCU2(A))</t>
  </si>
  <si>
    <t>D3</t>
  </si>
  <si>
    <t>Total Tax Deductions</t>
  </si>
  <si>
    <t>D4</t>
  </si>
  <si>
    <t>E1</t>
  </si>
  <si>
    <t>Social Security Contributions due to IRD as per FS3s attached</t>
  </si>
  <si>
    <t>E2</t>
  </si>
  <si>
    <t>Maternity Leave Fund due to IRD as per FS3s attached</t>
  </si>
  <si>
    <t>F</t>
  </si>
  <si>
    <t>Payments Made to IRD During the Year</t>
  </si>
  <si>
    <t>Month</t>
  </si>
  <si>
    <t>Receipt No.</t>
  </si>
  <si>
    <t>FSS TAX</t>
  </si>
  <si>
    <t>SSC</t>
  </si>
  <si>
    <t>MLF</t>
  </si>
  <si>
    <t>Jan</t>
  </si>
  <si>
    <t>Feb</t>
  </si>
  <si>
    <t>Mar</t>
  </si>
  <si>
    <t>Apr</t>
  </si>
  <si>
    <t>May</t>
  </si>
  <si>
    <t>Jun</t>
  </si>
  <si>
    <t>If the Total paid (F1) is less than the toal due (F2) please enclose outstanding payment with FS5 form. In the case of overpayment please enclose a letter with this form explaining why the amounts differ.</t>
  </si>
  <si>
    <t>F1</t>
  </si>
  <si>
    <t>Total Paid Jan-Dec</t>
  </si>
  <si>
    <t>F2</t>
  </si>
  <si>
    <t>Total Due as per above (D4, E1)</t>
  </si>
  <si>
    <t>F3</t>
  </si>
  <si>
    <t>Amount Underpaid/Overpaid</t>
  </si>
  <si>
    <t>Maternita</t>
  </si>
  <si>
    <t>FTBLANK</t>
  </si>
  <si>
    <t>DIV1</t>
  </si>
  <si>
    <t>FS3</t>
  </si>
  <si>
    <t>EMP NO&gt;</t>
  </si>
  <si>
    <t>No. weeks</t>
  </si>
  <si>
    <t>Hrs/wk</t>
  </si>
  <si>
    <t>HOURLY RATE
CHANGE HERE</t>
  </si>
  <si>
    <t>Basic Wage</t>
  </si>
  <si>
    <t>Payment for Extra/Under NOT OT</t>
  </si>
  <si>
    <t>Planned Unpiad Leave</t>
  </si>
  <si>
    <t>Other Dues
Normal Rate</t>
  </si>
  <si>
    <t>GOVT BONUS</t>
  </si>
  <si>
    <t>FILL IN at the
Performance Bonus</t>
  </si>
  <si>
    <t>end of table
Supervisor Bonus</t>
  </si>
  <si>
    <t>Gross &amp; Bonuses</t>
  </si>
  <si>
    <t>Tax Deduct(gross)</t>
  </si>
  <si>
    <t xml:space="preserve">Overtime HOURS </t>
  </si>
  <si>
    <t>Overtime rate as compared to basic</t>
  </si>
  <si>
    <t>Overtime Income</t>
  </si>
  <si>
    <t>Overtime
 tax</t>
  </si>
  <si>
    <t>Total tax deduct</t>
  </si>
  <si>
    <t>Weekly wage</t>
  </si>
  <si>
    <t>Soc sec employer</t>
  </si>
  <si>
    <t>soc sec employee</t>
  </si>
  <si>
    <t>TOTAL SSC PAID</t>
  </si>
  <si>
    <t>my expense per cheque</t>
  </si>
  <si>
    <t>Soc sec Category</t>
  </si>
  <si>
    <t>Timer</t>
  </si>
  <si>
    <t>Days For Bonus Calc
(inc unpaid leave)</t>
  </si>
  <si>
    <t>Banked Hours this month</t>
  </si>
  <si>
    <t>Balance BANKED HOURS</t>
  </si>
  <si>
    <t>Leave Taken this month</t>
  </si>
  <si>
    <t>VL Balance
(END MONTH)
TILL TERM</t>
  </si>
  <si>
    <t>SL this MTH</t>
  </si>
  <si>
    <t>FULL 
Performance Bonus      -             
Reflected in Foll</t>
  </si>
  <si>
    <t>MONTHLY
Supervisor Bonus
owing Month's Pay</t>
  </si>
  <si>
    <t>Days in month</t>
  </si>
  <si>
    <t>Unpaid Leave Hrs</t>
  </si>
  <si>
    <t>EXTRA PAID HOURS/ PART TME HOURS</t>
  </si>
  <si>
    <t>Tax Rate this month</t>
  </si>
  <si>
    <t>Deduct this month</t>
  </si>
  <si>
    <t>NEW WAGE (EXC COLA)</t>
  </si>
  <si>
    <t>COLA ADJusted from Data sheet</t>
  </si>
  <si>
    <t>Multipliers</t>
  </si>
  <si>
    <t>Payee Statement of earnings</t>
  </si>
  <si>
    <t>Per hour</t>
  </si>
  <si>
    <t>Payee information</t>
  </si>
  <si>
    <t>inc Bonuses</t>
  </si>
  <si>
    <t>Surname</t>
  </si>
  <si>
    <t>Payee ID CARD No./IT Reg No.</t>
  </si>
  <si>
    <t>Name</t>
  </si>
  <si>
    <t>A12</t>
  </si>
  <si>
    <t>Address   House No.</t>
  </si>
  <si>
    <t>Payee Social Security No.</t>
  </si>
  <si>
    <t>Str</t>
  </si>
  <si>
    <t>Locality</t>
  </si>
  <si>
    <t>Spouse's ID Card/IT Reg no.</t>
  </si>
  <si>
    <t xml:space="preserve">Postcode </t>
  </si>
  <si>
    <t>Period</t>
  </si>
  <si>
    <t>B1 From</t>
  </si>
  <si>
    <t>B2 To</t>
  </si>
  <si>
    <t>Wage Dec Last Year</t>
  </si>
  <si>
    <t>TOTALS</t>
  </si>
  <si>
    <t xml:space="preserve">multiply by </t>
  </si>
  <si>
    <t>Number of Overtime Hours</t>
  </si>
  <si>
    <t>YEAR</t>
  </si>
  <si>
    <t>Overtime (Eligible for 15% tax deduction)</t>
  </si>
  <si>
    <t>Director’s Fees</t>
  </si>
  <si>
    <t>Breakdown of fringe Benefits</t>
  </si>
  <si>
    <t>GROSS Total</t>
  </si>
  <si>
    <t>TYPE</t>
  </si>
  <si>
    <t>LEAVE</t>
  </si>
  <si>
    <t>Input number of WHOLE weeks (mon to Sat)</t>
  </si>
  <si>
    <t>Cat 1 C5</t>
  </si>
  <si>
    <t>Hrs/Wk</t>
  </si>
  <si>
    <t>SSC Tot</t>
  </si>
  <si>
    <t>Employer</t>
  </si>
  <si>
    <t>Employee</t>
  </si>
  <si>
    <t>to</t>
  </si>
  <si>
    <t>Cat 2 C6</t>
  </si>
  <si>
    <t>Share Options fringe benefits taxed at 15%</t>
  </si>
  <si>
    <t>C3a</t>
  </si>
  <si>
    <t>Cat 3 C7</t>
  </si>
  <si>
    <t>Payer P.E. Number 474436</t>
  </si>
  <si>
    <t>Unpaid Leave</t>
  </si>
  <si>
    <t>Bonus</t>
  </si>
  <si>
    <t>Non Taxable Car Cash Allowance(50% of allowance up to a max of E1170)</t>
  </si>
  <si>
    <t>C8</t>
  </si>
  <si>
    <t>OTHER</t>
  </si>
  <si>
    <t>Tax on Gross</t>
  </si>
  <si>
    <t>Tax Deductions</t>
  </si>
  <si>
    <t>Net Wage</t>
  </si>
  <si>
    <t>Tax Arrears Deductions       D3</t>
  </si>
  <si>
    <t>WEEKs</t>
  </si>
  <si>
    <t>Leave Taken</t>
  </si>
  <si>
    <t>Leave Carried Forward</t>
  </si>
  <si>
    <t>Insert Trans Number --&gt;</t>
  </si>
  <si>
    <t>Tax Deductions (Eligible Overtime)</t>
  </si>
  <si>
    <t>D1A</t>
  </si>
  <si>
    <t>15% tax on Share Options   D3a</t>
  </si>
  <si>
    <t>Banked Hour Balance</t>
  </si>
  <si>
    <t>Leave Balance/end</t>
  </si>
  <si>
    <t>Principal SIgnature</t>
  </si>
  <si>
    <t>Tax Deductions (FSS Part-time method applies)</t>
  </si>
  <si>
    <t>NB: If part-time tax is less than the relative rate the whole emoluments will be charged at normal rates</t>
  </si>
  <si>
    <t>E</t>
  </si>
  <si>
    <t>Social Security Information</t>
  </si>
  <si>
    <t xml:space="preserve">Basic Weekly Wages </t>
  </si>
  <si>
    <t>Social Security Contributions</t>
  </si>
  <si>
    <t>Maternity Fund Contributions</t>
  </si>
  <si>
    <t>Weeks Without Pay</t>
  </si>
  <si>
    <t>Number</t>
  </si>
  <si>
    <t>Category</t>
  </si>
  <si>
    <t>Payee</t>
  </si>
  <si>
    <t>Payer</t>
  </si>
  <si>
    <t>Total</t>
  </si>
  <si>
    <t>From</t>
  </si>
  <si>
    <t>To</t>
  </si>
  <si>
    <t>Voluntary Occupational Pension Scheme contribution or payment</t>
  </si>
  <si>
    <t>Business Name</t>
  </si>
  <si>
    <t>Business        House No.</t>
  </si>
  <si>
    <t xml:space="preserve">Address             Street </t>
  </si>
  <si>
    <t>Triq is-Santwarju</t>
  </si>
  <si>
    <t>Zabbar</t>
  </si>
  <si>
    <t>Postcode</t>
  </si>
  <si>
    <t>Dr Christian Gauci</t>
  </si>
  <si>
    <t>Self employed Dental Surgeon</t>
  </si>
  <si>
    <t>This form is to be completed in quadroplicate. The Original is to be sent to the Dept of Inland Revenue, two copies are to be given to the payee, one copy retained by the payer.</t>
  </si>
  <si>
    <t>IBAN</t>
  </si>
  <si>
    <t>Email</t>
  </si>
  <si>
    <t>DOB</t>
  </si>
  <si>
    <t>Date of First Employment</t>
  </si>
  <si>
    <t>Designation</t>
  </si>
  <si>
    <t>Ft/PT at Start Year</t>
  </si>
  <si>
    <t>FS4 Status</t>
  </si>
  <si>
    <t xml:space="preserve">TERM DATE This </t>
  </si>
  <si>
    <t>Previous Employment FS3</t>
  </si>
  <si>
    <t>Projected Mediatrix Total</t>
  </si>
  <si>
    <t>Bracket</t>
  </si>
  <si>
    <t>Tax rate calculated on  ---&gt;</t>
  </si>
  <si>
    <t>Relevant Tax Bracket</t>
  </si>
  <si>
    <t>rate</t>
  </si>
  <si>
    <t>deduct</t>
  </si>
  <si>
    <t>Over 60K</t>
  </si>
  <si>
    <t>PT under 10k</t>
  </si>
  <si>
    <t>TAX AND SOCIAL SECURITY CALCULATIONS</t>
  </si>
  <si>
    <t>Leave to carry to</t>
  </si>
  <si>
    <t>REFER TO EMP INFO</t>
  </si>
  <si>
    <t>Banked Hrs to carry to</t>
  </si>
  <si>
    <t>REFER EMP INFO</t>
  </si>
  <si>
    <t>Next Year start</t>
  </si>
  <si>
    <t>DIV2</t>
  </si>
  <si>
    <t>Wage Dec Last Year/+bonus</t>
  </si>
  <si>
    <t>10.45/12.35</t>
  </si>
  <si>
    <t>9.05/10.70</t>
  </si>
  <si>
    <t>DIV3</t>
  </si>
  <si>
    <t>DIV4</t>
  </si>
  <si>
    <t>DEDUCt 100e for card</t>
  </si>
  <si>
    <t xml:space="preserve">(370e cash for unutilised VL) </t>
  </si>
  <si>
    <t>(350 for unutilsed leave, deducted 150 lent = 200 Cash)</t>
  </si>
  <si>
    <t>DIV5</t>
  </si>
  <si>
    <t>DIV6</t>
  </si>
  <si>
    <t>DIV7</t>
  </si>
  <si>
    <t>DIV8</t>
  </si>
  <si>
    <t>FTBLANKE</t>
  </si>
  <si>
    <t>PTBLANK</t>
  </si>
  <si>
    <t>DIVP1</t>
  </si>
  <si>
    <t>DIVP2</t>
  </si>
  <si>
    <t>DIVP3</t>
  </si>
  <si>
    <t>DIVP4</t>
  </si>
  <si>
    <t>DIVP5</t>
  </si>
  <si>
    <t>DIVP6</t>
  </si>
  <si>
    <t>DIVP7</t>
  </si>
  <si>
    <t>PTBLANKE</t>
  </si>
  <si>
    <t>PSLIPVAL</t>
  </si>
  <si>
    <t>EMPID</t>
  </si>
  <si>
    <t>EMP SURNAME_NAME</t>
  </si>
  <si>
    <t>SUBTOT - FT</t>
  </si>
  <si>
    <t>PAYSLIP VALUE</t>
  </si>
  <si>
    <t>Tot</t>
  </si>
  <si>
    <t>GROSS</t>
  </si>
  <si>
    <t>TAX MAIN</t>
  </si>
  <si>
    <t>Soc Security TOT</t>
  </si>
  <si>
    <t>Overtime Pay</t>
  </si>
  <si>
    <t>Overtime Tax</t>
  </si>
  <si>
    <t>SUBTOT - PT</t>
  </si>
  <si>
    <t>FS5</t>
  </si>
  <si>
    <t>Payer's monthly Payment Advice</t>
  </si>
  <si>
    <t>Payer Information</t>
  </si>
  <si>
    <t>Payer P.E. Number</t>
  </si>
  <si>
    <t>Mediatrix Dental Clinic</t>
  </si>
  <si>
    <t>Business Address</t>
  </si>
  <si>
    <t>Payment for the month of</t>
  </si>
  <si>
    <t>House no.</t>
  </si>
  <si>
    <t>7,</t>
  </si>
  <si>
    <t>Street</t>
  </si>
  <si>
    <t>Sanctuary Str.,</t>
  </si>
  <si>
    <t xml:space="preserve">Locality </t>
  </si>
  <si>
    <t>Telephone No.</t>
  </si>
  <si>
    <t>Fascimile No.</t>
  </si>
  <si>
    <t>Number of Payees</t>
  </si>
  <si>
    <t>Number of Payees (FSS Main or FSS Other Tax Deduction Method applies)</t>
  </si>
  <si>
    <t>Number of Payees (FSS Part Time Tax Deduction method Applies)</t>
  </si>
  <si>
    <t>B2</t>
  </si>
  <si>
    <t>Overtime (eligible 15% tax deduction)</t>
  </si>
  <si>
    <t>C1a</t>
  </si>
  <si>
    <t>Gross Emoluments (FSS Part Time Tax Deduction Method applies)</t>
  </si>
  <si>
    <t>Taxable Fringe Benefits (Total of all categories less any non-tax Car Allowances)</t>
  </si>
  <si>
    <t>Tax Deductions and SSC due to IRD</t>
  </si>
  <si>
    <t>Tax Deductions (FSS Main or FSS Other Applies)</t>
  </si>
  <si>
    <t>D5</t>
  </si>
  <si>
    <t>Maternity Leave fund Contributions</t>
  </si>
  <si>
    <t>D5a</t>
  </si>
  <si>
    <t>Total Due to Inland Revenue</t>
  </si>
  <si>
    <t>D6</t>
  </si>
  <si>
    <t>Payment Details</t>
  </si>
  <si>
    <t>Date of Payment</t>
  </si>
  <si>
    <t xml:space="preserve">Total Payment </t>
  </si>
  <si>
    <t>Details of payment</t>
  </si>
  <si>
    <t>Transaction No.</t>
  </si>
  <si>
    <t>Bank</t>
  </si>
  <si>
    <t>BOV</t>
  </si>
  <si>
    <t>Bank Account No.</t>
  </si>
  <si>
    <t>Branch</t>
  </si>
  <si>
    <t>E3</t>
  </si>
  <si>
    <t>Details Of Person making Payment</t>
  </si>
  <si>
    <t>Full Name</t>
  </si>
  <si>
    <t>Signature</t>
  </si>
  <si>
    <t>For Official Use Only</t>
  </si>
  <si>
    <t xml:space="preserve">Receipt No. </t>
  </si>
  <si>
    <t xml:space="preserve">Date: </t>
  </si>
  <si>
    <t>BANK WITHDRAWAL</t>
  </si>
  <si>
    <t>cancelled</t>
  </si>
  <si>
    <t>PAYMENT DETAILS</t>
  </si>
  <si>
    <t>C:\Users\drchr\Desktop\ZZZ DIRECTOR ONLY\2025\FS5\May-25_FS5.pdf</t>
  </si>
  <si>
    <t>C:\Users\drchr\Desktop\ZZZ DIRECTOR ONLY\2025\FS5\Jun-25_FS5.pdf</t>
  </si>
  <si>
    <t>C:\Users\drchr\Desktop\ZZZ DIRECTOR ONLY\2025\FS5\###_FS5.pdf</t>
  </si>
  <si>
    <t>C14</t>
  </si>
  <si>
    <t>D14</t>
  </si>
  <si>
    <t>E14</t>
  </si>
  <si>
    <t>dataE</t>
  </si>
  <si>
    <t>PAYOUT_TYPE</t>
  </si>
  <si>
    <t>Type for formula in coloumn A</t>
  </si>
  <si>
    <t>PAY IN TYPE</t>
  </si>
  <si>
    <t>Receipt in file</t>
  </si>
  <si>
    <t>Expense_Category</t>
  </si>
  <si>
    <t>SHifT</t>
  </si>
  <si>
    <t>EMP</t>
  </si>
  <si>
    <t>PROVIDERS</t>
  </si>
  <si>
    <t>TECH</t>
  </si>
  <si>
    <t>BLANK</t>
  </si>
  <si>
    <t>Beneficiary</t>
  </si>
  <si>
    <t>Eco Nights</t>
  </si>
  <si>
    <t>check</t>
  </si>
  <si>
    <t>Receipt BK</t>
  </si>
  <si>
    <t>VAT RATES</t>
  </si>
  <si>
    <t>Booking System</t>
  </si>
  <si>
    <t>Password:</t>
  </si>
  <si>
    <t>MPLUS2023!</t>
  </si>
  <si>
    <t>Status</t>
  </si>
  <si>
    <t>Position held</t>
  </si>
  <si>
    <t>FT/PT</t>
  </si>
  <si>
    <t xml:space="preserve">Yearly VL entitlement in hours </t>
  </si>
  <si>
    <t>Monthly VL</t>
  </si>
  <si>
    <t>Yearly SL</t>
  </si>
  <si>
    <t>Monthly SL</t>
  </si>
  <si>
    <t>CODE</t>
  </si>
  <si>
    <t>LAB</t>
  </si>
  <si>
    <t>Responsible Tech</t>
  </si>
  <si>
    <t>Mobile Number</t>
  </si>
  <si>
    <t>Tel No.</t>
  </si>
  <si>
    <t>Lab Email</t>
  </si>
  <si>
    <t>Lab Address</t>
  </si>
  <si>
    <t>OK</t>
  </si>
  <si>
    <t>Pink</t>
  </si>
  <si>
    <t>MarkBug</t>
  </si>
  <si>
    <t>Mark Bugeja</t>
  </si>
  <si>
    <t>VISA</t>
  </si>
  <si>
    <t>CASHBOX</t>
  </si>
  <si>
    <t>STOCK/Disposables</t>
  </si>
  <si>
    <t>MORNING</t>
  </si>
  <si>
    <t>Aisha</t>
  </si>
  <si>
    <t>CG</t>
  </si>
  <si>
    <t>MDCZ</t>
  </si>
  <si>
    <t>X</t>
  </si>
  <si>
    <t>Blue</t>
  </si>
  <si>
    <t>Airbnb</t>
  </si>
  <si>
    <t>SIN</t>
  </si>
  <si>
    <t xml:space="preserve">1. Principal </t>
  </si>
  <si>
    <t>FT</t>
  </si>
  <si>
    <t>ClearSmile</t>
  </si>
  <si>
    <t>Kurt  Galea</t>
  </si>
  <si>
    <t>REVOLUT</t>
  </si>
  <si>
    <t>DENTAL EPOS</t>
  </si>
  <si>
    <t>Stationery</t>
  </si>
  <si>
    <t>AFTERNOON</t>
  </si>
  <si>
    <t>ANDREYA</t>
  </si>
  <si>
    <t>LC</t>
  </si>
  <si>
    <t>EIGHT</t>
  </si>
  <si>
    <t>MDCQ</t>
  </si>
  <si>
    <t>Booking.com</t>
  </si>
  <si>
    <t>MAR</t>
  </si>
  <si>
    <t>2. Dental Surgeon</t>
  </si>
  <si>
    <t>FT_RED</t>
  </si>
  <si>
    <t>Victor</t>
  </si>
  <si>
    <t>Victor Galea</t>
  </si>
  <si>
    <t>Bank Transfer</t>
  </si>
  <si>
    <t>BLU M EPOS</t>
  </si>
  <si>
    <t>Pending</t>
  </si>
  <si>
    <t>Advertising/promotion</t>
  </si>
  <si>
    <t>CHARMAINE</t>
  </si>
  <si>
    <t>RG</t>
  </si>
  <si>
    <t>NicEllul</t>
  </si>
  <si>
    <t>MHB</t>
  </si>
  <si>
    <t>Google My Business</t>
  </si>
  <si>
    <t>MAR1</t>
  </si>
  <si>
    <t>3. OFFICE Manager</t>
  </si>
  <si>
    <t>PT_FIXED</t>
  </si>
  <si>
    <t>Stefan K</t>
  </si>
  <si>
    <t>BOV CHEQUE</t>
  </si>
  <si>
    <t>POD EPOS</t>
  </si>
  <si>
    <t>Lost</t>
  </si>
  <si>
    <t>Repair/Maintenance</t>
  </si>
  <si>
    <t>Elda</t>
  </si>
  <si>
    <t>DM</t>
  </si>
  <si>
    <t>Aligntech</t>
  </si>
  <si>
    <t>BLU-M Q</t>
  </si>
  <si>
    <t>Direct</t>
  </si>
  <si>
    <t>MAR2</t>
  </si>
  <si>
    <t>4. CLINICAL Manager</t>
  </si>
  <si>
    <t>PT_CASUAL</t>
  </si>
  <si>
    <t>Direct Debit</t>
  </si>
  <si>
    <t>BOV PAY</t>
  </si>
  <si>
    <t>Wages</t>
  </si>
  <si>
    <t>Katrina</t>
  </si>
  <si>
    <t>KM</t>
  </si>
  <si>
    <t>ModernClear</t>
  </si>
  <si>
    <t>Blu-M V</t>
  </si>
  <si>
    <t>NA</t>
  </si>
  <si>
    <t>Other</t>
  </si>
  <si>
    <t>PAR</t>
  </si>
  <si>
    <t>5. Dental Hygenist</t>
  </si>
  <si>
    <t>STUDENT_APPRENTICE</t>
  </si>
  <si>
    <t>PAYPAL</t>
  </si>
  <si>
    <t>Revolut</t>
  </si>
  <si>
    <t>Commissions</t>
  </si>
  <si>
    <t>Depreciation</t>
  </si>
  <si>
    <t>MARIA</t>
  </si>
  <si>
    <t>EB</t>
  </si>
  <si>
    <t>MPLUS</t>
  </si>
  <si>
    <t>PAR1</t>
  </si>
  <si>
    <t>6. Dental Technologist</t>
  </si>
  <si>
    <t>Self_Employed</t>
  </si>
  <si>
    <t>Nicole Ellul</t>
  </si>
  <si>
    <t>CHEQUE</t>
  </si>
  <si>
    <t>Travel</t>
  </si>
  <si>
    <t>RUNNING</t>
  </si>
  <si>
    <t>RAISA</t>
  </si>
  <si>
    <t>JS</t>
  </si>
  <si>
    <t>Dontalia</t>
  </si>
  <si>
    <t>Admin</t>
  </si>
  <si>
    <t>PAR2</t>
  </si>
  <si>
    <t>7. Sup. Dental Assistant</t>
  </si>
  <si>
    <t>TERMINATED</t>
  </si>
  <si>
    <t>BaNK TRANSFER</t>
  </si>
  <si>
    <t>Rental</t>
  </si>
  <si>
    <t>CAPITAL</t>
  </si>
  <si>
    <t>Rebecca</t>
  </si>
  <si>
    <t>ROD</t>
  </si>
  <si>
    <t>Martina &amp; Sweden</t>
  </si>
  <si>
    <t>8. Dental Assistant</t>
  </si>
  <si>
    <t>Change STATUS - NEW FS7 Required</t>
  </si>
  <si>
    <t>Other cash</t>
  </si>
  <si>
    <t>Further studying</t>
  </si>
  <si>
    <t>Rethu</t>
  </si>
  <si>
    <t>MARIAH</t>
  </si>
  <si>
    <t>9. Receptionist</t>
  </si>
  <si>
    <t>Change STATUS - SAME FS7</t>
  </si>
  <si>
    <t>Z Safe Cash</t>
  </si>
  <si>
    <t>UTILITIES Water&amp;Elec</t>
  </si>
  <si>
    <t>Amritha</t>
  </si>
  <si>
    <t>10. Trainee  Dental Assistant</t>
  </si>
  <si>
    <t>Q Safe Cash</t>
  </si>
  <si>
    <t>COMM TEL/Intenet/TV</t>
  </si>
  <si>
    <t>Shirley</t>
  </si>
  <si>
    <t>11. Trainee Receptionist</t>
  </si>
  <si>
    <t>Interest/ Charges</t>
  </si>
  <si>
    <t>Louana</t>
  </si>
  <si>
    <t>Suratech</t>
  </si>
  <si>
    <t>12. Housekeeper</t>
  </si>
  <si>
    <t>On Account</t>
  </si>
  <si>
    <t>Furnishings</t>
  </si>
  <si>
    <t>Miceyla</t>
  </si>
  <si>
    <t>13. Maintenance</t>
  </si>
  <si>
    <t>Loan</t>
  </si>
  <si>
    <t>Membership/Permits/Insurance</t>
  </si>
  <si>
    <t>Marletta</t>
  </si>
  <si>
    <t>Delivery Pay_type</t>
  </si>
  <si>
    <t>Machinery/ Equipment</t>
  </si>
  <si>
    <t>Clearsmile</t>
  </si>
  <si>
    <t>Lab Work</t>
  </si>
  <si>
    <t>INVOICE</t>
  </si>
  <si>
    <t>Professional Services</t>
  </si>
  <si>
    <t>Ss</t>
  </si>
  <si>
    <t>Eco-Tax</t>
  </si>
  <si>
    <t>Sale</t>
  </si>
  <si>
    <t>VAT</t>
  </si>
  <si>
    <t>Services</t>
  </si>
  <si>
    <t>MARONE</t>
  </si>
  <si>
    <t>INVOICE/Bill</t>
  </si>
  <si>
    <t>SuppliesConsumables</t>
  </si>
  <si>
    <t>MARTWO</t>
  </si>
  <si>
    <t>CASH PAYment</t>
  </si>
  <si>
    <t>RECEIPT Payment</t>
  </si>
  <si>
    <t>PARONE</t>
  </si>
  <si>
    <t>RENT BILL</t>
  </si>
  <si>
    <t>PARTWO</t>
  </si>
  <si>
    <t>RENT PAY</t>
  </si>
  <si>
    <t>Address</t>
  </si>
  <si>
    <t>7,  Mediatrix, Sanctuary Str. Zabbar ZBR1010
8, Mediatrix, Guze Duca Str., Qormi QRM9088</t>
  </si>
  <si>
    <t>UPDATED 2025</t>
  </si>
  <si>
    <t xml:space="preserve">BONUS </t>
  </si>
  <si>
    <t>JUNE</t>
  </si>
  <si>
    <t>DEC</t>
  </si>
  <si>
    <t>0.74/day</t>
  </si>
  <si>
    <t>Cola Per week</t>
  </si>
  <si>
    <t>SEP</t>
  </si>
  <si>
    <t>4.66/wk</t>
  </si>
  <si>
    <t>Cola per hour</t>
  </si>
  <si>
    <t>CLASS 1 Social Security Contributions</t>
  </si>
  <si>
    <t>TAX RATES</t>
  </si>
  <si>
    <t> Category</t>
  </si>
  <si>
    <t>by Employee</t>
  </si>
  <si>
    <t>by Employer</t>
  </si>
  <si>
    <t>Maternity</t>
  </si>
  <si>
    <t>           Chargeable Income (€)</t>
  </si>
  <si>
    <t>UPDATED 2026</t>
  </si>
  <si>
    <t>      A</t>
  </si>
  <si>
    <t> Persons under 18 years of age earning not more than the amount indicated below.​</t>
  </si>
  <si>
    <t>             From                    </t>
  </si>
  <si>
    <t>        To              </t>
  </si>
  <si>
    <t>                           Rate                             </t>
  </si>
  <si>
    <t>      Subtract (€)</t>
  </si>
  <si>
    <t>Part time rate</t>
  </si>
  <si>
    <t>max</t>
  </si>
  <si>
    <t>Overtime Tax Rate</t>
  </si>
  <si>
    <t>MAX</t>
  </si>
  <si>
    <t>      B</t>
  </si>
  <si>
    <t> Persons aged 18 and over, earning not more than the amount indicated below.​</t>
  </si>
  <si>
    <t>Single Rates</t>
  </si>
  <si>
    <t>*Or if the employee chooses, 10% of the basic weekly wage. This rate of contribution entitles the contributor to pro-rata contributory benefits. For cat b by employee</t>
  </si>
  <si>
    <t>sinmax1</t>
  </si>
  <si>
    <t>​</t>
  </si>
  <si>
    <t>sinmax2</t>
  </si>
  <si>
    <t>Persons born up to 31st December 1961</t>
  </si>
  <si>
    <t>sinmax3</t>
  </si>
  <si>
    <t>      C</t>
  </si>
  <si>
    <t>n/a</t>
  </si>
  <si>
    <t> All persons whose basic weekly wage is between the amounts indicated below.​</t>
  </si>
  <si>
    <t>sinmax4</t>
  </si>
  <si>
    <t>      D</t>
  </si>
  <si>
    <t> All persons whose basic weekly wage is equal to or exceeds the amount indicated below.​</t>
  </si>
  <si>
    <t>sinmax5</t>
  </si>
  <si>
    <t>​ ​ ​ ​ ​ ​ ​</t>
  </si>
  <si>
    <t>Married Rates</t>
  </si>
  <si>
    <t>Persons born from 1st January 1962 onwards​</t>
  </si>
  <si>
    <t>marmax1</t>
  </si>
  <si>
    <t>      C</t>
  </si>
  <si>
    <t>marmax2</t>
  </si>
  <si>
    <t>marmax3</t>
  </si>
  <si>
    <t>marmax4</t>
  </si>
  <si>
    <t>      E</t>
  </si>
  <si>
    <t>10% Max.4.38</t>
  </si>
  <si>
    <t>0.3% Max.0.13</t>
  </si>
  <si>
    <t>​ Students* under 18 years of age.</t>
  </si>
  <si>
    <t>marmax5</t>
  </si>
  <si>
    <t>      F</t>
  </si>
  <si>
    <t>10% Max.7.94</t>
  </si>
  <si>
    <t>0.3% Max.0.24</t>
  </si>
  <si>
    <t>Married Rates with 1 child</t>
  </si>
  <si>
    <t>1 Basic Weekly Wage or the weekly equivalent of the basic monthly salary</t>
  </si>
  <si>
    <t>mar1max1</t>
  </si>
  <si>
    <t>2 For percentage rates, the weekly rate payable is calculated to the nearest cent</t>
  </si>
  <si>
    <t>mar1max2</t>
  </si>
  <si>
    <t>mar1max3</t>
  </si>
  <si>
    <t>mar1max4</t>
  </si>
  <si>
    <t>mar1max5</t>
  </si>
  <si>
    <t>Married Rates with 2 children or more</t>
  </si>
  <si>
    <t>mar2max1</t>
  </si>
  <si>
    <t>mar2max2</t>
  </si>
  <si>
    <t>mar2max3</t>
  </si>
  <si>
    <t>mar2max4</t>
  </si>
  <si>
    <t>mar2max5</t>
  </si>
  <si>
    <t>Parent Rates</t>
  </si>
  <si>
    <t>parmax1</t>
  </si>
  <si>
    <t>parmax2</t>
  </si>
  <si>
    <t>parmax3</t>
  </si>
  <si>
    <t>parmax4</t>
  </si>
  <si>
    <t>parmax5</t>
  </si>
  <si>
    <t>Parent Rates with 1 child</t>
  </si>
  <si>
    <t>par1max1</t>
  </si>
  <si>
    <t>par1max2</t>
  </si>
  <si>
    <t>par1max3</t>
  </si>
  <si>
    <t>par1max4</t>
  </si>
  <si>
    <t>par1max5</t>
  </si>
  <si>
    <t>Parent Rates with 2 children or more</t>
  </si>
  <si>
    <t>par2max1</t>
  </si>
  <si>
    <t>par2max2</t>
  </si>
  <si>
    <t>par2max3</t>
  </si>
  <si>
    <t>par2max4</t>
  </si>
  <si>
    <t>par2max5</t>
  </si>
  <si>
    <t>sheetname</t>
  </si>
  <si>
    <t>Year</t>
  </si>
  <si>
    <t>ID No</t>
  </si>
  <si>
    <t>SS Number</t>
  </si>
  <si>
    <t>Spouse ID</t>
  </si>
  <si>
    <t>Period From</t>
  </si>
  <si>
    <t>Period To</t>
  </si>
  <si>
    <t>Gross Emol (Main / Other)</t>
  </si>
  <si>
    <t>Overtime Emol</t>
  </si>
  <si>
    <t>Gross Emol (Part Time)</t>
  </si>
  <si>
    <t>Fringe Cat 1</t>
  </si>
  <si>
    <t>Fringe Cat 2</t>
  </si>
  <si>
    <t>Fringe Cat 3</t>
  </si>
  <si>
    <t>Fringe Share Options</t>
  </si>
  <si>
    <t>NTCCA</t>
  </si>
  <si>
    <t>Main Tax Deductions</t>
  </si>
  <si>
    <t>Overtime Tax Deductions</t>
  </si>
  <si>
    <t>Part Tax Deductions</t>
  </si>
  <si>
    <t>Tax Arrears</t>
  </si>
  <si>
    <t>Tax Share Options</t>
  </si>
  <si>
    <t>Overtime Hours</t>
  </si>
  <si>
    <t>MFC</t>
  </si>
  <si>
    <t>PE Number</t>
  </si>
  <si>
    <t>SS</t>
  </si>
  <si>
    <t>No of Weeks</t>
  </si>
  <si>
    <t>Class</t>
  </si>
  <si>
    <t>Payee Contrib</t>
  </si>
  <si>
    <t>Payer Contrib</t>
  </si>
  <si>
    <t>Unpaid From</t>
  </si>
  <si>
    <t>Unpaid To</t>
  </si>
  <si>
    <t>Unpaid Weeks</t>
  </si>
  <si>
    <t>Gabriele</t>
  </si>
  <si>
    <t>ny 12.30</t>
  </si>
  <si>
    <t>revolut</t>
  </si>
  <si>
    <t>Sent</t>
  </si>
  <si>
    <t>Transaction ID is: 174692759</t>
  </si>
  <si>
    <t>Transaction ID is: 174692779</t>
  </si>
  <si>
    <t>Transaction ID is: 174692819</t>
  </si>
  <si>
    <t>Transaction ID is: 174692829</t>
  </si>
  <si>
    <t>Transaction ID is: 174692864</t>
  </si>
  <si>
    <t>Transaction ID is: 174692885</t>
  </si>
  <si>
    <t>Transaction ID is: 174692944</t>
  </si>
  <si>
    <t>Transaction ID is: 174692961</t>
  </si>
  <si>
    <t>Transaction ID is: 174693003</t>
  </si>
  <si>
    <t>Transaction ID is: 174693020</t>
  </si>
  <si>
    <t>Transaction ID is: 174693061</t>
  </si>
  <si>
    <t>Transaction ID is: 174693082</t>
  </si>
  <si>
    <t>MT44VALL22013000000040022723312</t>
  </si>
  <si>
    <t>Transaction ID is: 174693953</t>
  </si>
  <si>
    <t xml:space="preserve">overpaid in jan </t>
  </si>
  <si>
    <t>Transaction ID is: 175304899</t>
  </si>
  <si>
    <t>Transaction ID is: 175304958</t>
  </si>
  <si>
    <t>Transaction ID is: 175305006</t>
  </si>
  <si>
    <t>Transaction ID is: 175305057</t>
  </si>
  <si>
    <t>For jan and feb I sent this in cheques due to error in hours</t>
  </si>
  <si>
    <t xml:space="preserve">Payslips amended to correct 21 hrs </t>
  </si>
  <si>
    <t>Overpaid</t>
  </si>
  <si>
    <t xml:space="preserve">This cheque only pay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</si>
</sst>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quot;€&quot;* #,##0.00_-;\-&quot;€&quot;* #,##0.00_-;_-&quot;€&quot;* &quot;-&quot;??_-;_-@"/>
    <numFmt numFmtId="165" formatCode="yyyy"/>
    <numFmt numFmtId="166" formatCode="_-[$€-2]\ * #,##0.00_-;\-[$€-2]\ * #,##0.00_-;_-[$€-2]\ * &quot;-&quot;??_-;_-@_-"/>
    <numFmt numFmtId="167" formatCode="0.0"/>
    <numFmt numFmtId="168" formatCode="mmmyy"/>
    <numFmt numFmtId="169" formatCode="[$-F800]dddd\,\ mmmm\ dd\,\ yyyy"/>
    <numFmt numFmtId="170" formatCode="d/m/yyyy"/>
    <numFmt numFmtId="171" formatCode="yyyy;@"/>
    <numFmt numFmtId="172" formatCode="[$€-2]\ #,##0.00;[Red]\-[$€-2]\ #,##0.00"/>
    <numFmt numFmtId="173" formatCode="[$€-43A]#,##0.00"/>
    <numFmt numFmtId="174" formatCode="&quot;€&quot;#,##0.00"/>
    <numFmt numFmtId="175" formatCode="_-&quot;€&quot;* #,##0_-;\-&quot;€&quot;* #,##0_-;_-&quot;€&quot;* &quot;-&quot;??_-;_-@"/>
    <numFmt numFmtId="176" formatCode="0.#####"/>
    <numFmt numFmtId="177" formatCode="_-&quot;€&quot;* #,##0_-;\-&quot;€&quot;* #,##0_-;_-&quot;€&quot;* &quot;-&quot;_-;_-@"/>
    <numFmt numFmtId="178" formatCode="_(&quot;€&quot;* #,##0.00_);_(&quot;€&quot;* \(#,##0.00\);_(&quot;€&quot;* &quot;-&quot;??_);_(@_)"/>
  </numFmts>
  <fonts count="115" x14ac:knownFonts="1">
    <font>
      <sz val="11"/>
      <color theme="1"/>
      <name val="Calibri"/>
      <family val="2"/>
      <scheme val="minor"/>
    </font>
    <font>
      <sz val="11"/>
      <color rgb="FF9C5700"/>
      <name val="Calibri"/>
      <family val="2"/>
      <scheme val="minor"/>
    </font>
    <font>
      <sz val="11"/>
      <color rgb="FF000000"/>
      <name val="Calibri"/>
      <family val="2"/>
    </font>
    <font>
      <sz val="36"/>
      <color rgb="FF000000"/>
      <name val="Calibri"/>
      <family val="2"/>
    </font>
    <font>
      <b/>
      <sz val="12"/>
      <color rgb="FF000000"/>
      <name val="Calibri"/>
      <family val="2"/>
    </font>
    <font>
      <b/>
      <sz val="14"/>
      <color rgb="FF000000"/>
      <name val="Calibri"/>
      <family val="2"/>
    </font>
    <font>
      <sz val="11"/>
      <name val="Calibri"/>
      <family val="2"/>
    </font>
    <font>
      <sz val="8"/>
      <color rgb="FF000000"/>
      <name val="Calibri"/>
      <family val="2"/>
    </font>
    <font>
      <sz val="10"/>
      <color rgb="FF000000"/>
      <name val="Calibri"/>
      <family val="2"/>
    </font>
    <font>
      <sz val="9"/>
      <color rgb="FF000000"/>
      <name val="Calibri"/>
      <family val="2"/>
    </font>
    <font>
      <b/>
      <sz val="11"/>
      <color rgb="FF000000"/>
      <name val="Calibri"/>
      <family val="2"/>
    </font>
    <font>
      <sz val="11"/>
      <color rgb="FF000000"/>
      <name val="Calibri"/>
      <family val="2"/>
    </font>
    <font>
      <sz val="6"/>
      <color rgb="FF000000"/>
      <name val="Calibri"/>
      <family val="2"/>
    </font>
    <font>
      <sz val="11"/>
      <color theme="1"/>
      <name val="Calibri"/>
      <family val="2"/>
    </font>
    <font>
      <sz val="11"/>
      <color rgb="FFFF0000"/>
      <name val="Calibri"/>
      <family val="2"/>
    </font>
    <font>
      <b/>
      <sz val="11"/>
      <color theme="1"/>
      <name val="Calibri"/>
      <family val="2"/>
      <scheme val="minor"/>
    </font>
    <font>
      <sz val="22"/>
      <color theme="1"/>
      <name val="Calibri"/>
      <family val="2"/>
      <scheme val="minor"/>
    </font>
    <font>
      <sz val="8"/>
      <color theme="1"/>
      <name val="Calibri"/>
      <family val="2"/>
      <scheme val="minor"/>
    </font>
    <font>
      <b/>
      <sz val="8"/>
      <color rgb="FF333333"/>
      <name val="Segoe UI"/>
      <family val="2"/>
    </font>
    <font>
      <sz val="8"/>
      <color rgb="FF333333"/>
      <name val="Segoe UI"/>
      <family val="2"/>
    </font>
    <font>
      <b/>
      <sz val="11"/>
      <color rgb="FF333333"/>
      <name val="Segoe UI"/>
      <family val="2"/>
    </font>
    <font>
      <b/>
      <sz val="6"/>
      <color rgb="FF333333"/>
      <name val="Segoe UI"/>
      <family val="2"/>
    </font>
    <font>
      <sz val="11"/>
      <color rgb="FF333333"/>
      <name val="Segoe UI"/>
      <family val="2"/>
    </font>
    <font>
      <sz val="11"/>
      <color theme="1"/>
      <name val="Calibri"/>
      <family val="2"/>
      <scheme val="minor"/>
    </font>
    <font>
      <sz val="11"/>
      <color theme="0"/>
      <name val="Calibri"/>
      <family val="2"/>
      <scheme val="minor"/>
    </font>
    <font>
      <u/>
      <sz val="11"/>
      <color theme="10"/>
      <name val="Calibri"/>
      <family val="2"/>
    </font>
    <font>
      <sz val="11"/>
      <color rgb="FF000000"/>
      <name val="Calibri"/>
      <family val="2"/>
    </font>
    <font>
      <sz val="11"/>
      <color theme="0"/>
      <name val="Calibri"/>
      <family val="2"/>
    </font>
    <font>
      <b/>
      <sz val="8"/>
      <color rgb="FFFF0000"/>
      <name val="Segoe UI"/>
      <family val="2"/>
    </font>
    <font>
      <sz val="8"/>
      <color rgb="FFFF0000"/>
      <name val="Segoe UI"/>
      <family val="2"/>
    </font>
    <font>
      <sz val="12"/>
      <name val="Calibri"/>
      <family val="2"/>
    </font>
    <font>
      <sz val="9"/>
      <color theme="1"/>
      <name val="Calibri"/>
      <family val="2"/>
      <scheme val="minor"/>
    </font>
    <font>
      <sz val="8"/>
      <color theme="1"/>
      <name val="Calibri"/>
      <family val="2"/>
    </font>
    <font>
      <sz val="11"/>
      <color theme="8"/>
      <name val="Calibri"/>
      <family val="2"/>
    </font>
    <font>
      <sz val="9"/>
      <name val="Calibri"/>
      <family val="2"/>
    </font>
    <font>
      <sz val="8"/>
      <name val="Calibri"/>
      <family val="2"/>
    </font>
    <font>
      <sz val="11"/>
      <color rgb="FFFFFF00"/>
      <name val="Calibri"/>
      <family val="2"/>
    </font>
    <font>
      <sz val="14"/>
      <color rgb="FFFF0000"/>
      <name val="Calibri"/>
      <family val="2"/>
    </font>
    <font>
      <sz val="11"/>
      <color theme="1"/>
      <name val="Arial"/>
      <family val="2"/>
    </font>
    <font>
      <sz val="11"/>
      <color rgb="FF002060"/>
      <name val="Calibri"/>
      <family val="2"/>
    </font>
    <font>
      <sz val="10"/>
      <color rgb="FFFF0000"/>
      <name val="Calibri"/>
      <family val="2"/>
    </font>
    <font>
      <sz val="20"/>
      <color rgb="FF000000"/>
      <name val="Calibri"/>
      <family val="2"/>
    </font>
    <font>
      <sz val="12"/>
      <color theme="0"/>
      <name val="Calibri"/>
      <family val="2"/>
    </font>
    <font>
      <sz val="10"/>
      <color theme="1"/>
      <name val="Calibri"/>
      <family val="2"/>
      <scheme val="minor"/>
    </font>
    <font>
      <sz val="11"/>
      <color theme="0"/>
      <name val="Arial"/>
      <family val="2"/>
    </font>
    <font>
      <sz val="10.5"/>
      <color rgb="FF333333"/>
      <name val="Segoe UI"/>
      <family val="2"/>
    </font>
    <font>
      <sz val="11"/>
      <name val="Calibri"/>
      <family val="2"/>
      <scheme val="minor"/>
    </font>
    <font>
      <sz val="8"/>
      <color theme="0"/>
      <name val="Calibri"/>
      <family val="2"/>
    </font>
    <font>
      <sz val="10.5"/>
      <color rgb="FFFF0000"/>
      <name val="Segoe UI"/>
      <family val="2"/>
    </font>
    <font>
      <sz val="18"/>
      <color theme="4" tint="-0.249977111117893"/>
      <name val="Segoe UI"/>
      <family val="2"/>
    </font>
    <font>
      <sz val="24"/>
      <color rgb="FF202124"/>
      <name val="Arial"/>
      <family val="2"/>
    </font>
    <font>
      <sz val="20"/>
      <color theme="0"/>
      <name val="Calibri"/>
      <family val="2"/>
    </font>
    <font>
      <sz val="14"/>
      <color theme="0"/>
      <name val="Calibri"/>
      <family val="2"/>
    </font>
    <font>
      <sz val="10"/>
      <color theme="0"/>
      <name val="Calibri"/>
      <family val="2"/>
    </font>
    <font>
      <sz val="10"/>
      <color theme="4" tint="-0.499984740745262"/>
      <name val="Verdana"/>
      <family val="2"/>
    </font>
    <font>
      <sz val="11"/>
      <color theme="4" tint="-0.499984740745262"/>
      <name val="Calibri"/>
      <family val="2"/>
    </font>
    <font>
      <b/>
      <sz val="8"/>
      <color theme="0"/>
      <name val="Calibri"/>
      <family val="2"/>
    </font>
    <font>
      <sz val="14"/>
      <color rgb="FF0070C0"/>
      <name val="Calibri"/>
      <family val="2"/>
    </font>
    <font>
      <sz val="9"/>
      <color theme="4" tint="-0.499984740745262"/>
      <name val="Verdana"/>
      <family val="2"/>
    </font>
    <font>
      <sz val="8"/>
      <color theme="4" tint="-0.499984740745262"/>
      <name val="Verdana"/>
      <family val="2"/>
    </font>
    <font>
      <sz val="9"/>
      <color rgb="FF002060"/>
      <name val="Verdana"/>
      <family val="2"/>
    </font>
    <font>
      <sz val="9"/>
      <color rgb="FF002060"/>
      <name val="Calibri"/>
      <family val="2"/>
    </font>
    <font>
      <sz val="11"/>
      <color rgb="FF006100"/>
      <name val="Calibri"/>
      <family val="2"/>
      <scheme val="minor"/>
    </font>
    <font>
      <sz val="18"/>
      <color rgb="FF000000"/>
      <name val="Calibri"/>
      <family val="2"/>
    </font>
    <font>
      <sz val="11"/>
      <color rgb="FFFF0000"/>
      <name val="Calibri"/>
      <family val="2"/>
      <scheme val="minor"/>
    </font>
    <font>
      <sz val="11"/>
      <color theme="0"/>
      <name val="Segoe UI"/>
      <family val="2"/>
    </font>
    <font>
      <u/>
      <sz val="11"/>
      <color theme="10"/>
      <name val="Calibri"/>
      <family val="2"/>
      <scheme val="minor"/>
    </font>
    <font>
      <b/>
      <sz val="14"/>
      <color rgb="FF0070C0"/>
      <name val="Verdana"/>
      <family val="2"/>
    </font>
    <font>
      <sz val="10"/>
      <color theme="1"/>
      <name val="Calibri"/>
      <family val="2"/>
    </font>
    <font>
      <sz val="8"/>
      <color rgb="FFFF0000"/>
      <name val="Calibri"/>
      <family val="2"/>
    </font>
    <font>
      <sz val="14"/>
      <color theme="1"/>
      <name val="Calibri"/>
      <family val="2"/>
    </font>
    <font>
      <b/>
      <sz val="14"/>
      <color theme="1"/>
      <name val="Calibri"/>
      <family val="2"/>
    </font>
    <font>
      <b/>
      <sz val="16"/>
      <color theme="1"/>
      <name val="Calibri"/>
      <family val="2"/>
      <scheme val="minor"/>
    </font>
    <font>
      <b/>
      <sz val="18"/>
      <color rgb="FF000000"/>
      <name val="Calibri"/>
      <family val="2"/>
    </font>
    <font>
      <sz val="24"/>
      <color theme="1"/>
      <name val="Calibri"/>
      <family val="2"/>
      <scheme val="minor"/>
    </font>
    <font>
      <sz val="7"/>
      <color rgb="FF000000"/>
      <name val="Calibri"/>
      <family val="2"/>
    </font>
    <font>
      <sz val="14"/>
      <color rgb="FFFFFF00"/>
      <name val="Calibri"/>
      <family val="2"/>
    </font>
    <font>
      <sz val="6"/>
      <color rgb="FFFF0000"/>
      <name val="Calibri"/>
      <family val="2"/>
    </font>
    <font>
      <sz val="11"/>
      <name val="Arial"/>
      <family val="2"/>
    </font>
    <font>
      <sz val="8"/>
      <color theme="0"/>
      <name val="Calibri"/>
      <family val="2"/>
      <scheme val="minor"/>
    </font>
    <font>
      <sz val="12"/>
      <color rgb="FF7030A0"/>
      <name val="Calibri"/>
      <family val="2"/>
    </font>
    <font>
      <sz val="12"/>
      <color rgb="FF7030A0"/>
      <name val="Calibri"/>
      <family val="2"/>
      <scheme val="minor"/>
    </font>
    <font>
      <sz val="9"/>
      <color rgb="FFFF0000"/>
      <name val="Calibri"/>
      <family val="2"/>
    </font>
    <font>
      <sz val="14"/>
      <color rgb="FF000000"/>
      <name val="Calibri"/>
      <family val="2"/>
    </font>
    <font>
      <b/>
      <sz val="9"/>
      <color rgb="FF98266F"/>
      <name val="Trebuchet MS"/>
      <family val="2"/>
    </font>
    <font>
      <sz val="11"/>
      <color rgb="FF9C0006"/>
      <name val="Calibri"/>
      <family val="2"/>
      <scheme val="minor"/>
    </font>
    <font>
      <sz val="16"/>
      <color theme="1"/>
      <name val="Calibri"/>
      <family val="2"/>
      <scheme val="minor"/>
    </font>
    <font>
      <i/>
      <sz val="11"/>
      <color rgb="FF7030A0"/>
      <name val="Calibri"/>
      <family val="2"/>
      <scheme val="minor"/>
    </font>
    <font>
      <b/>
      <sz val="11"/>
      <color theme="0"/>
      <name val="Calibri"/>
      <family val="2"/>
    </font>
    <font>
      <u/>
      <sz val="11"/>
      <color rgb="FF5CE638"/>
      <name val="Courier New"/>
      <family val="3"/>
    </font>
    <font>
      <sz val="11"/>
      <color rgb="FF7030A0"/>
      <name val="Calibri"/>
      <family val="2"/>
      <scheme val="minor"/>
    </font>
    <font>
      <sz val="7"/>
      <color rgb="FF000000"/>
      <name val="Arial"/>
      <family val="2"/>
    </font>
    <font>
      <b/>
      <sz val="7"/>
      <color rgb="FF98266F"/>
      <name val="Trebuchet MS"/>
      <family val="2"/>
    </font>
    <font>
      <b/>
      <sz val="11"/>
      <name val="Calibri"/>
      <family val="2"/>
    </font>
    <font>
      <sz val="16"/>
      <color rgb="FF9C0006"/>
      <name val="Calibri"/>
      <family val="2"/>
      <scheme val="minor"/>
    </font>
    <font>
      <sz val="14"/>
      <color rgb="FF000000"/>
      <name val="Courier New"/>
      <family val="3"/>
    </font>
    <font>
      <b/>
      <sz val="10"/>
      <color indexed="8"/>
      <name val="Arial"/>
      <family val="2"/>
    </font>
    <font>
      <sz val="11"/>
      <color rgb="FF0D0D0D"/>
      <name val="Consolas"/>
      <family val="3"/>
    </font>
    <font>
      <sz val="11"/>
      <color rgb="FFC18401"/>
      <name val="Consolas"/>
      <family val="3"/>
    </font>
    <font>
      <sz val="11"/>
      <color rgb="FFFFFF00"/>
      <name val="Calibri"/>
      <family val="2"/>
      <scheme val="minor"/>
    </font>
    <font>
      <b/>
      <sz val="10"/>
      <color theme="4" tint="-0.499984740745262"/>
      <name val="Verdana"/>
      <family val="2"/>
    </font>
    <font>
      <b/>
      <sz val="11"/>
      <color theme="4" tint="-0.499984740745262"/>
      <name val="Calibri"/>
      <family val="2"/>
    </font>
    <font>
      <b/>
      <sz val="10"/>
      <color indexed="62" tint="-0.499984740745262"/>
      <name val="Verdana"/>
      <family val="2"/>
    </font>
    <font>
      <b/>
      <sz val="11"/>
      <color indexed="62" tint="-0.499984740745262"/>
      <name val="Calibri"/>
      <family val="2"/>
    </font>
    <font>
      <b/>
      <sz val="10"/>
      <color indexed="62"/>
      <name val="Verdana"/>
      <family val="2"/>
    </font>
    <font>
      <b/>
      <sz val="11"/>
      <color indexed="62"/>
      <name val="Calibri"/>
      <family val="2"/>
    </font>
    <font>
      <b/>
      <sz val="8"/>
      <color theme="4" tint="-0.499984740745262"/>
      <name val="Verdana"/>
      <family val="2"/>
    </font>
    <font>
      <b/>
      <sz val="11"/>
      <color theme="1"/>
      <name val="Calibri"/>
      <family val="2"/>
    </font>
    <font>
      <b/>
      <sz val="14"/>
      <color rgb="FF0070C0"/>
      <name val="Calibri"/>
      <family val="2"/>
    </font>
    <font>
      <b/>
      <sz val="9"/>
      <color theme="4" tint="-0.499984740745262"/>
      <name val="Verdana"/>
      <family val="2"/>
    </font>
    <font>
      <b/>
      <sz val="9"/>
      <color rgb="FF000000"/>
      <name val="Calibri"/>
      <family val="2"/>
    </font>
    <font>
      <b/>
      <sz val="9"/>
      <color rgb="FF002060"/>
      <name val="Verdana"/>
      <family val="2"/>
    </font>
    <font>
      <b/>
      <sz val="9"/>
      <color rgb="FF002060"/>
      <name val="Calibri"/>
      <family val="2"/>
    </font>
    <font>
      <b/>
      <sz val="9"/>
      <color indexed="62" tint="-0.499984740745262"/>
      <name val="Verdana"/>
      <family val="2"/>
    </font>
    <font>
      <b/>
      <sz val="9"/>
      <color indexed="62"/>
      <name val="Verdana"/>
      <family val="2"/>
    </font>
  </fonts>
  <fills count="42">
    <fill>
      <patternFill patternType="none"/>
    </fill>
    <fill>
      <patternFill patternType="gray125"/>
    </fill>
    <fill>
      <patternFill patternType="solid">
        <fgColor rgb="FFFFEB9C"/>
      </patternFill>
    </fill>
    <fill>
      <patternFill patternType="solid">
        <fgColor rgb="FFD8D8D8"/>
        <bgColor rgb="FFD8D8D8"/>
      </patternFill>
    </fill>
    <fill>
      <patternFill patternType="solid">
        <fgColor theme="0" tint="-0.14999847407452621"/>
        <bgColor indexed="64"/>
      </patternFill>
    </fill>
    <fill>
      <patternFill patternType="solid">
        <fgColor theme="0"/>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1"/>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4"/>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0070C0"/>
        <bgColor indexed="64"/>
      </patternFill>
    </fill>
    <fill>
      <patternFill patternType="solid">
        <fgColor theme="2"/>
        <bgColor indexed="64"/>
      </patternFill>
    </fill>
    <fill>
      <patternFill patternType="solid">
        <fgColor theme="2" tint="-0.249977111117893"/>
        <bgColor indexed="64"/>
      </patternFill>
    </fill>
    <fill>
      <patternFill patternType="solid">
        <fgColor theme="1" tint="0.499984740745262"/>
        <bgColor indexed="64"/>
      </patternFill>
    </fill>
    <fill>
      <patternFill patternType="solid">
        <fgColor theme="8" tint="0.39997558519241921"/>
        <bgColor indexed="64"/>
      </patternFill>
    </fill>
    <fill>
      <patternFill patternType="solid">
        <fgColor rgb="FFC6EFCE"/>
      </patternFill>
    </fill>
    <fill>
      <patternFill patternType="solid">
        <fgColor theme="2" tint="-0.499984740745262"/>
        <bgColor indexed="64"/>
      </patternFill>
    </fill>
    <fill>
      <patternFill patternType="solid">
        <fgColor theme="0" tint="-0.34998626667073579"/>
        <bgColor rgb="FFBFBFBF"/>
      </patternFill>
    </fill>
    <fill>
      <patternFill patternType="solid">
        <fgColor theme="0" tint="-0.34998626667073579"/>
        <bgColor indexed="64"/>
      </patternFill>
    </fill>
    <fill>
      <patternFill patternType="solid">
        <fgColor theme="4" tint="0.39997558519241921"/>
        <bgColor rgb="FFBFBFBF"/>
      </patternFill>
    </fill>
    <fill>
      <patternFill patternType="solid">
        <fgColor rgb="FF00B0F0"/>
        <bgColor indexed="64"/>
      </patternFill>
    </fill>
    <fill>
      <patternFill patternType="solid">
        <fgColor rgb="FFFFC7CE"/>
      </patternFill>
    </fill>
    <fill>
      <patternFill patternType="solid">
        <fgColor theme="0"/>
        <bgColor rgb="FFD8D8D8"/>
      </patternFill>
    </fill>
    <fill>
      <patternFill patternType="solid">
        <fgColor theme="4" tint="0.79998168889431442"/>
        <bgColor rgb="FFD8D8D8"/>
      </patternFill>
    </fill>
    <fill>
      <patternFill patternType="solid">
        <fgColor rgb="FFFFFFFF"/>
        <bgColor rgb="FFFFFFFF"/>
      </patternFill>
    </fill>
    <fill>
      <patternFill patternType="solid">
        <fgColor theme="0"/>
        <bgColor rgb="FFFFFFFF"/>
      </patternFill>
    </fill>
    <fill>
      <patternFill patternType="solid">
        <fgColor indexed="13"/>
        <bgColor indexed="64"/>
      </patternFill>
    </fill>
    <fill>
      <patternFill patternType="solid">
        <fgColor theme="5"/>
        <bgColor indexed="64"/>
      </patternFill>
    </fill>
    <fill>
      <patternFill patternType="solid">
        <fgColor theme="5" tint="0.59999389629810485"/>
        <bgColor indexed="64"/>
      </patternFill>
    </fill>
    <fill>
      <patternFill patternType="solid">
        <fgColor rgb="FF4472C4"/>
        <bgColor indexed="64"/>
      </patternFill>
    </fill>
    <fill>
      <patternFill patternType="solid">
        <fgColor theme="9" tint="-0.249977111117893"/>
        <bgColor indexed="64"/>
      </patternFill>
    </fill>
    <fill>
      <patternFill patternType="solid">
        <fgColor rgb="FF7030A0"/>
        <bgColor indexed="64"/>
      </patternFill>
    </fill>
  </fills>
  <borders count="193">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top/>
      <bottom/>
      <diagonal/>
    </border>
    <border>
      <left style="thin">
        <color rgb="FF000000"/>
      </left>
      <right style="thin">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style="thin">
        <color rgb="FF000000"/>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top style="medium">
        <color indexed="64"/>
      </top>
      <bottom style="medium">
        <color indexed="64"/>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bottom style="thin">
        <color rgb="FF000000"/>
      </bottom>
      <diagonal/>
    </border>
    <border>
      <left style="medium">
        <color indexed="64"/>
      </left>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style="medium">
        <color indexed="64"/>
      </left>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top style="thin">
        <color rgb="FF000000"/>
      </top>
      <bottom/>
      <diagonal/>
    </border>
    <border>
      <left/>
      <right style="medium">
        <color indexed="64"/>
      </right>
      <top style="thin">
        <color rgb="FF000000"/>
      </top>
      <bottom/>
      <diagonal/>
    </border>
    <border>
      <left style="medium">
        <color indexed="64"/>
      </left>
      <right style="medium">
        <color indexed="64"/>
      </right>
      <top/>
      <bottom/>
      <diagonal/>
    </border>
    <border>
      <left/>
      <right style="thin">
        <color rgb="FF000000"/>
      </right>
      <top style="medium">
        <color indexed="64"/>
      </top>
      <bottom style="medium">
        <color indexed="64"/>
      </bottom>
      <diagonal/>
    </border>
    <border>
      <left style="medium">
        <color rgb="FF000000"/>
      </left>
      <right/>
      <top style="thin">
        <color rgb="FF000000"/>
      </top>
      <bottom/>
      <diagonal/>
    </border>
    <border>
      <left/>
      <right style="medium">
        <color rgb="FF000000"/>
      </right>
      <top style="thin">
        <color rgb="FF000000"/>
      </top>
      <bottom/>
      <diagonal/>
    </border>
    <border>
      <left style="thick">
        <color rgb="FF0070C0"/>
      </left>
      <right style="thick">
        <color rgb="FF0070C0"/>
      </right>
      <top style="thick">
        <color rgb="FF0070C0"/>
      </top>
      <bottom style="thick">
        <color rgb="FF0070C0"/>
      </bottom>
      <diagonal/>
    </border>
    <border>
      <left/>
      <right/>
      <top style="medium">
        <color rgb="FF0070C0"/>
      </top>
      <bottom style="thin">
        <color rgb="FF000000"/>
      </bottom>
      <diagonal/>
    </border>
    <border>
      <left/>
      <right style="thin">
        <color rgb="FF000000"/>
      </right>
      <top style="medium">
        <color rgb="FF0070C0"/>
      </top>
      <bottom style="thin">
        <color rgb="FF000000"/>
      </bottom>
      <diagonal/>
    </border>
    <border>
      <left/>
      <right/>
      <top style="medium">
        <color rgb="FF0070C0"/>
      </top>
      <bottom/>
      <diagonal/>
    </border>
    <border>
      <left/>
      <right/>
      <top/>
      <bottom style="medium">
        <color rgb="FF0070C0"/>
      </bottom>
      <diagonal/>
    </border>
    <border>
      <left/>
      <right/>
      <top style="medium">
        <color rgb="FF0070C0"/>
      </top>
      <bottom style="medium">
        <color rgb="FF000000"/>
      </bottom>
      <diagonal/>
    </border>
    <border>
      <left style="medium">
        <color rgb="FF000000"/>
      </left>
      <right/>
      <top style="thin">
        <color rgb="FF000000"/>
      </top>
      <bottom style="medium">
        <color rgb="FF0070C0"/>
      </bottom>
      <diagonal/>
    </border>
    <border>
      <left style="thin">
        <color rgb="FF000000"/>
      </left>
      <right style="thin">
        <color rgb="FF000000"/>
      </right>
      <top style="thin">
        <color rgb="FF000000"/>
      </top>
      <bottom style="medium">
        <color rgb="FF0070C0"/>
      </bottom>
      <diagonal/>
    </border>
    <border>
      <left/>
      <right/>
      <top style="thin">
        <color rgb="FF000000"/>
      </top>
      <bottom style="medium">
        <color rgb="FF0070C0"/>
      </bottom>
      <diagonal/>
    </border>
    <border>
      <left/>
      <right style="thin">
        <color rgb="FF000000"/>
      </right>
      <top style="thin">
        <color rgb="FF000000"/>
      </top>
      <bottom style="medium">
        <color rgb="FF0070C0"/>
      </bottom>
      <diagonal/>
    </border>
    <border>
      <left/>
      <right/>
      <top style="medium">
        <color rgb="FF0070C0"/>
      </top>
      <bottom style="thin">
        <color indexed="64"/>
      </bottom>
      <diagonal/>
    </border>
    <border>
      <left/>
      <right style="thin">
        <color indexed="64"/>
      </right>
      <top style="medium">
        <color rgb="FF0070C0"/>
      </top>
      <bottom style="thin">
        <color indexed="64"/>
      </bottom>
      <diagonal/>
    </border>
    <border>
      <left style="thin">
        <color indexed="64"/>
      </left>
      <right/>
      <top style="medium">
        <color rgb="FF0070C0"/>
      </top>
      <bottom/>
      <diagonal/>
    </border>
    <border>
      <left/>
      <right style="medium">
        <color indexed="64"/>
      </right>
      <top style="medium">
        <color indexed="64"/>
      </top>
      <bottom style="medium">
        <color rgb="FF0070C0"/>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top/>
      <bottom style="thin">
        <color rgb="FF000000"/>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rgb="FF000000"/>
      </left>
      <right style="medium">
        <color rgb="FF000000"/>
      </right>
      <top style="thin">
        <color rgb="FF000000"/>
      </top>
      <bottom style="medium">
        <color rgb="FF000000"/>
      </bottom>
      <diagonal/>
    </border>
    <border>
      <left style="medium">
        <color indexed="64"/>
      </left>
      <right style="double">
        <color indexed="64"/>
      </right>
      <top style="medium">
        <color indexed="64"/>
      </top>
      <bottom style="double">
        <color indexed="64"/>
      </bottom>
      <diagonal/>
    </border>
    <border>
      <left style="double">
        <color indexed="64"/>
      </left>
      <right style="medium">
        <color indexed="64"/>
      </right>
      <top style="medium">
        <color indexed="64"/>
      </top>
      <bottom style="double">
        <color indexed="64"/>
      </bottom>
      <diagonal/>
    </border>
    <border>
      <left style="double">
        <color indexed="64"/>
      </left>
      <right style="medium">
        <color indexed="64"/>
      </right>
      <top style="double">
        <color indexed="64"/>
      </top>
      <bottom style="double">
        <color indexed="64"/>
      </bottom>
      <diagonal/>
    </border>
    <border>
      <left style="thin">
        <color indexed="64"/>
      </left>
      <right style="medium">
        <color indexed="64"/>
      </right>
      <top/>
      <bottom style="medium">
        <color indexed="64"/>
      </bottom>
      <diagonal/>
    </border>
    <border>
      <left style="medium">
        <color indexed="64"/>
      </left>
      <right/>
      <top style="medium">
        <color rgb="FF0070C0"/>
      </top>
      <bottom/>
      <diagonal/>
    </border>
    <border>
      <left/>
      <right style="medium">
        <color indexed="64"/>
      </right>
      <top style="medium">
        <color rgb="FF0070C0"/>
      </top>
      <bottom/>
      <diagonal/>
    </border>
    <border>
      <left style="medium">
        <color indexed="64"/>
      </left>
      <right/>
      <top/>
      <bottom style="medium">
        <color rgb="FF0070C0"/>
      </bottom>
      <diagonal/>
    </border>
    <border>
      <left/>
      <right style="medium">
        <color indexed="64"/>
      </right>
      <top/>
      <bottom style="medium">
        <color rgb="FF0070C0"/>
      </bottom>
      <diagonal/>
    </border>
    <border>
      <left style="medium">
        <color indexed="64"/>
      </left>
      <right style="thin">
        <color rgb="FF000000"/>
      </right>
      <top style="medium">
        <color rgb="FF0070C0"/>
      </top>
      <bottom style="thin">
        <color rgb="FF000000"/>
      </bottom>
      <diagonal/>
    </border>
    <border>
      <left/>
      <right style="medium">
        <color indexed="64"/>
      </right>
      <top style="medium">
        <color rgb="FF000000"/>
      </top>
      <bottom style="thin">
        <color rgb="FF000000"/>
      </bottom>
      <diagonal/>
    </border>
    <border>
      <left/>
      <right style="medium">
        <color indexed="64"/>
      </right>
      <top style="thin">
        <color rgb="FF000000"/>
      </top>
      <bottom style="medium">
        <color rgb="FF000000"/>
      </bottom>
      <diagonal/>
    </border>
    <border>
      <left/>
      <right style="medium">
        <color indexed="64"/>
      </right>
      <top style="thin">
        <color rgb="FF000000"/>
      </top>
      <bottom style="medium">
        <color rgb="FF0070C0"/>
      </bottom>
      <diagonal/>
    </border>
    <border>
      <left style="thin">
        <color rgb="FF000000"/>
      </left>
      <right style="medium">
        <color indexed="64"/>
      </right>
      <top style="thin">
        <color rgb="FF000000"/>
      </top>
      <bottom style="medium">
        <color rgb="FF000000"/>
      </bottom>
      <diagonal/>
    </border>
    <border>
      <left style="medium">
        <color indexed="64"/>
      </left>
      <right style="thin">
        <color indexed="64"/>
      </right>
      <top style="medium">
        <color rgb="FF0070C0"/>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rgb="FF000000"/>
      </left>
      <right style="thin">
        <color rgb="FF000000"/>
      </right>
      <top/>
      <bottom style="medium">
        <color indexed="64"/>
      </bottom>
      <diagonal/>
    </border>
    <border>
      <left style="thin">
        <color rgb="FF000000"/>
      </left>
      <right/>
      <top/>
      <bottom style="medium">
        <color indexed="64"/>
      </bottom>
      <diagonal/>
    </border>
    <border>
      <left/>
      <right style="thin">
        <color rgb="FF000000"/>
      </right>
      <top/>
      <bottom style="medium">
        <color indexed="64"/>
      </bottom>
      <diagonal/>
    </border>
    <border>
      <left style="medium">
        <color theme="4" tint="-0.249977111117893"/>
      </left>
      <right style="medium">
        <color theme="4" tint="-0.249977111117893"/>
      </right>
      <top style="medium">
        <color theme="4" tint="-0.249977111117893"/>
      </top>
      <bottom/>
      <diagonal/>
    </border>
    <border>
      <left style="medium">
        <color theme="4" tint="-0.249977111117893"/>
      </left>
      <right style="medium">
        <color theme="4" tint="-0.249977111117893"/>
      </right>
      <top/>
      <bottom/>
      <diagonal/>
    </border>
    <border>
      <left style="medium">
        <color theme="4" tint="-0.249977111117893"/>
      </left>
      <right style="medium">
        <color theme="4" tint="-0.249977111117893"/>
      </right>
      <top/>
      <bottom style="medium">
        <color theme="4" tint="-0.249977111117893"/>
      </bottom>
      <diagonal/>
    </border>
    <border>
      <left/>
      <right/>
      <top style="medium">
        <color theme="4" tint="-0.249977111117893"/>
      </top>
      <bottom style="medium">
        <color indexed="64"/>
      </bottom>
      <diagonal/>
    </border>
    <border>
      <left/>
      <right style="medium">
        <color indexed="64"/>
      </right>
      <top style="medium">
        <color theme="4" tint="-0.249977111117893"/>
      </top>
      <bottom style="medium">
        <color indexed="64"/>
      </bottom>
      <diagonal/>
    </border>
    <border>
      <left/>
      <right style="medium">
        <color theme="4" tint="-0.249977111117893"/>
      </right>
      <top style="medium">
        <color theme="4" tint="-0.249977111117893"/>
      </top>
      <bottom style="medium">
        <color indexed="64"/>
      </bottom>
      <diagonal/>
    </border>
    <border>
      <left style="medium">
        <color indexed="64"/>
      </left>
      <right style="medium">
        <color theme="4" tint="-0.249977111117893"/>
      </right>
      <top style="medium">
        <color indexed="64"/>
      </top>
      <bottom style="medium">
        <color indexed="64"/>
      </bottom>
      <diagonal/>
    </border>
    <border>
      <left/>
      <right style="medium">
        <color theme="4" tint="-0.249977111117893"/>
      </right>
      <top/>
      <bottom/>
      <diagonal/>
    </border>
    <border>
      <left style="medium">
        <color indexed="64"/>
      </left>
      <right style="medium">
        <color theme="4" tint="-0.249977111117893"/>
      </right>
      <top style="medium">
        <color indexed="64"/>
      </top>
      <bottom/>
      <diagonal/>
    </border>
    <border>
      <left/>
      <right style="medium">
        <color theme="4" tint="-0.249977111117893"/>
      </right>
      <top style="medium">
        <color indexed="64"/>
      </top>
      <bottom/>
      <diagonal/>
    </border>
    <border>
      <left/>
      <right style="medium">
        <color theme="4" tint="-0.249977111117893"/>
      </right>
      <top style="medium">
        <color indexed="64"/>
      </top>
      <bottom style="medium">
        <color indexed="64"/>
      </bottom>
      <diagonal/>
    </border>
    <border>
      <left/>
      <right/>
      <top style="medium">
        <color indexed="64"/>
      </top>
      <bottom style="medium">
        <color theme="4" tint="-0.249977111117893"/>
      </bottom>
      <diagonal/>
    </border>
    <border>
      <left/>
      <right style="medium">
        <color indexed="64"/>
      </right>
      <top style="medium">
        <color indexed="64"/>
      </top>
      <bottom style="medium">
        <color theme="4" tint="-0.249977111117893"/>
      </bottom>
      <diagonal/>
    </border>
    <border>
      <left style="medium">
        <color theme="4" tint="-0.249977111117893"/>
      </left>
      <right/>
      <top style="medium">
        <color theme="4" tint="-0.249977111117893"/>
      </top>
      <bottom/>
      <diagonal/>
    </border>
    <border>
      <left/>
      <right style="medium">
        <color theme="4" tint="-0.249977111117893"/>
      </right>
      <top style="medium">
        <color theme="4" tint="-0.249977111117893"/>
      </top>
      <bottom/>
      <diagonal/>
    </border>
    <border>
      <left style="medium">
        <color theme="4" tint="-0.249977111117893"/>
      </left>
      <right/>
      <top/>
      <bottom/>
      <diagonal/>
    </border>
    <border>
      <left style="medium">
        <color theme="4" tint="-0.249977111117893"/>
      </left>
      <right style="medium">
        <color indexed="64"/>
      </right>
      <top/>
      <bottom style="medium">
        <color indexed="64"/>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style="medium">
        <color theme="4" tint="-0.249977111117893"/>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diagonal/>
    </border>
    <border>
      <left style="thick">
        <color rgb="FF000000"/>
      </left>
      <right/>
      <top style="thick">
        <color rgb="FF000000"/>
      </top>
      <bottom/>
      <diagonal/>
    </border>
    <border>
      <left/>
      <right style="thick">
        <color rgb="FF000000"/>
      </right>
      <top style="thick">
        <color rgb="FF000000"/>
      </top>
      <bottom/>
      <diagonal/>
    </border>
    <border>
      <left style="thick">
        <color rgb="FF000000"/>
      </left>
      <right/>
      <top/>
      <bottom style="thick">
        <color rgb="FF000000"/>
      </bottom>
      <diagonal/>
    </border>
    <border>
      <left/>
      <right style="thick">
        <color rgb="FF000000"/>
      </right>
      <top/>
      <bottom style="thick">
        <color rgb="FF000000"/>
      </bottom>
      <diagonal/>
    </border>
    <border>
      <left style="thick">
        <color auto="1"/>
      </left>
      <right/>
      <top style="thick">
        <color auto="1"/>
      </top>
      <bottom/>
      <diagonal/>
    </border>
    <border>
      <left style="thick">
        <color auto="1"/>
      </left>
      <right/>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rgb="FF9E9E9E"/>
      </left>
      <right style="medium">
        <color rgb="FF9E9E9E"/>
      </right>
      <top style="medium">
        <color rgb="FF9E9E9E"/>
      </top>
      <bottom style="medium">
        <color rgb="FF9E9E9E"/>
      </bottom>
      <diagonal/>
    </border>
    <border>
      <left style="thin">
        <color indexed="47"/>
      </left>
      <right style="thin">
        <color indexed="47"/>
      </right>
      <top/>
      <bottom style="thick">
        <color indexed="47"/>
      </bottom>
      <diagonal/>
    </border>
    <border>
      <left/>
      <right style="thin">
        <color indexed="47"/>
      </right>
      <top/>
      <bottom style="thick">
        <color indexed="47"/>
      </bottom>
      <diagonal/>
    </border>
    <border>
      <left/>
      <right style="medium">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thin">
        <color rgb="FF000000"/>
      </right>
      <top style="thin">
        <color rgb="FF000000"/>
      </top>
      <bottom style="medium">
        <color rgb="FF000000"/>
      </bottom>
      <diagonal/>
    </border>
    <border>
      <left/>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right/>
      <top style="medium">
        <color rgb="FF000000"/>
      </top>
      <bottom style="thin">
        <color rgb="FF000000"/>
      </bottom>
      <diagonal/>
    </border>
    <border>
      <left style="thin">
        <color rgb="FF000000"/>
      </left>
      <right style="medium">
        <color indexed="64"/>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style="thin">
        <color rgb="FF000000"/>
      </left>
      <right style="medium">
        <color indexed="64"/>
      </right>
      <top style="medium">
        <color indexed="64"/>
      </top>
      <bottom style="thin">
        <color rgb="FF000000"/>
      </bottom>
      <diagonal/>
    </border>
    <border>
      <left style="thin">
        <color rgb="FF000000"/>
      </left>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right style="thin">
        <color rgb="FF000000"/>
      </right>
      <top style="medium">
        <color indexed="64"/>
      </top>
      <bottom/>
      <diagonal/>
    </border>
    <border>
      <left style="thin">
        <color rgb="FF000000"/>
      </left>
      <right/>
      <top style="medium">
        <color indexed="64"/>
      </top>
      <bottom/>
      <diagonal/>
    </border>
    <border>
      <left style="medium">
        <color rgb="FF000000"/>
      </left>
      <right style="medium">
        <color rgb="FF000000"/>
      </right>
      <top style="medium">
        <color rgb="FF000000"/>
      </top>
      <bottom style="medium">
        <color rgb="FF000000"/>
      </bottom>
      <diagonal/>
    </border>
    <border>
      <left style="double">
        <color indexed="64"/>
      </left>
      <right style="medium">
        <color indexed="64"/>
      </right>
      <top style="double">
        <color indexed="64"/>
      </top>
      <bottom/>
      <diagonal/>
    </border>
    <border>
      <left style="medium">
        <color rgb="FF000000"/>
      </left>
      <right style="medium">
        <color rgb="FF000000"/>
      </right>
      <top style="medium">
        <color rgb="FF000000"/>
      </top>
      <bottom style="thin">
        <color rgb="FF000000"/>
      </bottom>
      <diagonal/>
    </border>
    <border>
      <left style="medium">
        <color indexed="64"/>
      </left>
      <right style="thin">
        <color rgb="FF000000"/>
      </right>
      <top style="medium">
        <color indexed="64"/>
      </top>
      <bottom style="thin">
        <color rgb="FF000000"/>
      </bottom>
      <diagonal/>
    </border>
    <border>
      <left/>
      <right style="thin">
        <color rgb="FF000000"/>
      </right>
      <top style="medium">
        <color indexed="64"/>
      </top>
      <bottom style="thin">
        <color rgb="FF000000"/>
      </bottom>
      <diagonal/>
    </border>
    <border>
      <left style="medium">
        <color theme="4" tint="-0.249977111117893"/>
      </left>
      <right style="medium">
        <color indexed="64"/>
      </right>
      <top style="medium">
        <color theme="4" tint="-0.249977111117893"/>
      </top>
      <bottom style="medium">
        <color indexed="64"/>
      </bottom>
      <diagonal/>
    </border>
    <border>
      <left style="thin">
        <color rgb="FF000000"/>
      </left>
      <right style="medium">
        <color indexed="64"/>
      </right>
      <top/>
      <bottom style="medium">
        <color indexed="64"/>
      </bottom>
      <diagonal/>
    </border>
    <border>
      <left style="thin">
        <color rgb="FF000000"/>
      </left>
      <right style="thin">
        <color rgb="FF000000"/>
      </right>
      <top style="medium">
        <color rgb="FF0070C0"/>
      </top>
      <bottom style="thin">
        <color rgb="FF000000"/>
      </bottom>
      <diagonal/>
    </border>
    <border>
      <left style="thin">
        <color indexed="64"/>
      </left>
      <right style="thin">
        <color indexed="64"/>
      </right>
      <top style="medium">
        <color rgb="FF0070C0"/>
      </top>
      <bottom style="thin">
        <color indexed="64"/>
      </bottom>
      <diagonal/>
    </border>
    <border>
      <left style="medium">
        <color indexed="64"/>
      </left>
      <right style="medium">
        <color indexed="64"/>
      </right>
      <top style="medium">
        <color indexed="64"/>
      </top>
      <bottom style="medium">
        <color rgb="FF0070C0"/>
      </bottom>
      <diagonal/>
    </border>
    <border>
      <left style="medium">
        <color rgb="FF000000"/>
      </left>
      <right style="medium">
        <color indexed="64"/>
      </right>
      <top style="medium">
        <color rgb="FF000000"/>
      </top>
      <bottom style="thin">
        <color rgb="FF000000"/>
      </bottom>
      <diagonal/>
    </border>
    <border>
      <left style="medium">
        <color rgb="FF000000"/>
      </left>
      <right style="medium">
        <color indexed="64"/>
      </right>
      <top style="thin">
        <color rgb="FF000000"/>
      </top>
      <bottom style="medium">
        <color rgb="FF000000"/>
      </bottom>
      <diagonal/>
    </border>
    <border>
      <left style="medium">
        <color rgb="FF000000"/>
      </left>
      <right style="medium">
        <color indexed="64"/>
      </right>
      <top style="thin">
        <color rgb="FF000000"/>
      </top>
      <bottom style="thin">
        <color rgb="FF000000"/>
      </bottom>
      <diagonal/>
    </border>
  </borders>
  <cellStyleXfs count="19">
    <xf numFmtId="0" fontId="0" fillId="0" borderId="0"/>
    <xf numFmtId="0" fontId="1" fillId="2" borderId="0"/>
    <xf numFmtId="0" fontId="26" fillId="0" borderId="0"/>
    <xf numFmtId="178" fontId="26" fillId="0" borderId="0"/>
    <xf numFmtId="0" fontId="26" fillId="0" borderId="0"/>
    <xf numFmtId="0" fontId="23" fillId="0" borderId="0"/>
    <xf numFmtId="0" fontId="25" fillId="0" borderId="0">
      <alignment vertical="top"/>
      <protection locked="0"/>
    </xf>
    <xf numFmtId="0" fontId="26" fillId="0" borderId="0"/>
    <xf numFmtId="0" fontId="26" fillId="0" borderId="0"/>
    <xf numFmtId="9" fontId="23" fillId="0" borderId="0"/>
    <xf numFmtId="0" fontId="38" fillId="0" borderId="0"/>
    <xf numFmtId="0" fontId="62" fillId="25" borderId="0"/>
    <xf numFmtId="0" fontId="66" fillId="0" borderId="0"/>
    <xf numFmtId="0" fontId="38" fillId="0" borderId="0"/>
    <xf numFmtId="0" fontId="23" fillId="0" borderId="0"/>
    <xf numFmtId="9" fontId="23" fillId="0" borderId="0"/>
    <xf numFmtId="0" fontId="23" fillId="0" borderId="0"/>
    <xf numFmtId="0" fontId="26" fillId="0" borderId="0"/>
    <xf numFmtId="0" fontId="85" fillId="31" borderId="0"/>
  </cellStyleXfs>
  <cellXfs count="972">
    <xf numFmtId="0" fontId="0" fillId="0" borderId="0" xfId="0"/>
    <xf numFmtId="0" fontId="2" fillId="0" borderId="1" xfId="2" applyFont="1" applyBorder="1"/>
    <xf numFmtId="0" fontId="2" fillId="0" borderId="4" xfId="2" applyFont="1" applyBorder="1"/>
    <xf numFmtId="0" fontId="2" fillId="0" borderId="6" xfId="2" applyFont="1" applyBorder="1"/>
    <xf numFmtId="0" fontId="7" fillId="0" borderId="6" xfId="2" applyFont="1" applyBorder="1" applyAlignment="1">
      <alignment horizontal="right"/>
    </xf>
    <xf numFmtId="0" fontId="7" fillId="0" borderId="11" xfId="2" applyFont="1" applyBorder="1" applyAlignment="1">
      <alignment horizontal="right"/>
    </xf>
    <xf numFmtId="0" fontId="7" fillId="0" borderId="1" xfId="2" applyFont="1" applyBorder="1"/>
    <xf numFmtId="0" fontId="2" fillId="0" borderId="0" xfId="2" applyFont="1" applyAlignment="1">
      <alignment horizontal="center"/>
    </xf>
    <xf numFmtId="164" fontId="8" fillId="0" borderId="1" xfId="2" applyNumberFormat="1" applyFont="1" applyBorder="1"/>
    <xf numFmtId="0" fontId="12" fillId="0" borderId="20" xfId="2" applyFont="1" applyBorder="1" applyAlignment="1">
      <alignment horizontal="center" vertical="center" wrapText="1"/>
    </xf>
    <xf numFmtId="0" fontId="11" fillId="0" borderId="27" xfId="2" applyFont="1" applyBorder="1"/>
    <xf numFmtId="0" fontId="11" fillId="0" borderId="28" xfId="2" applyFont="1" applyBorder="1"/>
    <xf numFmtId="0" fontId="11" fillId="0" borderId="20" xfId="2" applyFont="1" applyBorder="1" applyAlignment="1">
      <alignment vertical="center"/>
    </xf>
    <xf numFmtId="0" fontId="11" fillId="0" borderId="20" xfId="2" applyFont="1" applyBorder="1"/>
    <xf numFmtId="0" fontId="2" fillId="0" borderId="0" xfId="2" applyFont="1" applyAlignment="1">
      <alignment horizontal="center" vertical="center"/>
    </xf>
    <xf numFmtId="0" fontId="2" fillId="0" borderId="20" xfId="2" applyFont="1" applyBorder="1"/>
    <xf numFmtId="0" fontId="2" fillId="0" borderId="30" xfId="2" applyFont="1" applyBorder="1"/>
    <xf numFmtId="0" fontId="11" fillId="0" borderId="31" xfId="2" applyFont="1" applyBorder="1" applyAlignment="1">
      <alignment horizontal="right"/>
    </xf>
    <xf numFmtId="0" fontId="9" fillId="0" borderId="28" xfId="2" applyFont="1" applyBorder="1"/>
    <xf numFmtId="0" fontId="12" fillId="0" borderId="6" xfId="2" applyFont="1" applyBorder="1" applyAlignment="1">
      <alignment horizontal="right"/>
    </xf>
    <xf numFmtId="0" fontId="12" fillId="0" borderId="12" xfId="2" applyFont="1" applyBorder="1" applyAlignment="1">
      <alignment horizontal="right"/>
    </xf>
    <xf numFmtId="0" fontId="2" fillId="0" borderId="13" xfId="2" applyFont="1" applyBorder="1"/>
    <xf numFmtId="165" fontId="2" fillId="0" borderId="1" xfId="2" applyNumberFormat="1" applyFont="1" applyBorder="1"/>
    <xf numFmtId="0" fontId="0" fillId="0" borderId="20" xfId="0" applyBorder="1"/>
    <xf numFmtId="0" fontId="0" fillId="0" borderId="35" xfId="0" applyBorder="1"/>
    <xf numFmtId="0" fontId="0" fillId="0" borderId="22" xfId="0" applyBorder="1"/>
    <xf numFmtId="0" fontId="1" fillId="5" borderId="0" xfId="1" applyFill="1" applyAlignment="1">
      <alignment vertical="center"/>
    </xf>
    <xf numFmtId="0" fontId="9" fillId="0" borderId="0" xfId="2" applyFont="1" applyAlignment="1">
      <alignment readingOrder="1"/>
    </xf>
    <xf numFmtId="0" fontId="2" fillId="0" borderId="0" xfId="2" applyFont="1" applyAlignment="1">
      <alignment wrapText="1"/>
    </xf>
    <xf numFmtId="1" fontId="2" fillId="0" borderId="0" xfId="2" applyNumberFormat="1" applyFont="1"/>
    <xf numFmtId="2" fontId="2" fillId="0" borderId="0" xfId="2" applyNumberFormat="1" applyFont="1"/>
    <xf numFmtId="0" fontId="2" fillId="5" borderId="0" xfId="2" applyFont="1" applyFill="1"/>
    <xf numFmtId="0" fontId="2" fillId="0" borderId="0" xfId="2" applyFont="1" applyAlignment="1">
      <alignment textRotation="90"/>
    </xf>
    <xf numFmtId="2" fontId="1" fillId="5" borderId="0" xfId="1" applyNumberFormat="1" applyFill="1" applyAlignment="1">
      <alignment horizontal="center" vertical="center"/>
    </xf>
    <xf numFmtId="0" fontId="1" fillId="5" borderId="0" xfId="1" applyFill="1" applyAlignment="1">
      <alignment horizontal="center" vertical="center"/>
    </xf>
    <xf numFmtId="1" fontId="1" fillId="5" borderId="0" xfId="1" applyNumberFormat="1" applyFill="1" applyAlignment="1">
      <alignment vertical="center"/>
    </xf>
    <xf numFmtId="0" fontId="18" fillId="6" borderId="1" xfId="0" applyFont="1" applyFill="1" applyBorder="1" applyAlignment="1">
      <alignment horizontal="center" vertical="center" wrapText="1"/>
    </xf>
    <xf numFmtId="3" fontId="19" fillId="6" borderId="1" xfId="0" applyNumberFormat="1" applyFont="1" applyFill="1" applyBorder="1" applyAlignment="1">
      <alignment horizontal="center" vertical="center" wrapText="1"/>
    </xf>
    <xf numFmtId="9" fontId="19" fillId="6" borderId="1" xfId="0" applyNumberFormat="1" applyFont="1" applyFill="1" applyBorder="1" applyAlignment="1">
      <alignment horizontal="center" vertical="center" wrapText="1"/>
    </xf>
    <xf numFmtId="0" fontId="19" fillId="6" borderId="1" xfId="0" applyFont="1" applyFill="1" applyBorder="1" applyAlignment="1">
      <alignment horizontal="center" vertical="center" wrapText="1"/>
    </xf>
    <xf numFmtId="3" fontId="18" fillId="6" borderId="1" xfId="0" applyNumberFormat="1" applyFont="1" applyFill="1" applyBorder="1" applyAlignment="1">
      <alignment horizontal="center" vertical="center" wrapText="1"/>
    </xf>
    <xf numFmtId="0" fontId="22" fillId="6" borderId="1" xfId="0" applyFont="1" applyFill="1" applyBorder="1" applyAlignment="1">
      <alignment horizontal="center" vertical="center" wrapText="1"/>
    </xf>
    <xf numFmtId="0" fontId="18" fillId="6" borderId="32" xfId="0" applyFont="1" applyFill="1" applyBorder="1" applyAlignment="1">
      <alignment vertical="center" wrapText="1"/>
    </xf>
    <xf numFmtId="0" fontId="18" fillId="6" borderId="12" xfId="0" applyFont="1" applyFill="1" applyBorder="1" applyAlignment="1">
      <alignment vertical="center" wrapText="1"/>
    </xf>
    <xf numFmtId="0" fontId="15" fillId="0" borderId="0" xfId="0" applyFont="1"/>
    <xf numFmtId="17" fontId="16" fillId="5" borderId="0" xfId="0" applyNumberFormat="1" applyFont="1" applyFill="1" applyAlignment="1">
      <alignment horizontal="center" vertical="center"/>
    </xf>
    <xf numFmtId="14" fontId="2" fillId="5" borderId="0" xfId="2" applyNumberFormat="1" applyFont="1" applyFill="1"/>
    <xf numFmtId="1" fontId="2" fillId="5" borderId="0" xfId="2" applyNumberFormat="1" applyFont="1" applyFill="1"/>
    <xf numFmtId="0" fontId="0" fillId="0" borderId="38" xfId="0" applyBorder="1"/>
    <xf numFmtId="0" fontId="0" fillId="0" borderId="33" xfId="0" applyBorder="1"/>
    <xf numFmtId="0" fontId="0" fillId="0" borderId="47" xfId="0" applyBorder="1"/>
    <xf numFmtId="0" fontId="0" fillId="0" borderId="34" xfId="0" applyBorder="1"/>
    <xf numFmtId="0" fontId="0" fillId="0" borderId="37" xfId="0" applyBorder="1"/>
    <xf numFmtId="0" fontId="6" fillId="0" borderId="10" xfId="2" applyFont="1" applyBorder="1"/>
    <xf numFmtId="0" fontId="2" fillId="0" borderId="47" xfId="2" applyFont="1" applyBorder="1"/>
    <xf numFmtId="14" fontId="2" fillId="0" borderId="0" xfId="2" applyNumberFormat="1" applyFont="1"/>
    <xf numFmtId="0" fontId="2" fillId="0" borderId="36" xfId="2" applyFont="1" applyBorder="1"/>
    <xf numFmtId="0" fontId="28" fillId="6" borderId="0" xfId="0" applyFont="1" applyFill="1" applyAlignment="1">
      <alignment vertical="center" wrapText="1"/>
    </xf>
    <xf numFmtId="0" fontId="29" fillId="6" borderId="0" xfId="0" applyFont="1" applyFill="1" applyAlignment="1">
      <alignment vertical="center" wrapText="1"/>
    </xf>
    <xf numFmtId="0" fontId="20" fillId="6" borderId="44" xfId="0" applyFont="1" applyFill="1" applyBorder="1" applyAlignment="1">
      <alignment horizontal="left" vertical="center" wrapText="1"/>
    </xf>
    <xf numFmtId="0" fontId="22" fillId="6" borderId="45" xfId="0" applyFont="1" applyFill="1" applyBorder="1" applyAlignment="1">
      <alignment horizontal="center" vertical="center" wrapText="1"/>
    </xf>
    <xf numFmtId="0" fontId="28" fillId="6" borderId="47" xfId="0" applyFont="1" applyFill="1" applyBorder="1" applyAlignment="1">
      <alignment vertical="center" wrapText="1"/>
    </xf>
    <xf numFmtId="166" fontId="2" fillId="10" borderId="51" xfId="2" applyNumberFormat="1" applyFont="1" applyFill="1" applyBorder="1"/>
    <xf numFmtId="0" fontId="2" fillId="0" borderId="23" xfId="2" applyFont="1" applyBorder="1"/>
    <xf numFmtId="0" fontId="0" fillId="0" borderId="0" xfId="0" applyAlignment="1">
      <alignment wrapText="1"/>
    </xf>
    <xf numFmtId="14" fontId="0" fillId="0" borderId="0" xfId="0" applyNumberFormat="1" applyAlignment="1">
      <alignment wrapText="1"/>
    </xf>
    <xf numFmtId="166" fontId="2" fillId="0" borderId="0" xfId="2" applyNumberFormat="1" applyFont="1"/>
    <xf numFmtId="17" fontId="2" fillId="0" borderId="0" xfId="2" applyNumberFormat="1" applyFont="1"/>
    <xf numFmtId="166" fontId="8" fillId="0" borderId="1" xfId="2" applyNumberFormat="1" applyFont="1" applyBorder="1"/>
    <xf numFmtId="0" fontId="2" fillId="3" borderId="41" xfId="2" applyFont="1" applyFill="1" applyBorder="1"/>
    <xf numFmtId="0" fontId="7" fillId="0" borderId="36" xfId="2" applyFont="1" applyBorder="1" applyAlignment="1">
      <alignment wrapText="1"/>
    </xf>
    <xf numFmtId="0" fontId="7" fillId="0" borderId="36" xfId="2" applyFont="1" applyBorder="1" applyAlignment="1">
      <alignment horizontal="center" wrapText="1"/>
    </xf>
    <xf numFmtId="0" fontId="11" fillId="0" borderId="26" xfId="2" applyFont="1" applyBorder="1" applyAlignment="1">
      <alignment horizontal="center" vertical="center"/>
    </xf>
    <xf numFmtId="0" fontId="2" fillId="0" borderId="0" xfId="2" applyFont="1"/>
    <xf numFmtId="0" fontId="11" fillId="0" borderId="27" xfId="2" applyFont="1" applyBorder="1" applyAlignment="1">
      <alignment horizontal="center" vertical="center"/>
    </xf>
    <xf numFmtId="0" fontId="11" fillId="0" borderId="20" xfId="2" applyFont="1" applyBorder="1" applyAlignment="1">
      <alignment horizontal="center" vertical="center"/>
    </xf>
    <xf numFmtId="0" fontId="7" fillId="0" borderId="0" xfId="2" applyFont="1" applyAlignment="1">
      <alignment horizontal="center" vertical="center" wrapText="1"/>
    </xf>
    <xf numFmtId="166" fontId="0" fillId="0" borderId="0" xfId="0" applyNumberFormat="1"/>
    <xf numFmtId="9" fontId="0" fillId="0" borderId="0" xfId="0" applyNumberFormat="1"/>
    <xf numFmtId="0" fontId="2" fillId="0" borderId="52" xfId="2" applyFont="1" applyBorder="1"/>
    <xf numFmtId="0" fontId="2" fillId="0" borderId="59" xfId="2" applyFont="1" applyBorder="1"/>
    <xf numFmtId="166" fontId="2" fillId="0" borderId="1" xfId="2" applyNumberFormat="1" applyFont="1" applyBorder="1"/>
    <xf numFmtId="166" fontId="2" fillId="0" borderId="19" xfId="2" applyNumberFormat="1" applyFont="1" applyBorder="1"/>
    <xf numFmtId="166" fontId="9" fillId="0" borderId="20" xfId="2" applyNumberFormat="1" applyFont="1" applyBorder="1"/>
    <xf numFmtId="0" fontId="2" fillId="0" borderId="66" xfId="2" applyFont="1" applyBorder="1"/>
    <xf numFmtId="0" fontId="2" fillId="0" borderId="67" xfId="2" applyFont="1" applyBorder="1"/>
    <xf numFmtId="0" fontId="7" fillId="0" borderId="67" xfId="2" applyFont="1" applyBorder="1"/>
    <xf numFmtId="0" fontId="7" fillId="0" borderId="67" xfId="2" applyFont="1" applyBorder="1" applyAlignment="1">
      <alignment horizontal="right"/>
    </xf>
    <xf numFmtId="0" fontId="7" fillId="0" borderId="67" xfId="2" applyFont="1" applyBorder="1" applyAlignment="1">
      <alignment horizontal="center" wrapText="1"/>
    </xf>
    <xf numFmtId="0" fontId="2" fillId="0" borderId="69" xfId="2" applyFont="1" applyBorder="1" applyAlignment="1">
      <alignment horizontal="center"/>
    </xf>
    <xf numFmtId="0" fontId="4" fillId="0" borderId="66" xfId="2" applyFont="1" applyBorder="1"/>
    <xf numFmtId="0" fontId="7" fillId="0" borderId="70" xfId="2" applyFont="1" applyBorder="1"/>
    <xf numFmtId="0" fontId="9" fillId="5" borderId="75" xfId="2" applyFont="1" applyFill="1" applyBorder="1"/>
    <xf numFmtId="0" fontId="5" fillId="0" borderId="66" xfId="2" applyFont="1" applyBorder="1"/>
    <xf numFmtId="0" fontId="11" fillId="0" borderId="24" xfId="2" applyFont="1" applyBorder="1" applyAlignment="1">
      <alignment horizontal="center" vertical="center"/>
    </xf>
    <xf numFmtId="0" fontId="2" fillId="0" borderId="67" xfId="2" applyFont="1" applyBorder="1" applyAlignment="1">
      <alignment horizontal="center"/>
    </xf>
    <xf numFmtId="0" fontId="7" fillId="0" borderId="18" xfId="2" applyFont="1" applyBorder="1" applyAlignment="1">
      <alignment horizontal="center" vertical="center" wrapText="1"/>
    </xf>
    <xf numFmtId="0" fontId="2" fillId="0" borderId="8" xfId="2" applyFont="1" applyBorder="1" applyAlignment="1">
      <alignment horizontal="center"/>
    </xf>
    <xf numFmtId="0" fontId="6" fillId="0" borderId="9" xfId="2" applyFont="1" applyBorder="1"/>
    <xf numFmtId="0" fontId="13" fillId="5" borderId="36" xfId="0" applyFont="1" applyFill="1" applyBorder="1"/>
    <xf numFmtId="166" fontId="13" fillId="5" borderId="36" xfId="0" applyNumberFormat="1" applyFont="1" applyFill="1" applyBorder="1"/>
    <xf numFmtId="0" fontId="2" fillId="0" borderId="40" xfId="2" applyFont="1" applyBorder="1"/>
    <xf numFmtId="166" fontId="13" fillId="5" borderId="23" xfId="0" applyNumberFormat="1" applyFont="1" applyFill="1" applyBorder="1"/>
    <xf numFmtId="166" fontId="2" fillId="0" borderId="51" xfId="2" applyNumberFormat="1" applyFont="1" applyBorder="1"/>
    <xf numFmtId="166" fontId="2" fillId="0" borderId="40" xfId="9" applyNumberFormat="1" applyFont="1" applyBorder="1"/>
    <xf numFmtId="0" fontId="2" fillId="11" borderId="35" xfId="2" applyFont="1" applyFill="1" applyBorder="1"/>
    <xf numFmtId="0" fontId="2" fillId="11" borderId="37" xfId="2" applyFont="1" applyFill="1" applyBorder="1" applyAlignment="1">
      <alignment textRotation="90"/>
    </xf>
    <xf numFmtId="0" fontId="6" fillId="0" borderId="51" xfId="2" applyFont="1" applyBorder="1"/>
    <xf numFmtId="0" fontId="2" fillId="0" borderId="51" xfId="2" applyFont="1" applyBorder="1"/>
    <xf numFmtId="9" fontId="2" fillId="0" borderId="59" xfId="9" applyFont="1" applyBorder="1"/>
    <xf numFmtId="9" fontId="2" fillId="0" borderId="77" xfId="2" applyNumberFormat="1" applyFont="1" applyBorder="1"/>
    <xf numFmtId="0" fontId="27" fillId="11" borderId="77" xfId="2" applyFont="1" applyFill="1" applyBorder="1"/>
    <xf numFmtId="166" fontId="42" fillId="11" borderId="52" xfId="2" applyNumberFormat="1" applyFont="1" applyFill="1" applyBorder="1"/>
    <xf numFmtId="0" fontId="2" fillId="14" borderId="59" xfId="2" applyFont="1" applyFill="1" applyBorder="1" applyAlignment="1">
      <alignment horizontal="center" vertical="center"/>
    </xf>
    <xf numFmtId="0" fontId="2" fillId="14" borderId="77" xfId="2" applyFont="1" applyFill="1" applyBorder="1" applyAlignment="1">
      <alignment horizontal="center" vertical="center"/>
    </xf>
    <xf numFmtId="14" fontId="9" fillId="0" borderId="22" xfId="2" applyNumberFormat="1" applyFont="1" applyBorder="1" applyAlignment="1">
      <alignment horizontal="left"/>
    </xf>
    <xf numFmtId="0" fontId="11" fillId="0" borderId="51" xfId="2" applyFont="1" applyBorder="1"/>
    <xf numFmtId="14" fontId="7" fillId="7" borderId="0" xfId="0" applyNumberFormat="1" applyFont="1" applyFill="1" applyAlignment="1">
      <alignment vertical="center" wrapText="1"/>
    </xf>
    <xf numFmtId="0" fontId="0" fillId="0" borderId="0" xfId="0" applyAlignment="1">
      <alignment horizontal="center" wrapText="1"/>
    </xf>
    <xf numFmtId="0" fontId="28" fillId="6" borderId="47" xfId="0" applyFont="1" applyFill="1" applyBorder="1" applyAlignment="1">
      <alignment horizontal="center" vertical="center" wrapText="1"/>
    </xf>
    <xf numFmtId="0" fontId="20" fillId="6" borderId="55" xfId="0" applyFont="1" applyFill="1" applyBorder="1" applyAlignment="1">
      <alignment horizontal="left" vertical="center" wrapText="1"/>
    </xf>
    <xf numFmtId="0" fontId="20" fillId="6" borderId="9" xfId="0" applyFont="1" applyFill="1" applyBorder="1" applyAlignment="1">
      <alignment horizontal="left" vertical="center" wrapText="1"/>
    </xf>
    <xf numFmtId="0" fontId="20" fillId="6" borderId="56" xfId="0" applyFont="1" applyFill="1" applyBorder="1" applyAlignment="1">
      <alignment horizontal="left" vertical="center" wrapText="1"/>
    </xf>
    <xf numFmtId="0" fontId="20" fillId="6" borderId="8" xfId="0" applyFont="1" applyFill="1" applyBorder="1" applyAlignment="1">
      <alignment horizontal="center" vertical="center" wrapText="1"/>
    </xf>
    <xf numFmtId="0" fontId="20" fillId="6" borderId="9" xfId="0" applyFont="1" applyFill="1" applyBorder="1" applyAlignment="1">
      <alignment horizontal="center" vertical="center" wrapText="1"/>
    </xf>
    <xf numFmtId="0" fontId="20" fillId="6" borderId="56" xfId="0" applyFont="1" applyFill="1" applyBorder="1" applyAlignment="1">
      <alignment horizontal="center" vertical="center" wrapText="1"/>
    </xf>
    <xf numFmtId="0" fontId="18" fillId="6" borderId="9" xfId="0" applyFont="1" applyFill="1" applyBorder="1" applyAlignment="1">
      <alignment horizontal="center" vertical="center" wrapText="1"/>
    </xf>
    <xf numFmtId="0" fontId="18" fillId="6" borderId="10" xfId="0" applyFont="1" applyFill="1" applyBorder="1" applyAlignment="1">
      <alignment horizontal="center" vertical="center" wrapText="1"/>
    </xf>
    <xf numFmtId="0" fontId="2" fillId="0" borderId="84" xfId="2" applyFont="1" applyBorder="1"/>
    <xf numFmtId="0" fontId="2" fillId="0" borderId="85" xfId="2" applyFont="1" applyBorder="1"/>
    <xf numFmtId="0" fontId="13" fillId="0" borderId="85" xfId="2" applyFont="1" applyBorder="1"/>
    <xf numFmtId="0" fontId="43" fillId="0" borderId="85" xfId="0" applyFont="1" applyBorder="1"/>
    <xf numFmtId="0" fontId="43" fillId="0" borderId="86" xfId="0" applyFont="1" applyBorder="1"/>
    <xf numFmtId="0" fontId="2" fillId="16" borderId="87" xfId="2" applyFont="1" applyFill="1" applyBorder="1"/>
    <xf numFmtId="0" fontId="2" fillId="16" borderId="78" xfId="2" applyFont="1" applyFill="1" applyBorder="1"/>
    <xf numFmtId="0" fontId="13" fillId="16" borderId="78" xfId="2" applyFont="1" applyFill="1" applyBorder="1"/>
    <xf numFmtId="0" fontId="2" fillId="16" borderId="88" xfId="2" applyFont="1" applyFill="1" applyBorder="1"/>
    <xf numFmtId="0" fontId="2" fillId="18" borderId="79" xfId="2" applyFont="1" applyFill="1" applyBorder="1"/>
    <xf numFmtId="0" fontId="2" fillId="18" borderId="20" xfId="2" applyFont="1" applyFill="1" applyBorder="1"/>
    <xf numFmtId="0" fontId="13" fillId="18" borderId="20" xfId="2" applyFont="1" applyFill="1" applyBorder="1"/>
    <xf numFmtId="0" fontId="2" fillId="18" borderId="89" xfId="2" applyFont="1" applyFill="1" applyBorder="1"/>
    <xf numFmtId="0" fontId="13" fillId="0" borderId="0" xfId="2" applyFont="1"/>
    <xf numFmtId="0" fontId="2" fillId="0" borderId="89" xfId="2" applyFont="1" applyBorder="1"/>
    <xf numFmtId="0" fontId="44" fillId="17" borderId="79" xfId="2" applyFont="1" applyFill="1" applyBorder="1"/>
    <xf numFmtId="0" fontId="44" fillId="17" borderId="20" xfId="2" applyFont="1" applyFill="1" applyBorder="1"/>
    <xf numFmtId="0" fontId="27" fillId="17" borderId="20" xfId="2" applyFont="1" applyFill="1" applyBorder="1"/>
    <xf numFmtId="0" fontId="44" fillId="17" borderId="89" xfId="2" applyFont="1" applyFill="1" applyBorder="1"/>
    <xf numFmtId="0" fontId="2" fillId="4" borderId="79" xfId="2" applyFont="1" applyFill="1" applyBorder="1"/>
    <xf numFmtId="0" fontId="13" fillId="4" borderId="20" xfId="2" applyFont="1" applyFill="1" applyBorder="1"/>
    <xf numFmtId="0" fontId="2" fillId="4" borderId="20" xfId="2" applyFont="1" applyFill="1" applyBorder="1"/>
    <xf numFmtId="0" fontId="2" fillId="4" borderId="89" xfId="2" applyFont="1" applyFill="1" applyBorder="1"/>
    <xf numFmtId="0" fontId="2" fillId="9" borderId="79" xfId="2" applyFont="1" applyFill="1" applyBorder="1"/>
    <xf numFmtId="0" fontId="2" fillId="9" borderId="20" xfId="2" applyFont="1" applyFill="1" applyBorder="1"/>
    <xf numFmtId="0" fontId="13" fillId="9" borderId="20" xfId="2" applyFont="1" applyFill="1" applyBorder="1"/>
    <xf numFmtId="0" fontId="2" fillId="9" borderId="89" xfId="2" applyFont="1" applyFill="1" applyBorder="1"/>
    <xf numFmtId="0" fontId="2" fillId="19" borderId="79" xfId="2" applyFont="1" applyFill="1" applyBorder="1"/>
    <xf numFmtId="0" fontId="2" fillId="19" borderId="20" xfId="2" applyFont="1" applyFill="1" applyBorder="1"/>
    <xf numFmtId="0" fontId="13" fillId="19" borderId="20" xfId="2" applyFont="1" applyFill="1" applyBorder="1"/>
    <xf numFmtId="0" fontId="2" fillId="19" borderId="89" xfId="2" applyFont="1" applyFill="1" applyBorder="1"/>
    <xf numFmtId="0" fontId="0" fillId="0" borderId="79" xfId="0" applyBorder="1"/>
    <xf numFmtId="0" fontId="2" fillId="0" borderId="79" xfId="2" applyFont="1" applyBorder="1"/>
    <xf numFmtId="0" fontId="13" fillId="0" borderId="20" xfId="2" applyFont="1" applyBorder="1"/>
    <xf numFmtId="0" fontId="2" fillId="0" borderId="80" xfId="2" applyFont="1" applyBorder="1"/>
    <xf numFmtId="0" fontId="2" fillId="0" borderId="50" xfId="2" applyFont="1" applyBorder="1"/>
    <xf numFmtId="0" fontId="13" fillId="0" borderId="50" xfId="2" applyFont="1" applyBorder="1"/>
    <xf numFmtId="0" fontId="2" fillId="0" borderId="90" xfId="2" applyFont="1" applyBorder="1"/>
    <xf numFmtId="0" fontId="13" fillId="0" borderId="0" xfId="0" applyFont="1"/>
    <xf numFmtId="0" fontId="2" fillId="5" borderId="20" xfId="4" applyFont="1" applyFill="1" applyBorder="1"/>
    <xf numFmtId="0" fontId="13" fillId="0" borderId="92" xfId="2" applyFont="1" applyBorder="1"/>
    <xf numFmtId="0" fontId="2" fillId="0" borderId="92" xfId="2" applyFont="1" applyBorder="1"/>
    <xf numFmtId="0" fontId="13" fillId="0" borderId="93" xfId="0" applyFont="1" applyBorder="1"/>
    <xf numFmtId="0" fontId="45" fillId="6" borderId="1" xfId="0" applyFont="1" applyFill="1" applyBorder="1" applyAlignment="1">
      <alignment horizontal="center" vertical="center" wrapText="1"/>
    </xf>
    <xf numFmtId="166" fontId="45" fillId="6" borderId="1" xfId="0" applyNumberFormat="1" applyFont="1" applyFill="1" applyBorder="1" applyAlignment="1">
      <alignment horizontal="center" vertical="center" wrapText="1"/>
    </xf>
    <xf numFmtId="0" fontId="18" fillId="6" borderId="55" xfId="0" applyFont="1" applyFill="1" applyBorder="1" applyAlignment="1">
      <alignment horizontal="centerContinuous" vertical="center" wrapText="1"/>
    </xf>
    <xf numFmtId="0" fontId="18" fillId="6" borderId="9" xfId="0" applyFont="1" applyFill="1" applyBorder="1" applyAlignment="1">
      <alignment horizontal="centerContinuous" vertical="center" wrapText="1"/>
    </xf>
    <xf numFmtId="0" fontId="18" fillId="6" borderId="56" xfId="0" applyFont="1" applyFill="1" applyBorder="1" applyAlignment="1">
      <alignment horizontal="centerContinuous" vertical="center" wrapText="1"/>
    </xf>
    <xf numFmtId="166" fontId="48" fillId="6" borderId="1" xfId="0" applyNumberFormat="1" applyFont="1" applyFill="1" applyBorder="1" applyAlignment="1">
      <alignment horizontal="center" vertical="center" wrapText="1"/>
    </xf>
    <xf numFmtId="9" fontId="45" fillId="6" borderId="1" xfId="0" applyNumberFormat="1" applyFont="1" applyFill="1" applyBorder="1" applyAlignment="1">
      <alignment horizontal="center" vertical="center" wrapText="1"/>
    </xf>
    <xf numFmtId="10" fontId="45" fillId="6" borderId="1" xfId="0" applyNumberFormat="1" applyFont="1" applyFill="1" applyBorder="1" applyAlignment="1">
      <alignment horizontal="center" vertical="center" wrapText="1"/>
    </xf>
    <xf numFmtId="0" fontId="50" fillId="0" borderId="0" xfId="0" applyFont="1" applyAlignment="1">
      <alignment horizontal="left" vertical="center"/>
    </xf>
    <xf numFmtId="0" fontId="2" fillId="11" borderId="0" xfId="4" applyFont="1" applyFill="1"/>
    <xf numFmtId="0" fontId="0" fillId="0" borderId="0" xfId="0" applyAlignment="1">
      <alignment horizontal="centerContinuous" wrapText="1"/>
    </xf>
    <xf numFmtId="0" fontId="0" fillId="0" borderId="0" xfId="0" applyAlignment="1">
      <alignment horizontal="centerContinuous"/>
    </xf>
    <xf numFmtId="0" fontId="15" fillId="0" borderId="0" xfId="0" applyFont="1" applyAlignment="1">
      <alignment horizontal="centerContinuous"/>
    </xf>
    <xf numFmtId="1" fontId="13" fillId="21" borderId="36" xfId="0" applyNumberFormat="1" applyFont="1" applyFill="1" applyBorder="1"/>
    <xf numFmtId="166" fontId="2" fillId="21" borderId="23" xfId="2" applyNumberFormat="1" applyFont="1" applyFill="1" applyBorder="1"/>
    <xf numFmtId="0" fontId="0" fillId="21" borderId="33" xfId="0" applyFill="1" applyBorder="1" applyAlignment="1">
      <alignment horizontal="right" wrapText="1"/>
    </xf>
    <xf numFmtId="166" fontId="23" fillId="21" borderId="39" xfId="0" applyNumberFormat="1" applyFont="1" applyFill="1" applyBorder="1"/>
    <xf numFmtId="0" fontId="2" fillId="21" borderId="36" xfId="2" applyFont="1" applyFill="1" applyBorder="1" applyAlignment="1">
      <alignment horizontal="left"/>
    </xf>
    <xf numFmtId="0" fontId="2" fillId="21" borderId="22" xfId="2" applyFont="1" applyFill="1" applyBorder="1" applyAlignment="1">
      <alignment horizontal="right"/>
    </xf>
    <xf numFmtId="166" fontId="13" fillId="21" borderId="36" xfId="2" applyNumberFormat="1" applyFont="1" applyFill="1" applyBorder="1"/>
    <xf numFmtId="0" fontId="13" fillId="22" borderId="22" xfId="0" applyFont="1" applyFill="1" applyBorder="1"/>
    <xf numFmtId="0" fontId="13" fillId="22" borderId="36" xfId="0" applyFont="1" applyFill="1" applyBorder="1"/>
    <xf numFmtId="166" fontId="2" fillId="22" borderId="23" xfId="2" applyNumberFormat="1" applyFont="1" applyFill="1" applyBorder="1"/>
    <xf numFmtId="0" fontId="2" fillId="22" borderId="22" xfId="2" applyFont="1" applyFill="1" applyBorder="1" applyAlignment="1">
      <alignment horizontal="left"/>
    </xf>
    <xf numFmtId="0" fontId="2" fillId="22" borderId="36" xfId="2" applyFont="1" applyFill="1" applyBorder="1" applyAlignment="1">
      <alignment horizontal="left"/>
    </xf>
    <xf numFmtId="166" fontId="40" fillId="22" borderId="38" xfId="0" applyNumberFormat="1" applyFont="1" applyFill="1" applyBorder="1"/>
    <xf numFmtId="166" fontId="13" fillId="22" borderId="33" xfId="2" applyNumberFormat="1" applyFont="1" applyFill="1" applyBorder="1"/>
    <xf numFmtId="0" fontId="6" fillId="22" borderId="36" xfId="0" applyFont="1" applyFill="1" applyBorder="1"/>
    <xf numFmtId="0" fontId="6" fillId="7" borderId="36" xfId="0" applyFont="1" applyFill="1" applyBorder="1"/>
    <xf numFmtId="0" fontId="2" fillId="9" borderId="52" xfId="2" applyFont="1" applyFill="1" applyBorder="1"/>
    <xf numFmtId="166" fontId="2" fillId="11" borderId="83" xfId="2" applyNumberFormat="1" applyFont="1" applyFill="1" applyBorder="1" applyAlignment="1">
      <alignment horizontal="right"/>
    </xf>
    <xf numFmtId="166" fontId="2" fillId="8" borderId="83" xfId="2" applyNumberFormat="1" applyFont="1" applyFill="1" applyBorder="1" applyAlignment="1">
      <alignment horizontal="right"/>
    </xf>
    <xf numFmtId="0" fontId="0" fillId="13" borderId="0" xfId="0" applyFill="1" applyAlignment="1">
      <alignment horizontal="centerContinuous"/>
    </xf>
    <xf numFmtId="167" fontId="2" fillId="0" borderId="0" xfId="2" applyNumberFormat="1" applyFont="1" applyAlignment="1">
      <alignment textRotation="90"/>
    </xf>
    <xf numFmtId="167" fontId="9" fillId="0" borderId="0" xfId="2" applyNumberFormat="1" applyFont="1" applyAlignment="1">
      <alignment readingOrder="1"/>
    </xf>
    <xf numFmtId="167" fontId="2" fillId="0" borderId="0" xfId="2" applyNumberFormat="1" applyFont="1"/>
    <xf numFmtId="1" fontId="23" fillId="13" borderId="51" xfId="4" applyNumberFormat="1" applyFont="1" applyFill="1" applyBorder="1"/>
    <xf numFmtId="0" fontId="2" fillId="11" borderId="0" xfId="2" applyFont="1" applyFill="1"/>
    <xf numFmtId="0" fontId="27" fillId="11" borderId="0" xfId="2" applyFont="1" applyFill="1"/>
    <xf numFmtId="167" fontId="46" fillId="11" borderId="51" xfId="4" applyNumberFormat="1" applyFont="1" applyFill="1" applyBorder="1"/>
    <xf numFmtId="166" fontId="39" fillId="23" borderId="0" xfId="2" applyNumberFormat="1" applyFont="1" applyFill="1"/>
    <xf numFmtId="1" fontId="7" fillId="23" borderId="35" xfId="2" applyNumberFormat="1" applyFont="1" applyFill="1" applyBorder="1" applyAlignment="1">
      <alignment horizontal="center"/>
    </xf>
    <xf numFmtId="17" fontId="2" fillId="14" borderId="46" xfId="2" applyNumberFormat="1" applyFont="1" applyFill="1" applyBorder="1" applyAlignment="1">
      <alignment horizontal="right"/>
    </xf>
    <xf numFmtId="0" fontId="2" fillId="14" borderId="41" xfId="2" applyFont="1" applyFill="1" applyBorder="1"/>
    <xf numFmtId="1" fontId="23" fillId="14" borderId="51" xfId="4" applyNumberFormat="1" applyFont="1" applyFill="1" applyBorder="1"/>
    <xf numFmtId="166" fontId="2" fillId="14" borderId="47" xfId="2" applyNumberFormat="1" applyFont="1" applyFill="1" applyBorder="1"/>
    <xf numFmtId="166" fontId="2" fillId="14" borderId="42" xfId="2" applyNumberFormat="1" applyFont="1" applyFill="1" applyBorder="1"/>
    <xf numFmtId="166" fontId="2" fillId="14" borderId="46" xfId="2" applyNumberFormat="1" applyFont="1" applyFill="1" applyBorder="1" applyAlignment="1">
      <alignment horizontal="right"/>
    </xf>
    <xf numFmtId="1" fontId="23" fillId="23" borderId="51" xfId="4" applyNumberFormat="1" applyFont="1" applyFill="1" applyBorder="1"/>
    <xf numFmtId="166" fontId="54" fillId="23" borderId="39" xfId="0" applyNumberFormat="1" applyFont="1" applyFill="1" applyBorder="1" applyAlignment="1">
      <alignment horizontal="right"/>
    </xf>
    <xf numFmtId="166" fontId="55" fillId="23" borderId="42" xfId="2" applyNumberFormat="1" applyFont="1" applyFill="1" applyBorder="1"/>
    <xf numFmtId="0" fontId="2" fillId="11" borderId="41" xfId="2" applyFont="1" applyFill="1" applyBorder="1"/>
    <xf numFmtId="1" fontId="54" fillId="23" borderId="39" xfId="0" applyNumberFormat="1" applyFont="1" applyFill="1" applyBorder="1" applyAlignment="1">
      <alignment horizontal="right"/>
    </xf>
    <xf numFmtId="1" fontId="55" fillId="23" borderId="42" xfId="2" applyNumberFormat="1" applyFont="1" applyFill="1" applyBorder="1"/>
    <xf numFmtId="167" fontId="46" fillId="14" borderId="51" xfId="4" applyNumberFormat="1" applyFont="1" applyFill="1" applyBorder="1"/>
    <xf numFmtId="1" fontId="2" fillId="14" borderId="46" xfId="2" applyNumberFormat="1" applyFont="1" applyFill="1" applyBorder="1" applyAlignment="1">
      <alignment horizontal="right"/>
    </xf>
    <xf numFmtId="17" fontId="57" fillId="14" borderId="46" xfId="2" applyNumberFormat="1" applyFont="1" applyFill="1" applyBorder="1" applyAlignment="1">
      <alignment horizontal="right"/>
    </xf>
    <xf numFmtId="166" fontId="54" fillId="23" borderId="39" xfId="0" applyNumberFormat="1" applyFont="1" applyFill="1" applyBorder="1" applyAlignment="1">
      <alignment horizontal="right" wrapText="1"/>
    </xf>
    <xf numFmtId="166" fontId="58" fillId="23" borderId="39" xfId="0" applyNumberFormat="1" applyFont="1" applyFill="1" applyBorder="1" applyAlignment="1">
      <alignment horizontal="right" wrapText="1"/>
    </xf>
    <xf numFmtId="166" fontId="2" fillId="14" borderId="46" xfId="2" applyNumberFormat="1" applyFont="1" applyFill="1" applyBorder="1" applyAlignment="1">
      <alignment horizontal="right" wrapText="1"/>
    </xf>
    <xf numFmtId="166" fontId="9" fillId="14" borderId="46" xfId="2" applyNumberFormat="1" applyFont="1" applyFill="1" applyBorder="1" applyAlignment="1">
      <alignment horizontal="right" wrapText="1"/>
    </xf>
    <xf numFmtId="166" fontId="59" fillId="23" borderId="39" xfId="0" applyNumberFormat="1" applyFont="1" applyFill="1" applyBorder="1" applyAlignment="1">
      <alignment horizontal="left" wrapText="1"/>
    </xf>
    <xf numFmtId="166" fontId="2" fillId="14" borderId="46" xfId="2" applyNumberFormat="1" applyFont="1" applyFill="1" applyBorder="1" applyAlignment="1">
      <alignment horizontal="center" vertical="center" wrapText="1"/>
    </xf>
    <xf numFmtId="166" fontId="54" fillId="23" borderId="39" xfId="0" applyNumberFormat="1" applyFont="1" applyFill="1" applyBorder="1" applyAlignment="1">
      <alignment horizontal="center" vertical="center" wrapText="1"/>
    </xf>
    <xf numFmtId="1" fontId="54" fillId="23" borderId="39" xfId="0" applyNumberFormat="1" applyFont="1" applyFill="1" applyBorder="1" applyAlignment="1">
      <alignment horizontal="center" vertical="center" wrapText="1"/>
    </xf>
    <xf numFmtId="1" fontId="2" fillId="14" borderId="46" xfId="2" applyNumberFormat="1" applyFont="1" applyFill="1" applyBorder="1" applyAlignment="1">
      <alignment horizontal="center" vertical="center" wrapText="1"/>
    </xf>
    <xf numFmtId="1" fontId="23" fillId="14" borderId="51" xfId="4" applyNumberFormat="1" applyFont="1" applyFill="1" applyBorder="1" applyAlignment="1">
      <alignment horizontal="center" vertical="center" wrapText="1"/>
    </xf>
    <xf numFmtId="1" fontId="23" fillId="13" borderId="51" xfId="4" applyNumberFormat="1" applyFont="1" applyFill="1" applyBorder="1" applyAlignment="1">
      <alignment horizontal="center" vertical="center" wrapText="1"/>
    </xf>
    <xf numFmtId="166" fontId="54" fillId="12" borderId="39" xfId="0" applyNumberFormat="1" applyFont="1" applyFill="1" applyBorder="1" applyAlignment="1">
      <alignment horizontal="right"/>
    </xf>
    <xf numFmtId="1" fontId="54" fillId="23" borderId="33" xfId="0" applyNumberFormat="1" applyFont="1" applyFill="1" applyBorder="1" applyAlignment="1">
      <alignment horizontal="center" vertical="center" wrapText="1"/>
    </xf>
    <xf numFmtId="1" fontId="54" fillId="23" borderId="33" xfId="0" applyNumberFormat="1" applyFont="1" applyFill="1" applyBorder="1" applyAlignment="1">
      <alignment horizontal="right"/>
    </xf>
    <xf numFmtId="166" fontId="60" fillId="12" borderId="87" xfId="0" applyNumberFormat="1" applyFont="1" applyFill="1" applyBorder="1" applyAlignment="1">
      <alignment horizontal="center" vertical="center" wrapText="1"/>
    </xf>
    <xf numFmtId="166" fontId="61" fillId="12" borderId="88" xfId="2" applyNumberFormat="1" applyFont="1" applyFill="1" applyBorder="1" applyAlignment="1">
      <alignment horizontal="center" vertical="center" wrapText="1"/>
    </xf>
    <xf numFmtId="166" fontId="60" fillId="12" borderId="79" xfId="0" applyNumberFormat="1" applyFont="1" applyFill="1" applyBorder="1" applyAlignment="1">
      <alignment horizontal="center" vertical="center"/>
    </xf>
    <xf numFmtId="0" fontId="2" fillId="24" borderId="0" xfId="4" applyFont="1" applyFill="1"/>
    <xf numFmtId="17" fontId="27" fillId="24" borderId="46" xfId="4" applyNumberFormat="1" applyFont="1" applyFill="1" applyBorder="1" applyAlignment="1">
      <alignment horizontal="right"/>
    </xf>
    <xf numFmtId="1" fontId="2" fillId="24" borderId="0" xfId="4" applyNumberFormat="1" applyFont="1" applyFill="1"/>
    <xf numFmtId="0" fontId="27" fillId="24" borderId="0" xfId="2" applyFont="1" applyFill="1"/>
    <xf numFmtId="0" fontId="2" fillId="24" borderId="47" xfId="4" applyFont="1" applyFill="1" applyBorder="1"/>
    <xf numFmtId="0" fontId="2" fillId="24" borderId="40" xfId="4" applyFont="1" applyFill="1" applyBorder="1"/>
    <xf numFmtId="0" fontId="0" fillId="24" borderId="0" xfId="0" applyFill="1"/>
    <xf numFmtId="0" fontId="52" fillId="24" borderId="0" xfId="4" applyFont="1" applyFill="1"/>
    <xf numFmtId="166" fontId="60" fillId="24" borderId="79" xfId="0" applyNumberFormat="1" applyFont="1" applyFill="1" applyBorder="1" applyAlignment="1">
      <alignment horizontal="center" vertical="center"/>
    </xf>
    <xf numFmtId="166" fontId="61" fillId="24" borderId="89" xfId="2" applyNumberFormat="1" applyFont="1" applyFill="1" applyBorder="1" applyAlignment="1">
      <alignment horizontal="center" vertical="center"/>
    </xf>
    <xf numFmtId="0" fontId="2" fillId="24" borderId="0" xfId="2" applyFont="1" applyFill="1"/>
    <xf numFmtId="0" fontId="27" fillId="24" borderId="0" xfId="2" applyFont="1" applyFill="1" applyAlignment="1">
      <alignment horizontal="center"/>
    </xf>
    <xf numFmtId="1" fontId="27" fillId="24" borderId="22" xfId="2" applyNumberFormat="1" applyFont="1" applyFill="1" applyBorder="1" applyAlignment="1">
      <alignment horizontal="center"/>
    </xf>
    <xf numFmtId="166" fontId="27" fillId="24" borderId="23" xfId="2" applyNumberFormat="1" applyFont="1" applyFill="1" applyBorder="1"/>
    <xf numFmtId="0" fontId="24" fillId="24" borderId="0" xfId="0" applyFont="1" applyFill="1"/>
    <xf numFmtId="1" fontId="51" fillId="24" borderId="77" xfId="4" applyNumberFormat="1" applyFont="1" applyFill="1" applyBorder="1" applyAlignment="1">
      <alignment horizontal="center"/>
    </xf>
    <xf numFmtId="1" fontId="51" fillId="24" borderId="77" xfId="4" applyNumberFormat="1" applyFont="1" applyFill="1" applyBorder="1"/>
    <xf numFmtId="0" fontId="47" fillId="24" borderId="35" xfId="4" applyFont="1" applyFill="1" applyBorder="1" applyAlignment="1">
      <alignment horizontal="centerContinuous" wrapText="1"/>
    </xf>
    <xf numFmtId="0" fontId="27" fillId="24" borderId="0" xfId="4" applyFont="1" applyFill="1"/>
    <xf numFmtId="0" fontId="14" fillId="24" borderId="0" xfId="2" applyFont="1" applyFill="1" applyAlignment="1">
      <alignment horizontal="center"/>
    </xf>
    <xf numFmtId="1" fontId="14" fillId="24" borderId="0" xfId="2" applyNumberFormat="1" applyFont="1" applyFill="1" applyAlignment="1">
      <alignment horizontal="center"/>
    </xf>
    <xf numFmtId="166" fontId="58" fillId="23" borderId="39" xfId="0" applyNumberFormat="1" applyFont="1" applyFill="1" applyBorder="1" applyAlignment="1">
      <alignment horizontal="right"/>
    </xf>
    <xf numFmtId="0" fontId="2" fillId="0" borderId="33" xfId="2" applyFont="1" applyBorder="1"/>
    <xf numFmtId="0" fontId="0" fillId="0" borderId="39" xfId="0" applyBorder="1"/>
    <xf numFmtId="0" fontId="0" fillId="0" borderId="40" xfId="0" applyBorder="1"/>
    <xf numFmtId="0" fontId="0" fillId="9" borderId="82" xfId="0" applyFill="1" applyBorder="1" applyAlignment="1">
      <alignment horizontal="center" vertical="center"/>
    </xf>
    <xf numFmtId="0" fontId="0" fillId="12" borderId="94" xfId="0" applyFill="1" applyBorder="1"/>
    <xf numFmtId="0" fontId="0" fillId="12" borderId="95" xfId="0" applyFill="1" applyBorder="1"/>
    <xf numFmtId="17" fontId="2" fillId="8" borderId="83" xfId="2" applyNumberFormat="1" applyFont="1" applyFill="1" applyBorder="1" applyAlignment="1">
      <alignment horizontal="right"/>
    </xf>
    <xf numFmtId="166" fontId="0" fillId="12" borderId="96" xfId="0" applyNumberFormat="1" applyFill="1" applyBorder="1"/>
    <xf numFmtId="166" fontId="0" fillId="15" borderId="82" xfId="0" applyNumberFormat="1" applyFill="1" applyBorder="1" applyAlignment="1">
      <alignment horizontal="center" vertical="center"/>
    </xf>
    <xf numFmtId="0" fontId="0" fillId="0" borderId="36" xfId="0" applyBorder="1"/>
    <xf numFmtId="166" fontId="62" fillId="25" borderId="23" xfId="11" applyNumberFormat="1" applyBorder="1"/>
    <xf numFmtId="165" fontId="63" fillId="0" borderId="1" xfId="2" applyNumberFormat="1" applyFont="1" applyBorder="1"/>
    <xf numFmtId="1" fontId="46" fillId="23" borderId="42" xfId="4" applyNumberFormat="1" applyFont="1" applyFill="1" applyBorder="1"/>
    <xf numFmtId="0" fontId="2" fillId="7" borderId="51" xfId="2" applyFont="1" applyFill="1" applyBorder="1" applyAlignment="1">
      <alignment horizontal="center" wrapText="1"/>
    </xf>
    <xf numFmtId="0" fontId="2" fillId="7" borderId="23" xfId="2" applyFont="1" applyFill="1" applyBorder="1" applyAlignment="1">
      <alignment horizontal="center" wrapText="1"/>
    </xf>
    <xf numFmtId="167" fontId="46" fillId="11" borderId="22" xfId="4" applyNumberFormat="1" applyFont="1" applyFill="1" applyBorder="1"/>
    <xf numFmtId="0" fontId="2" fillId="0" borderId="38" xfId="2" applyFont="1" applyBorder="1" applyAlignment="1">
      <alignment horizontal="centerContinuous"/>
    </xf>
    <xf numFmtId="0" fontId="2" fillId="0" borderId="39" xfId="2" applyFont="1" applyBorder="1" applyAlignment="1">
      <alignment horizontal="centerContinuous"/>
    </xf>
    <xf numFmtId="0" fontId="14" fillId="11" borderId="0" xfId="2" applyFont="1" applyFill="1" applyAlignment="1">
      <alignment horizontal="center"/>
    </xf>
    <xf numFmtId="0" fontId="2" fillId="11" borderId="82" xfId="2" applyFont="1" applyFill="1" applyBorder="1"/>
    <xf numFmtId="0" fontId="2" fillId="11" borderId="97" xfId="2" applyFont="1" applyFill="1" applyBorder="1"/>
    <xf numFmtId="9" fontId="2" fillId="0" borderId="88" xfId="9" applyFont="1" applyBorder="1"/>
    <xf numFmtId="166" fontId="2" fillId="0" borderId="88" xfId="2" applyNumberFormat="1" applyFont="1" applyBorder="1"/>
    <xf numFmtId="1" fontId="54" fillId="23" borderId="39" xfId="0" applyNumberFormat="1" applyFont="1" applyFill="1" applyBorder="1" applyAlignment="1">
      <alignment horizontal="left"/>
    </xf>
    <xf numFmtId="1" fontId="2" fillId="14" borderId="46" xfId="2" applyNumberFormat="1" applyFont="1" applyFill="1" applyBorder="1" applyAlignment="1">
      <alignment horizontal="left"/>
    </xf>
    <xf numFmtId="2" fontId="54" fillId="23" borderId="39" xfId="0" applyNumberFormat="1" applyFont="1" applyFill="1" applyBorder="1" applyAlignment="1">
      <alignment horizontal="right"/>
    </xf>
    <xf numFmtId="0" fontId="2" fillId="11" borderId="22" xfId="2" applyFont="1" applyFill="1" applyBorder="1"/>
    <xf numFmtId="0" fontId="2" fillId="11" borderId="36" xfId="2" applyFont="1" applyFill="1" applyBorder="1"/>
    <xf numFmtId="9" fontId="2" fillId="11" borderId="36" xfId="9" applyFont="1" applyFill="1" applyBorder="1"/>
    <xf numFmtId="0" fontId="2" fillId="11" borderId="23" xfId="2" applyFont="1" applyFill="1" applyBorder="1"/>
    <xf numFmtId="1" fontId="2" fillId="11" borderId="46" xfId="2" applyNumberFormat="1" applyFont="1" applyFill="1" applyBorder="1" applyAlignment="1">
      <alignment horizontal="left"/>
    </xf>
    <xf numFmtId="166" fontId="55" fillId="11" borderId="42" xfId="2" applyNumberFormat="1" applyFont="1" applyFill="1" applyBorder="1"/>
    <xf numFmtId="1" fontId="2" fillId="11" borderId="42" xfId="2" applyNumberFormat="1" applyFont="1" applyFill="1" applyBorder="1"/>
    <xf numFmtId="17" fontId="13" fillId="21" borderId="36" xfId="0" applyNumberFormat="1" applyFont="1" applyFill="1" applyBorder="1" applyAlignment="1">
      <alignment horizontal="left"/>
    </xf>
    <xf numFmtId="0" fontId="56" fillId="20" borderId="36" xfId="2" applyFont="1" applyFill="1" applyBorder="1"/>
    <xf numFmtId="0" fontId="53" fillId="24" borderId="0" xfId="2" applyFont="1" applyFill="1"/>
    <xf numFmtId="0" fontId="39" fillId="24" borderId="0" xfId="2" applyFont="1" applyFill="1"/>
    <xf numFmtId="0" fontId="65" fillId="26" borderId="38" xfId="0" applyFont="1" applyFill="1" applyBorder="1"/>
    <xf numFmtId="0" fontId="27" fillId="26" borderId="33" xfId="2" applyFont="1" applyFill="1" applyBorder="1"/>
    <xf numFmtId="0" fontId="27" fillId="26" borderId="39" xfId="2" applyFont="1" applyFill="1" applyBorder="1"/>
    <xf numFmtId="0" fontId="2" fillId="0" borderId="98" xfId="2" applyFont="1" applyBorder="1"/>
    <xf numFmtId="0" fontId="4" fillId="0" borderId="0" xfId="2" applyFont="1"/>
    <xf numFmtId="0" fontId="13" fillId="0" borderId="40" xfId="2" applyFont="1" applyBorder="1"/>
    <xf numFmtId="0" fontId="5" fillId="0" borderId="0" xfId="2" applyFont="1"/>
    <xf numFmtId="0" fontId="2" fillId="3" borderId="44" xfId="2" applyFont="1" applyFill="1" applyBorder="1"/>
    <xf numFmtId="0" fontId="7" fillId="0" borderId="0" xfId="2" applyFont="1"/>
    <xf numFmtId="0" fontId="2" fillId="0" borderId="100" xfId="2" applyFont="1" applyBorder="1"/>
    <xf numFmtId="0" fontId="2" fillId="0" borderId="101" xfId="2" applyFont="1" applyBorder="1"/>
    <xf numFmtId="0" fontId="2" fillId="3" borderId="102" xfId="2" applyFont="1" applyFill="1" applyBorder="1"/>
    <xf numFmtId="0" fontId="2" fillId="0" borderId="99" xfId="2" applyFont="1" applyBorder="1"/>
    <xf numFmtId="0" fontId="17" fillId="0" borderId="0" xfId="0" applyFont="1"/>
    <xf numFmtId="0" fontId="7" fillId="0" borderId="0" xfId="2" applyFont="1" applyAlignment="1">
      <alignment horizontal="center" wrapText="1"/>
    </xf>
    <xf numFmtId="0" fontId="31" fillId="0" borderId="0" xfId="0" applyFont="1"/>
    <xf numFmtId="0" fontId="17" fillId="0" borderId="0" xfId="0" applyFont="1" applyAlignment="1">
      <alignment horizontal="center"/>
    </xf>
    <xf numFmtId="0" fontId="6" fillId="0" borderId="105" xfId="2" applyFont="1" applyBorder="1"/>
    <xf numFmtId="166" fontId="2" fillId="0" borderId="106" xfId="2" applyNumberFormat="1" applyFont="1" applyBorder="1"/>
    <xf numFmtId="0" fontId="10" fillId="0" borderId="0" xfId="2" applyFont="1"/>
    <xf numFmtId="164" fontId="8" fillId="0" borderId="51" xfId="2" applyNumberFormat="1" applyFont="1" applyBorder="1"/>
    <xf numFmtId="0" fontId="11" fillId="4" borderId="107" xfId="2" applyFont="1" applyFill="1" applyBorder="1"/>
    <xf numFmtId="0" fontId="11" fillId="0" borderId="89" xfId="2" applyFont="1" applyBorder="1" applyAlignment="1">
      <alignment horizontal="center" vertical="center"/>
    </xf>
    <xf numFmtId="0" fontId="11" fillId="0" borderId="79" xfId="2" applyFont="1" applyBorder="1" applyAlignment="1">
      <alignment horizontal="center" vertical="center"/>
    </xf>
    <xf numFmtId="0" fontId="2" fillId="0" borderId="110" xfId="2" applyFont="1" applyBorder="1"/>
    <xf numFmtId="0" fontId="31" fillId="0" borderId="100" xfId="0" applyFont="1" applyBorder="1"/>
    <xf numFmtId="0" fontId="2" fillId="0" borderId="34" xfId="2" applyFont="1" applyBorder="1"/>
    <xf numFmtId="166" fontId="11" fillId="0" borderId="21" xfId="2" applyNumberFormat="1" applyFont="1" applyBorder="1" applyAlignment="1">
      <alignment horizontal="center" vertical="center"/>
    </xf>
    <xf numFmtId="166" fontId="7" fillId="7" borderId="0" xfId="0" applyNumberFormat="1" applyFont="1" applyFill="1" applyAlignment="1">
      <alignment vertical="center" wrapText="1"/>
    </xf>
    <xf numFmtId="14" fontId="7" fillId="7" borderId="0" xfId="0" applyNumberFormat="1" applyFont="1" applyFill="1" applyAlignment="1">
      <alignment horizontal="center" vertical="center" wrapText="1"/>
    </xf>
    <xf numFmtId="166" fontId="11" fillId="0" borderId="20" xfId="2" applyNumberFormat="1" applyFont="1" applyBorder="1" applyAlignment="1">
      <alignment horizontal="center" vertical="center"/>
    </xf>
    <xf numFmtId="166" fontId="2" fillId="0" borderId="0" xfId="2" applyNumberFormat="1" applyFont="1" applyAlignment="1">
      <alignment horizontal="center" vertical="center"/>
    </xf>
    <xf numFmtId="166" fontId="7" fillId="7" borderId="0" xfId="0" applyNumberFormat="1" applyFont="1" applyFill="1" applyAlignment="1">
      <alignment horizontal="center" vertical="center" wrapText="1"/>
    </xf>
    <xf numFmtId="14" fontId="11" fillId="0" borderId="20" xfId="2" applyNumberFormat="1" applyFont="1" applyBorder="1" applyAlignment="1">
      <alignment horizontal="center" vertical="center"/>
    </xf>
    <xf numFmtId="14" fontId="0" fillId="0" borderId="0" xfId="0" applyNumberFormat="1"/>
    <xf numFmtId="0" fontId="64" fillId="0" borderId="38" xfId="0" applyFont="1" applyBorder="1"/>
    <xf numFmtId="14" fontId="66" fillId="0" borderId="22" xfId="12" applyNumberFormat="1" applyBorder="1" applyAlignment="1">
      <alignment horizontal="left"/>
    </xf>
    <xf numFmtId="0" fontId="17" fillId="22" borderId="36" xfId="0" applyFont="1" applyFill="1" applyBorder="1" applyAlignment="1">
      <alignment vertical="center" wrapText="1"/>
    </xf>
    <xf numFmtId="0" fontId="32" fillId="21" borderId="22" xfId="0" applyFont="1" applyFill="1" applyBorder="1"/>
    <xf numFmtId="17" fontId="67" fillId="15" borderId="39" xfId="0" applyNumberFormat="1" applyFont="1" applyFill="1" applyBorder="1" applyAlignment="1">
      <alignment vertical="center"/>
    </xf>
    <xf numFmtId="0" fontId="33" fillId="21" borderId="36" xfId="2" applyFont="1" applyFill="1" applyBorder="1" applyAlignment="1">
      <alignment horizontal="center" vertical="center"/>
    </xf>
    <xf numFmtId="166" fontId="32" fillId="5" borderId="36" xfId="0" applyNumberFormat="1" applyFont="1" applyFill="1" applyBorder="1" applyAlignment="1">
      <alignment horizontal="left" vertical="center"/>
    </xf>
    <xf numFmtId="166" fontId="34" fillId="7" borderId="36" xfId="0" applyNumberFormat="1" applyFont="1" applyFill="1" applyBorder="1" applyAlignment="1">
      <alignment horizontal="left" vertical="center"/>
    </xf>
    <xf numFmtId="1" fontId="2" fillId="0" borderId="39" xfId="2" applyNumberFormat="1" applyFont="1" applyBorder="1" applyAlignment="1">
      <alignment horizontal="center"/>
    </xf>
    <xf numFmtId="166" fontId="13" fillId="21" borderId="122" xfId="2" applyNumberFormat="1" applyFont="1" applyFill="1" applyBorder="1"/>
    <xf numFmtId="166" fontId="13" fillId="22" borderId="123" xfId="0" applyNumberFormat="1" applyFont="1" applyFill="1" applyBorder="1"/>
    <xf numFmtId="166" fontId="13" fillId="21" borderId="124" xfId="2" applyNumberFormat="1" applyFont="1" applyFill="1" applyBorder="1"/>
    <xf numFmtId="17" fontId="6" fillId="22" borderId="36" xfId="2" applyNumberFormat="1" applyFont="1" applyFill="1" applyBorder="1" applyAlignment="1">
      <alignment horizontal="center" vertical="center"/>
    </xf>
    <xf numFmtId="0" fontId="35" fillId="22" borderId="36" xfId="2" applyFont="1" applyFill="1" applyBorder="1" applyAlignment="1">
      <alignment vertical="center"/>
    </xf>
    <xf numFmtId="1" fontId="30" fillId="22" borderId="23" xfId="2" applyNumberFormat="1" applyFont="1" applyFill="1" applyBorder="1" applyAlignment="1">
      <alignment vertical="center"/>
    </xf>
    <xf numFmtId="0" fontId="35" fillId="21" borderId="36" xfId="0" applyFont="1" applyFill="1" applyBorder="1" applyAlignment="1">
      <alignment horizontal="center" vertical="center" wrapText="1"/>
    </xf>
    <xf numFmtId="166" fontId="6" fillId="7" borderId="36" xfId="0" applyNumberFormat="1" applyFont="1" applyFill="1" applyBorder="1"/>
    <xf numFmtId="1" fontId="30" fillId="21" borderId="36" xfId="2" applyNumberFormat="1" applyFont="1" applyFill="1" applyBorder="1" applyAlignment="1">
      <alignment horizontal="right" vertical="center"/>
    </xf>
    <xf numFmtId="166" fontId="43" fillId="22" borderId="51" xfId="0" applyNumberFormat="1" applyFont="1" applyFill="1" applyBorder="1"/>
    <xf numFmtId="166" fontId="68" fillId="22" borderId="0" xfId="2" applyNumberFormat="1" applyFont="1" applyFill="1"/>
    <xf numFmtId="166" fontId="68" fillId="22" borderId="121" xfId="2" applyNumberFormat="1" applyFont="1" applyFill="1" applyBorder="1"/>
    <xf numFmtId="0" fontId="35" fillId="5" borderId="36" xfId="2" applyFont="1" applyFill="1" applyBorder="1" applyAlignment="1">
      <alignment vertical="center"/>
    </xf>
    <xf numFmtId="17" fontId="6" fillId="5" borderId="36" xfId="2" applyNumberFormat="1" applyFont="1" applyFill="1" applyBorder="1" applyAlignment="1">
      <alignment horizontal="center" vertical="center"/>
    </xf>
    <xf numFmtId="1" fontId="30" fillId="5" borderId="23" xfId="2" applyNumberFormat="1" applyFont="1" applyFill="1" applyBorder="1" applyAlignment="1">
      <alignment vertical="center"/>
    </xf>
    <xf numFmtId="0" fontId="35" fillId="5" borderId="36" xfId="0" applyFont="1" applyFill="1" applyBorder="1" applyAlignment="1">
      <alignment horizontal="center" vertical="center" wrapText="1"/>
    </xf>
    <xf numFmtId="1" fontId="30" fillId="5" borderId="36" xfId="2" applyNumberFormat="1" applyFont="1" applyFill="1" applyBorder="1" applyAlignment="1">
      <alignment horizontal="right" vertical="center"/>
    </xf>
    <xf numFmtId="0" fontId="2" fillId="5" borderId="36" xfId="2" applyFont="1" applyFill="1" applyBorder="1" applyAlignment="1">
      <alignment horizontal="left"/>
    </xf>
    <xf numFmtId="0" fontId="2" fillId="5" borderId="22" xfId="2" applyFont="1" applyFill="1" applyBorder="1" applyAlignment="1">
      <alignment horizontal="left"/>
    </xf>
    <xf numFmtId="166" fontId="2" fillId="5" borderId="23" xfId="2" applyNumberFormat="1" applyFont="1" applyFill="1" applyBorder="1"/>
    <xf numFmtId="166" fontId="40" fillId="5" borderId="38" xfId="0" applyNumberFormat="1" applyFont="1" applyFill="1" applyBorder="1"/>
    <xf numFmtId="166" fontId="13" fillId="5" borderId="33" xfId="2" applyNumberFormat="1" applyFont="1" applyFill="1" applyBorder="1"/>
    <xf numFmtId="166" fontId="13" fillId="5" borderId="123" xfId="0" applyNumberFormat="1" applyFont="1" applyFill="1" applyBorder="1"/>
    <xf numFmtId="0" fontId="13" fillId="5" borderId="22" xfId="0" applyFont="1" applyFill="1" applyBorder="1"/>
    <xf numFmtId="166" fontId="43" fillId="5" borderId="51" xfId="0" applyNumberFormat="1" applyFont="1" applyFill="1" applyBorder="1"/>
    <xf numFmtId="166" fontId="68" fillId="5" borderId="121" xfId="2" applyNumberFormat="1" applyFont="1" applyFill="1" applyBorder="1"/>
    <xf numFmtId="0" fontId="0" fillId="28" borderId="117" xfId="0" applyFill="1" applyBorder="1" applyAlignment="1">
      <alignment horizontal="center" vertical="center"/>
    </xf>
    <xf numFmtId="0" fontId="2" fillId="28" borderId="118" xfId="0" applyFont="1" applyFill="1" applyBorder="1" applyAlignment="1">
      <alignment horizontal="center" vertical="center" wrapText="1"/>
    </xf>
    <xf numFmtId="0" fontId="2" fillId="28" borderId="117" xfId="2" applyFont="1" applyFill="1" applyBorder="1" applyAlignment="1">
      <alignment horizontal="right" vertical="center"/>
    </xf>
    <xf numFmtId="166" fontId="73" fillId="28" borderId="118" xfId="2" applyNumberFormat="1" applyFont="1" applyFill="1" applyBorder="1" applyAlignment="1">
      <alignment vertical="center"/>
    </xf>
    <xf numFmtId="0" fontId="2" fillId="28" borderId="117" xfId="2" applyFont="1" applyFill="1" applyBorder="1" applyAlignment="1">
      <alignment horizontal="center" vertical="center"/>
    </xf>
    <xf numFmtId="0" fontId="41" fillId="28" borderId="119" xfId="2" applyFont="1" applyFill="1" applyBorder="1" applyAlignment="1">
      <alignment horizontal="center" vertical="center"/>
    </xf>
    <xf numFmtId="0" fontId="2" fillId="28" borderId="37" xfId="2" applyFont="1" applyFill="1" applyBorder="1" applyAlignment="1">
      <alignment horizontal="center"/>
    </xf>
    <xf numFmtId="0" fontId="2" fillId="28" borderId="36" xfId="0" applyFont="1" applyFill="1" applyBorder="1" applyAlignment="1">
      <alignment horizontal="right" vertical="center" wrapText="1"/>
    </xf>
    <xf numFmtId="166" fontId="6" fillId="28" borderId="0" xfId="2" applyNumberFormat="1" applyFont="1" applyFill="1" applyAlignment="1">
      <alignment wrapText="1"/>
    </xf>
    <xf numFmtId="0" fontId="2" fillId="28" borderId="51" xfId="2" applyFont="1" applyFill="1" applyBorder="1" applyAlignment="1">
      <alignment horizontal="right"/>
    </xf>
    <xf numFmtId="0" fontId="17" fillId="28" borderId="23" xfId="0" applyFont="1" applyFill="1" applyBorder="1" applyAlignment="1">
      <alignment horizontal="center" vertical="center"/>
    </xf>
    <xf numFmtId="0" fontId="7" fillId="28" borderId="120" xfId="0" applyFont="1" applyFill="1" applyBorder="1" applyAlignment="1">
      <alignment horizontal="center" vertical="center"/>
    </xf>
    <xf numFmtId="0" fontId="37" fillId="28" borderId="114" xfId="2" applyFont="1" applyFill="1" applyBorder="1" applyAlignment="1">
      <alignment vertical="center" textRotation="90"/>
    </xf>
    <xf numFmtId="0" fontId="37" fillId="28" borderId="115" xfId="2" applyFont="1" applyFill="1" applyBorder="1" applyAlignment="1">
      <alignment vertical="center" textRotation="90"/>
    </xf>
    <xf numFmtId="0" fontId="2" fillId="28" borderId="116" xfId="2" applyFont="1" applyFill="1" applyBorder="1" applyAlignment="1">
      <alignment horizontal="center" vertical="center"/>
    </xf>
    <xf numFmtId="0" fontId="35" fillId="28" borderId="125" xfId="2" applyFont="1" applyFill="1" applyBorder="1" applyAlignment="1">
      <alignment horizontal="center" vertical="center"/>
    </xf>
    <xf numFmtId="17" fontId="13" fillId="28" borderId="125" xfId="2" applyNumberFormat="1" applyFont="1" applyFill="1" applyBorder="1" applyAlignment="1">
      <alignment horizontal="center" vertical="center"/>
    </xf>
    <xf numFmtId="1" fontId="30" fillId="28" borderId="126" xfId="2" applyNumberFormat="1" applyFont="1" applyFill="1" applyBorder="1" applyAlignment="1">
      <alignment horizontal="right" vertical="center"/>
    </xf>
    <xf numFmtId="1" fontId="35" fillId="28" borderId="125" xfId="2" applyNumberFormat="1" applyFont="1" applyFill="1" applyBorder="1" applyAlignment="1">
      <alignment horizontal="center" vertical="center" wrapText="1"/>
    </xf>
    <xf numFmtId="1" fontId="30" fillId="28" borderId="125" xfId="2" applyNumberFormat="1" applyFont="1" applyFill="1" applyBorder="1" applyAlignment="1">
      <alignment horizontal="right" vertical="center"/>
    </xf>
    <xf numFmtId="0" fontId="0" fillId="12" borderId="117" xfId="0" applyFill="1" applyBorder="1" applyAlignment="1">
      <alignment horizontal="center" vertical="center"/>
    </xf>
    <xf numFmtId="0" fontId="2" fillId="12" borderId="118" xfId="0" applyFont="1" applyFill="1" applyBorder="1" applyAlignment="1">
      <alignment horizontal="center" vertical="center" wrapText="1"/>
    </xf>
    <xf numFmtId="0" fontId="2" fillId="12" borderId="117" xfId="2" applyFont="1" applyFill="1" applyBorder="1" applyAlignment="1">
      <alignment horizontal="right" vertical="center"/>
    </xf>
    <xf numFmtId="166" fontId="73" fillId="12" borderId="118" xfId="2" applyNumberFormat="1" applyFont="1" applyFill="1" applyBorder="1" applyAlignment="1">
      <alignment vertical="center"/>
    </xf>
    <xf numFmtId="0" fontId="2" fillId="12" borderId="36" xfId="0" applyFont="1" applyFill="1" applyBorder="1" applyAlignment="1">
      <alignment horizontal="right" vertical="center" wrapText="1"/>
    </xf>
    <xf numFmtId="166" fontId="6" fillId="12" borderId="0" xfId="2" applyNumberFormat="1" applyFont="1" applyFill="1" applyAlignment="1">
      <alignment wrapText="1"/>
    </xf>
    <xf numFmtId="0" fontId="2" fillId="12" borderId="51" xfId="2" applyFont="1" applyFill="1" applyBorder="1" applyAlignment="1">
      <alignment horizontal="right"/>
    </xf>
    <xf numFmtId="0" fontId="17" fillId="12" borderId="23" xfId="0" applyFont="1" applyFill="1" applyBorder="1" applyAlignment="1">
      <alignment horizontal="center" vertical="center"/>
    </xf>
    <xf numFmtId="0" fontId="7" fillId="12" borderId="120" xfId="0" applyFont="1" applyFill="1" applyBorder="1" applyAlignment="1">
      <alignment horizontal="center" vertical="center"/>
    </xf>
    <xf numFmtId="0" fontId="37" fillId="12" borderId="114" xfId="2" applyFont="1" applyFill="1" applyBorder="1" applyAlignment="1">
      <alignment vertical="center" textRotation="90"/>
    </xf>
    <xf numFmtId="0" fontId="37" fillId="12" borderId="115" xfId="2" applyFont="1" applyFill="1" applyBorder="1" applyAlignment="1">
      <alignment vertical="center" textRotation="90"/>
    </xf>
    <xf numFmtId="14" fontId="69" fillId="12" borderId="115" xfId="2" applyNumberFormat="1" applyFont="1" applyFill="1" applyBorder="1" applyAlignment="1">
      <alignment vertical="center"/>
    </xf>
    <xf numFmtId="0" fontId="2" fillId="12" borderId="116" xfId="2" applyFont="1" applyFill="1" applyBorder="1" applyAlignment="1">
      <alignment horizontal="center" vertical="center"/>
    </xf>
    <xf numFmtId="0" fontId="35" fillId="12" borderId="125" xfId="2" applyFont="1" applyFill="1" applyBorder="1" applyAlignment="1">
      <alignment horizontal="center" vertical="center"/>
    </xf>
    <xf numFmtId="17" fontId="13" fillId="12" borderId="125" xfId="2" applyNumberFormat="1" applyFont="1" applyFill="1" applyBorder="1" applyAlignment="1">
      <alignment horizontal="center" vertical="center"/>
    </xf>
    <xf numFmtId="1" fontId="30" fillId="12" borderId="126" xfId="2" applyNumberFormat="1" applyFont="1" applyFill="1" applyBorder="1" applyAlignment="1">
      <alignment horizontal="right" vertical="center"/>
    </xf>
    <xf numFmtId="1" fontId="35" fillId="12" borderId="125" xfId="2" applyNumberFormat="1" applyFont="1" applyFill="1" applyBorder="1" applyAlignment="1">
      <alignment horizontal="center" vertical="center" wrapText="1"/>
    </xf>
    <xf numFmtId="1" fontId="30" fillId="12" borderId="125" xfId="2" applyNumberFormat="1" applyFont="1" applyFill="1" applyBorder="1" applyAlignment="1">
      <alignment horizontal="right" vertical="center"/>
    </xf>
    <xf numFmtId="17" fontId="74" fillId="12" borderId="0" xfId="0" applyNumberFormat="1" applyFont="1" applyFill="1" applyAlignment="1">
      <alignment horizontal="center" vertical="center"/>
    </xf>
    <xf numFmtId="0" fontId="0" fillId="12" borderId="115" xfId="0" applyFill="1" applyBorder="1" applyAlignment="1">
      <alignment horizontal="center" vertical="center"/>
    </xf>
    <xf numFmtId="0" fontId="2" fillId="12" borderId="37" xfId="2" applyFont="1" applyFill="1" applyBorder="1" applyAlignment="1">
      <alignment horizontal="center"/>
    </xf>
    <xf numFmtId="0" fontId="13" fillId="12" borderId="35" xfId="0" applyFont="1" applyFill="1" applyBorder="1" applyAlignment="1">
      <alignment horizontal="center"/>
    </xf>
    <xf numFmtId="0" fontId="13" fillId="28" borderId="35" xfId="0" applyFont="1" applyFill="1" applyBorder="1" applyAlignment="1">
      <alignment horizontal="center"/>
    </xf>
    <xf numFmtId="0" fontId="71" fillId="5" borderId="127" xfId="2" applyFont="1" applyFill="1" applyBorder="1" applyAlignment="1">
      <alignment vertical="center"/>
    </xf>
    <xf numFmtId="166" fontId="72" fillId="5" borderId="128" xfId="0" applyNumberFormat="1" applyFont="1" applyFill="1" applyBorder="1" applyAlignment="1">
      <alignment horizontal="centerContinuous" vertical="center"/>
    </xf>
    <xf numFmtId="14" fontId="32" fillId="28" borderId="115" xfId="2" applyNumberFormat="1" applyFont="1" applyFill="1" applyBorder="1" applyAlignment="1">
      <alignment vertical="center"/>
    </xf>
    <xf numFmtId="0" fontId="70" fillId="28" borderId="115" xfId="2" applyFont="1" applyFill="1" applyBorder="1" applyAlignment="1">
      <alignment vertical="center" textRotation="90"/>
    </xf>
    <xf numFmtId="0" fontId="23" fillId="28" borderId="115" xfId="0" applyFont="1" applyFill="1" applyBorder="1" applyAlignment="1">
      <alignment horizontal="center" vertical="center"/>
    </xf>
    <xf numFmtId="17" fontId="74" fillId="28" borderId="0" xfId="0" applyNumberFormat="1" applyFont="1" applyFill="1" applyAlignment="1">
      <alignment horizontal="center" vertical="center"/>
    </xf>
    <xf numFmtId="0" fontId="2" fillId="28" borderId="0" xfId="2" applyFont="1" applyFill="1"/>
    <xf numFmtId="0" fontId="2" fillId="12" borderId="0" xfId="2" applyFont="1" applyFill="1"/>
    <xf numFmtId="0" fontId="75" fillId="28" borderId="131" xfId="2" applyFont="1" applyFill="1" applyBorder="1" applyAlignment="1">
      <alignment horizontal="centerContinuous" wrapText="1"/>
    </xf>
    <xf numFmtId="0" fontId="75" fillId="28" borderId="132" xfId="2" applyFont="1" applyFill="1" applyBorder="1" applyAlignment="1">
      <alignment horizontal="centerContinuous" wrapText="1"/>
    </xf>
    <xf numFmtId="0" fontId="7" fillId="28" borderId="133" xfId="2" applyFont="1" applyFill="1" applyBorder="1" applyAlignment="1">
      <alignment horizontal="right" vertical="top"/>
    </xf>
    <xf numFmtId="0" fontId="75" fillId="12" borderId="131" xfId="2" applyFont="1" applyFill="1" applyBorder="1" applyAlignment="1">
      <alignment horizontal="centerContinuous" wrapText="1"/>
    </xf>
    <xf numFmtId="0" fontId="75" fillId="12" borderId="132" xfId="2" applyFont="1" applyFill="1" applyBorder="1" applyAlignment="1">
      <alignment horizontal="centerContinuous"/>
    </xf>
    <xf numFmtId="0" fontId="7" fillId="12" borderId="133" xfId="2" applyFont="1" applyFill="1" applyBorder="1" applyAlignment="1">
      <alignment horizontal="right" vertical="top"/>
    </xf>
    <xf numFmtId="0" fontId="2" fillId="12" borderId="35" xfId="2" applyFont="1" applyFill="1" applyBorder="1" applyAlignment="1">
      <alignment horizontal="center" vertical="center"/>
    </xf>
    <xf numFmtId="0" fontId="41" fillId="12" borderId="134" xfId="2" applyFont="1" applyFill="1" applyBorder="1" applyAlignment="1">
      <alignment horizontal="center" vertical="center"/>
    </xf>
    <xf numFmtId="1" fontId="36" fillId="13" borderId="63" xfId="2" applyNumberFormat="1" applyFont="1" applyFill="1" applyBorder="1" applyAlignment="1">
      <alignment horizontal="center" vertical="center"/>
    </xf>
    <xf numFmtId="0" fontId="76" fillId="13" borderId="63" xfId="2" applyFont="1" applyFill="1" applyBorder="1" applyAlignment="1">
      <alignment horizontal="center" vertical="center" wrapText="1"/>
    </xf>
    <xf numFmtId="17" fontId="76" fillId="13" borderId="63" xfId="2" applyNumberFormat="1" applyFont="1" applyFill="1" applyBorder="1" applyAlignment="1">
      <alignment horizontal="center" vertical="center"/>
    </xf>
    <xf numFmtId="0" fontId="2" fillId="10" borderId="0" xfId="2" applyFont="1" applyFill="1"/>
    <xf numFmtId="0" fontId="11" fillId="0" borderId="21" xfId="2" applyFont="1" applyBorder="1" applyAlignment="1">
      <alignment horizontal="centerContinuous" vertical="center"/>
    </xf>
    <xf numFmtId="0" fontId="11" fillId="0" borderId="24" xfId="2" applyFont="1" applyBorder="1" applyAlignment="1">
      <alignment horizontal="centerContinuous" vertical="center"/>
    </xf>
    <xf numFmtId="0" fontId="2" fillId="14" borderId="52" xfId="4" applyFont="1" applyFill="1" applyBorder="1" applyAlignment="1">
      <alignment horizontal="center" vertical="center"/>
    </xf>
    <xf numFmtId="0" fontId="43" fillId="14" borderId="38" xfId="0" applyFont="1" applyFill="1" applyBorder="1" applyAlignment="1">
      <alignment horizontal="centerContinuous" vertical="center" wrapText="1"/>
    </xf>
    <xf numFmtId="166" fontId="17" fillId="14" borderId="33" xfId="0" applyNumberFormat="1" applyFont="1" applyFill="1" applyBorder="1" applyAlignment="1">
      <alignment horizontal="centerContinuous" vertical="center" wrapText="1"/>
    </xf>
    <xf numFmtId="14" fontId="32" fillId="14" borderId="39" xfId="4" applyNumberFormat="1" applyFont="1" applyFill="1" applyBorder="1" applyAlignment="1">
      <alignment horizontal="centerContinuous" vertical="center" wrapText="1"/>
    </xf>
    <xf numFmtId="0" fontId="77" fillId="14" borderId="38" xfId="4" applyFont="1" applyFill="1" applyBorder="1" applyAlignment="1">
      <alignment horizontal="centerContinuous" wrapText="1"/>
    </xf>
    <xf numFmtId="166" fontId="13" fillId="14" borderId="78" xfId="4" applyNumberFormat="1" applyFont="1" applyFill="1" applyBorder="1" applyAlignment="1">
      <alignment horizontal="center" vertical="center"/>
    </xf>
    <xf numFmtId="166" fontId="13" fillId="14" borderId="20" xfId="4" applyNumberFormat="1" applyFont="1" applyFill="1" applyBorder="1" applyAlignment="1">
      <alignment horizontal="center" vertical="center"/>
    </xf>
    <xf numFmtId="0" fontId="2" fillId="9" borderId="87" xfId="4" applyFont="1" applyFill="1" applyBorder="1"/>
    <xf numFmtId="14" fontId="2" fillId="0" borderId="20" xfId="2" applyNumberFormat="1" applyFont="1" applyBorder="1" applyAlignment="1">
      <alignment horizontal="center" vertical="center"/>
    </xf>
    <xf numFmtId="0" fontId="2" fillId="0" borderId="89" xfId="2" applyFont="1" applyBorder="1" applyAlignment="1">
      <alignment horizontal="center" vertical="center"/>
    </xf>
    <xf numFmtId="0" fontId="0" fillId="0" borderId="0" xfId="0" applyAlignment="1">
      <alignment horizontal="center"/>
    </xf>
    <xf numFmtId="169" fontId="2" fillId="0" borderId="43" xfId="2" applyNumberFormat="1" applyFont="1" applyBorder="1" applyAlignment="1">
      <alignment horizontal="centerContinuous" vertical="distributed"/>
    </xf>
    <xf numFmtId="169" fontId="6" fillId="0" borderId="60" xfId="2" applyNumberFormat="1" applyFont="1" applyBorder="1" applyAlignment="1">
      <alignment horizontal="centerContinuous" vertical="distributed"/>
    </xf>
    <xf numFmtId="169" fontId="2" fillId="0" borderId="43" xfId="2" applyNumberFormat="1" applyFont="1" applyBorder="1" applyAlignment="1">
      <alignment horizontal="centerContinuous"/>
    </xf>
    <xf numFmtId="169" fontId="6" fillId="0" borderId="36" xfId="2" applyNumberFormat="1" applyFont="1" applyBorder="1" applyAlignment="1">
      <alignment horizontal="centerContinuous"/>
    </xf>
    <xf numFmtId="169" fontId="6" fillId="0" borderId="60" xfId="2" applyNumberFormat="1" applyFont="1" applyBorder="1" applyAlignment="1">
      <alignment horizontal="centerContinuous"/>
    </xf>
    <xf numFmtId="164" fontId="2" fillId="0" borderId="14" xfId="2" applyNumberFormat="1" applyFont="1" applyBorder="1" applyAlignment="1">
      <alignment horizontal="centerContinuous"/>
    </xf>
    <xf numFmtId="164" fontId="2" fillId="0" borderId="15" xfId="2" applyNumberFormat="1" applyFont="1" applyBorder="1" applyAlignment="1">
      <alignment horizontal="centerContinuous"/>
    </xf>
    <xf numFmtId="166" fontId="2" fillId="0" borderId="14" xfId="2" applyNumberFormat="1" applyFont="1" applyBorder="1" applyAlignment="1">
      <alignment horizontal="centerContinuous"/>
    </xf>
    <xf numFmtId="166" fontId="2" fillId="0" borderId="15" xfId="2" applyNumberFormat="1" applyFont="1" applyBorder="1" applyAlignment="1">
      <alignment horizontal="centerContinuous"/>
    </xf>
    <xf numFmtId="166" fontId="2" fillId="0" borderId="16" xfId="2" applyNumberFormat="1" applyFont="1" applyBorder="1" applyAlignment="1">
      <alignment horizontal="centerContinuous"/>
    </xf>
    <xf numFmtId="166" fontId="2" fillId="0" borderId="17" xfId="2" applyNumberFormat="1" applyFont="1" applyBorder="1" applyAlignment="1">
      <alignment horizontal="centerContinuous"/>
    </xf>
    <xf numFmtId="166" fontId="2" fillId="0" borderId="61" xfId="2" applyNumberFormat="1" applyFont="1" applyBorder="1" applyAlignment="1">
      <alignment horizontal="centerContinuous"/>
    </xf>
    <xf numFmtId="166" fontId="6" fillId="0" borderId="62" xfId="2" applyNumberFormat="1" applyFont="1" applyBorder="1" applyAlignment="1">
      <alignment horizontal="centerContinuous"/>
    </xf>
    <xf numFmtId="166" fontId="2" fillId="0" borderId="22" xfId="2" applyNumberFormat="1" applyFont="1" applyBorder="1" applyAlignment="1">
      <alignment horizontal="centerContinuous"/>
    </xf>
    <xf numFmtId="166" fontId="2" fillId="0" borderId="23" xfId="2" applyNumberFormat="1" applyFont="1" applyBorder="1" applyAlignment="1">
      <alignment horizontal="centerContinuous"/>
    </xf>
    <xf numFmtId="164" fontId="2" fillId="0" borderId="48" xfId="2" applyNumberFormat="1" applyFont="1" applyBorder="1" applyAlignment="1">
      <alignment horizontal="centerContinuous"/>
    </xf>
    <xf numFmtId="164" fontId="2" fillId="0" borderId="49" xfId="2" applyNumberFormat="1" applyFont="1" applyBorder="1" applyAlignment="1">
      <alignment horizontal="centerContinuous"/>
    </xf>
    <xf numFmtId="0" fontId="13" fillId="30" borderId="135" xfId="13" applyFont="1" applyFill="1" applyBorder="1"/>
    <xf numFmtId="0" fontId="13" fillId="0" borderId="108" xfId="13" applyFont="1" applyBorder="1"/>
    <xf numFmtId="0" fontId="6" fillId="5" borderId="108" xfId="13" applyFont="1" applyFill="1" applyBorder="1"/>
    <xf numFmtId="170" fontId="6" fillId="5" borderId="92" xfId="13" applyNumberFormat="1" applyFont="1" applyFill="1" applyBorder="1"/>
    <xf numFmtId="0" fontId="6" fillId="5" borderId="92" xfId="13" applyFont="1" applyFill="1" applyBorder="1"/>
    <xf numFmtId="0" fontId="6" fillId="5" borderId="25" xfId="13" applyFont="1" applyFill="1" applyBorder="1"/>
    <xf numFmtId="0" fontId="78" fillId="5" borderId="25" xfId="13" applyFont="1" applyFill="1" applyBorder="1"/>
    <xf numFmtId="0" fontId="78" fillId="5" borderId="109" xfId="13" applyFont="1" applyFill="1" applyBorder="1"/>
    <xf numFmtId="0" fontId="38" fillId="0" borderId="109" xfId="13" applyBorder="1"/>
    <xf numFmtId="0" fontId="38" fillId="0" borderId="92" xfId="13" applyBorder="1"/>
    <xf numFmtId="0" fontId="38" fillId="0" borderId="136" xfId="13" applyBorder="1"/>
    <xf numFmtId="0" fontId="13" fillId="30" borderId="39" xfId="13" applyFont="1" applyFill="1" applyBorder="1"/>
    <xf numFmtId="0" fontId="13" fillId="0" borderId="40" xfId="13" applyFont="1" applyBorder="1"/>
    <xf numFmtId="0" fontId="6" fillId="5" borderId="109" xfId="13" applyFont="1" applyFill="1" applyBorder="1"/>
    <xf numFmtId="0" fontId="6" fillId="5" borderId="109" xfId="2" applyFont="1" applyFill="1" applyBorder="1"/>
    <xf numFmtId="0" fontId="6" fillId="5" borderId="92" xfId="2" applyFont="1" applyFill="1" applyBorder="1"/>
    <xf numFmtId="0" fontId="6" fillId="5" borderId="136" xfId="13" applyFont="1" applyFill="1" applyBorder="1"/>
    <xf numFmtId="0" fontId="38" fillId="30" borderId="91" xfId="13" applyFill="1" applyBorder="1"/>
    <xf numFmtId="171" fontId="23" fillId="0" borderId="92" xfId="14" applyNumberFormat="1" applyBorder="1"/>
    <xf numFmtId="168" fontId="23" fillId="0" borderId="92" xfId="14" applyNumberFormat="1" applyBorder="1"/>
    <xf numFmtId="0" fontId="38" fillId="0" borderId="0" xfId="13" applyAlignment="1">
      <alignment wrapText="1"/>
    </xf>
    <xf numFmtId="0" fontId="13" fillId="30" borderId="135" xfId="2" applyFont="1" applyFill="1" applyBorder="1"/>
    <xf numFmtId="0" fontId="13" fillId="30" borderId="38" xfId="13" applyFont="1" applyFill="1" applyBorder="1"/>
    <xf numFmtId="0" fontId="13" fillId="0" borderId="108" xfId="2" applyFont="1" applyBorder="1"/>
    <xf numFmtId="0" fontId="13" fillId="0" borderId="47" xfId="13" applyFont="1" applyBorder="1"/>
    <xf numFmtId="0" fontId="38" fillId="0" borderId="0" xfId="13" applyAlignment="1">
      <alignment horizontal="left"/>
    </xf>
    <xf numFmtId="0" fontId="6" fillId="5" borderId="108" xfId="2" applyFont="1" applyFill="1" applyBorder="1"/>
    <xf numFmtId="172" fontId="6" fillId="5" borderId="108" xfId="13" applyNumberFormat="1" applyFont="1" applyFill="1" applyBorder="1"/>
    <xf numFmtId="0" fontId="6" fillId="5" borderId="137" xfId="13" applyFont="1" applyFill="1" applyBorder="1"/>
    <xf numFmtId="172" fontId="6" fillId="5" borderId="92" xfId="2" applyNumberFormat="1" applyFont="1" applyFill="1" applyBorder="1"/>
    <xf numFmtId="0" fontId="6" fillId="5" borderId="0" xfId="13" applyFont="1" applyFill="1"/>
    <xf numFmtId="0" fontId="6" fillId="5" borderId="136" xfId="2" applyFont="1" applyFill="1" applyBorder="1"/>
    <xf numFmtId="0" fontId="78" fillId="5" borderId="0" xfId="13" applyFont="1" applyFill="1" applyAlignment="1">
      <alignment horizontal="left"/>
    </xf>
    <xf numFmtId="0" fontId="6" fillId="5" borderId="0" xfId="2" applyFont="1" applyFill="1"/>
    <xf numFmtId="0" fontId="6" fillId="30" borderId="138" xfId="13" applyFont="1" applyFill="1" applyBorder="1"/>
    <xf numFmtId="0" fontId="6" fillId="5" borderId="139" xfId="13" applyFont="1" applyFill="1" applyBorder="1"/>
    <xf numFmtId="0" fontId="15" fillId="0" borderId="0" xfId="0" applyFont="1" applyAlignment="1">
      <alignment horizontal="center"/>
    </xf>
    <xf numFmtId="0" fontId="2" fillId="30" borderId="91" xfId="2" applyFont="1" applyFill="1" applyBorder="1"/>
    <xf numFmtId="0" fontId="2" fillId="0" borderId="136" xfId="2" applyFont="1" applyBorder="1"/>
    <xf numFmtId="0" fontId="38" fillId="0" borderId="0" xfId="13"/>
    <xf numFmtId="0" fontId="6" fillId="5" borderId="137" xfId="2" applyFont="1" applyFill="1" applyBorder="1"/>
    <xf numFmtId="0" fontId="78" fillId="30" borderId="91" xfId="13" applyFont="1" applyFill="1" applyBorder="1" applyAlignment="1">
      <alignment vertical="center"/>
    </xf>
    <xf numFmtId="0" fontId="6" fillId="5" borderId="92" xfId="13" applyFont="1" applyFill="1" applyBorder="1" applyAlignment="1">
      <alignment vertical="center" wrapText="1"/>
    </xf>
    <xf numFmtId="0" fontId="6" fillId="5" borderId="136" xfId="13" applyFont="1" applyFill="1" applyBorder="1" applyAlignment="1">
      <alignment vertical="center" wrapText="1"/>
    </xf>
    <xf numFmtId="0" fontId="78" fillId="5" borderId="0" xfId="13" applyFont="1" applyFill="1"/>
    <xf numFmtId="0" fontId="13" fillId="30" borderId="91" xfId="13" applyFont="1" applyFill="1" applyBorder="1"/>
    <xf numFmtId="0" fontId="13" fillId="0" borderId="92" xfId="13" applyFont="1" applyBorder="1"/>
    <xf numFmtId="0" fontId="6" fillId="5" borderId="140" xfId="2" applyFont="1" applyFill="1" applyBorder="1"/>
    <xf numFmtId="0" fontId="78" fillId="5" borderId="92" xfId="13" applyFont="1" applyFill="1" applyBorder="1"/>
    <xf numFmtId="0" fontId="78" fillId="5" borderId="92" xfId="2" applyFont="1" applyFill="1" applyBorder="1"/>
    <xf numFmtId="0" fontId="13" fillId="30" borderId="0" xfId="13" applyFont="1" applyFill="1"/>
    <xf numFmtId="0" fontId="13" fillId="0" borderId="0" xfId="13" applyFont="1"/>
    <xf numFmtId="0" fontId="38" fillId="30" borderId="135" xfId="13" applyFill="1" applyBorder="1"/>
    <xf numFmtId="0" fontId="13" fillId="30" borderId="91" xfId="2" applyFont="1" applyFill="1" applyBorder="1"/>
    <xf numFmtId="0" fontId="38" fillId="0" borderId="108" xfId="13" applyBorder="1"/>
    <xf numFmtId="0" fontId="78" fillId="5" borderId="137" xfId="13" applyFont="1" applyFill="1" applyBorder="1"/>
    <xf numFmtId="9" fontId="78" fillId="5" borderId="92" xfId="15" applyFont="1" applyFill="1" applyBorder="1"/>
    <xf numFmtId="0" fontId="78" fillId="5" borderId="0" xfId="2" applyFont="1" applyFill="1"/>
    <xf numFmtId="0" fontId="78" fillId="5" borderId="136" xfId="2" applyFont="1" applyFill="1" applyBorder="1" applyAlignment="1">
      <alignment horizontal="right"/>
    </xf>
    <xf numFmtId="171" fontId="23" fillId="0" borderId="0" xfId="16" applyNumberFormat="1"/>
    <xf numFmtId="168" fontId="23" fillId="0" borderId="0" xfId="16" applyNumberFormat="1"/>
    <xf numFmtId="0" fontId="2" fillId="18" borderId="20" xfId="17" applyFont="1" applyFill="1" applyBorder="1"/>
    <xf numFmtId="0" fontId="2" fillId="17" borderId="141" xfId="17" applyFont="1" applyFill="1" applyBorder="1"/>
    <xf numFmtId="0" fontId="2" fillId="18" borderId="141" xfId="17" applyFont="1" applyFill="1" applyBorder="1"/>
    <xf numFmtId="0" fontId="18" fillId="6" borderId="2" xfId="0" applyFont="1" applyFill="1" applyBorder="1" applyAlignment="1">
      <alignment horizontal="centerContinuous" vertical="center" wrapText="1"/>
    </xf>
    <xf numFmtId="0" fontId="18" fillId="6" borderId="5" xfId="0" applyFont="1" applyFill="1" applyBorder="1" applyAlignment="1">
      <alignment horizontal="centerContinuous" vertical="center" wrapText="1"/>
    </xf>
    <xf numFmtId="0" fontId="19" fillId="6" borderId="20" xfId="0" applyFont="1" applyFill="1" applyBorder="1" applyAlignment="1">
      <alignment horizontal="centerContinuous" vertical="center" wrapText="1"/>
    </xf>
    <xf numFmtId="0" fontId="17" fillId="0" borderId="0" xfId="0" applyFont="1" applyAlignment="1">
      <alignment horizontal="centerContinuous"/>
    </xf>
    <xf numFmtId="0" fontId="20" fillId="6" borderId="8" xfId="0" applyFont="1" applyFill="1" applyBorder="1" applyAlignment="1">
      <alignment horizontal="centerContinuous" vertical="center" wrapText="1"/>
    </xf>
    <xf numFmtId="0" fontId="20" fillId="6" borderId="9" xfId="0" applyFont="1" applyFill="1" applyBorder="1" applyAlignment="1">
      <alignment horizontal="centerContinuous" vertical="center" wrapText="1"/>
    </xf>
    <xf numFmtId="0" fontId="20" fillId="6" borderId="56" xfId="0" applyFont="1" applyFill="1" applyBorder="1" applyAlignment="1">
      <alignment horizontal="centerContinuous" vertical="center" wrapText="1"/>
    </xf>
    <xf numFmtId="0" fontId="21" fillId="6" borderId="34" xfId="0" applyFont="1" applyFill="1" applyBorder="1" applyAlignment="1">
      <alignment horizontal="centerContinuous" vertical="center" wrapText="1"/>
    </xf>
    <xf numFmtId="0" fontId="21" fillId="6" borderId="35" xfId="0" applyFont="1" applyFill="1" applyBorder="1" applyAlignment="1">
      <alignment horizontal="centerContinuous" vertical="center" wrapText="1"/>
    </xf>
    <xf numFmtId="0" fontId="21" fillId="6" borderId="37" xfId="0" applyFont="1" applyFill="1" applyBorder="1" applyAlignment="1">
      <alignment horizontal="centerContinuous" vertical="center" wrapText="1"/>
    </xf>
    <xf numFmtId="0" fontId="21" fillId="6" borderId="57" xfId="0" applyFont="1" applyFill="1" applyBorder="1" applyAlignment="1">
      <alignment horizontal="centerContinuous" vertical="center" wrapText="1"/>
    </xf>
    <xf numFmtId="0" fontId="21" fillId="6" borderId="5" xfId="0" applyFont="1" applyFill="1" applyBorder="1" applyAlignment="1">
      <alignment horizontal="centerContinuous" vertical="center" wrapText="1"/>
    </xf>
    <xf numFmtId="0" fontId="21" fillId="6" borderId="58" xfId="0" applyFont="1" applyFill="1" applyBorder="1" applyAlignment="1">
      <alignment horizontal="centerContinuous" vertical="center" wrapText="1"/>
    </xf>
    <xf numFmtId="0" fontId="80" fillId="5" borderId="129" xfId="2" applyFont="1" applyFill="1" applyBorder="1" applyAlignment="1">
      <alignment horizontal="centerContinuous"/>
    </xf>
    <xf numFmtId="0" fontId="81" fillId="5" borderId="0" xfId="0" applyFont="1" applyFill="1" applyAlignment="1">
      <alignment horizontal="centerContinuous"/>
    </xf>
    <xf numFmtId="0" fontId="80" fillId="5" borderId="121" xfId="2" applyFont="1" applyFill="1" applyBorder="1" applyAlignment="1">
      <alignment horizontal="centerContinuous"/>
    </xf>
    <xf numFmtId="166" fontId="58" fillId="12" borderId="39" xfId="0" applyNumberFormat="1" applyFont="1" applyFill="1" applyBorder="1" applyAlignment="1">
      <alignment horizontal="center" vertical="center" wrapText="1"/>
    </xf>
    <xf numFmtId="0" fontId="82" fillId="24" borderId="0" xfId="2" applyFont="1" applyFill="1" applyAlignment="1">
      <alignment horizontal="center" vertical="center" wrapText="1"/>
    </xf>
    <xf numFmtId="0" fontId="79" fillId="17" borderId="0" xfId="0" applyFont="1" applyFill="1" applyAlignment="1">
      <alignment horizontal="center" vertical="center" wrapText="1"/>
    </xf>
    <xf numFmtId="0" fontId="18" fillId="17" borderId="8" xfId="0" applyFont="1" applyFill="1" applyBorder="1" applyAlignment="1">
      <alignment horizontal="centerContinuous" vertical="center" wrapText="1"/>
    </xf>
    <xf numFmtId="0" fontId="18" fillId="17" borderId="9" xfId="0" applyFont="1" applyFill="1" applyBorder="1" applyAlignment="1">
      <alignment horizontal="centerContinuous" vertical="center" wrapText="1"/>
    </xf>
    <xf numFmtId="0" fontId="18" fillId="17" borderId="10" xfId="0" applyFont="1" applyFill="1" applyBorder="1" applyAlignment="1">
      <alignment horizontal="centerContinuous" vertical="center" wrapText="1"/>
    </xf>
    <xf numFmtId="0" fontId="18" fillId="6" borderId="12" xfId="0" applyFont="1" applyFill="1" applyBorder="1" applyAlignment="1">
      <alignment horizontal="center" vertical="center" wrapText="1"/>
    </xf>
    <xf numFmtId="3" fontId="18" fillId="6" borderId="145" xfId="0" applyNumberFormat="1" applyFont="1" applyFill="1" applyBorder="1" applyAlignment="1">
      <alignment horizontal="center" vertical="center" wrapText="1"/>
    </xf>
    <xf numFmtId="0" fontId="20" fillId="17" borderId="53" xfId="0" applyFont="1" applyFill="1" applyBorder="1" applyAlignment="1">
      <alignment horizontal="centerContinuous" vertical="center" wrapText="1"/>
    </xf>
    <xf numFmtId="0" fontId="20" fillId="17" borderId="54" xfId="0" applyFont="1" applyFill="1" applyBorder="1" applyAlignment="1">
      <alignment horizontal="centerContinuous" vertical="center" wrapText="1"/>
    </xf>
    <xf numFmtId="0" fontId="18" fillId="17" borderId="146" xfId="0" applyFont="1" applyFill="1" applyBorder="1" applyAlignment="1">
      <alignment horizontal="centerContinuous" vertical="center" wrapText="1"/>
    </xf>
    <xf numFmtId="0" fontId="79" fillId="17" borderId="147" xfId="0" applyFont="1" applyFill="1" applyBorder="1" applyAlignment="1">
      <alignment horizontal="centerContinuous" vertical="center" wrapText="1"/>
    </xf>
    <xf numFmtId="0" fontId="0" fillId="0" borderId="148" xfId="0" applyBorder="1" applyAlignment="1">
      <alignment horizontal="right" vertical="center"/>
    </xf>
    <xf numFmtId="0" fontId="0" fillId="0" borderId="149" xfId="0" applyBorder="1" applyAlignment="1">
      <alignment horizontal="center" vertical="center"/>
    </xf>
    <xf numFmtId="0" fontId="0" fillId="0" borderId="47" xfId="0" applyBorder="1" applyAlignment="1">
      <alignment wrapText="1"/>
    </xf>
    <xf numFmtId="0" fontId="0" fillId="0" borderId="34" xfId="0" applyBorder="1" applyAlignment="1">
      <alignment wrapText="1"/>
    </xf>
    <xf numFmtId="0" fontId="49" fillId="0" borderId="22" xfId="0" applyFont="1" applyBorder="1" applyAlignment="1">
      <alignment horizontal="center" vertical="center" wrapText="1"/>
    </xf>
    <xf numFmtId="0" fontId="79" fillId="17" borderId="23" xfId="0" applyFont="1" applyFill="1" applyBorder="1" applyAlignment="1">
      <alignment horizontal="center" vertical="center" wrapText="1"/>
    </xf>
    <xf numFmtId="173" fontId="0" fillId="0" borderId="40" xfId="0" applyNumberFormat="1" applyBorder="1" applyAlignment="1">
      <alignment horizontal="center" vertical="center"/>
    </xf>
    <xf numFmtId="173" fontId="0" fillId="0" borderId="37" xfId="0" applyNumberFormat="1" applyBorder="1" applyAlignment="1">
      <alignment horizontal="center" vertical="center"/>
    </xf>
    <xf numFmtId="0" fontId="0" fillId="0" borderId="143" xfId="0" applyBorder="1" applyAlignment="1">
      <alignment horizontal="centerContinuous"/>
    </xf>
    <xf numFmtId="0" fontId="0" fillId="0" borderId="142" xfId="0" applyBorder="1" applyAlignment="1">
      <alignment horizontal="centerContinuous" wrapText="1"/>
    </xf>
    <xf numFmtId="9" fontId="0" fillId="0" borderId="144" xfId="9" applyFont="1" applyBorder="1" applyAlignment="1">
      <alignment horizontal="center" vertical="center"/>
    </xf>
    <xf numFmtId="0" fontId="2" fillId="5" borderId="20" xfId="4" applyFont="1" applyFill="1" applyBorder="1" applyProtection="1">
      <protection locked="0"/>
    </xf>
    <xf numFmtId="166" fontId="2" fillId="24" borderId="0" xfId="4" applyNumberFormat="1" applyFont="1" applyFill="1"/>
    <xf numFmtId="0" fontId="83" fillId="28" borderId="117" xfId="2" applyFont="1" applyFill="1" applyBorder="1" applyAlignment="1">
      <alignment horizontal="center" vertical="center" wrapText="1"/>
    </xf>
    <xf numFmtId="0" fontId="83" fillId="12" borderId="35" xfId="2" applyFont="1" applyFill="1" applyBorder="1" applyAlignment="1">
      <alignment horizontal="center" vertical="center" wrapText="1"/>
    </xf>
    <xf numFmtId="0" fontId="84" fillId="0" borderId="0" xfId="0" applyFont="1"/>
    <xf numFmtId="0" fontId="14" fillId="0" borderId="0" xfId="2" applyFont="1"/>
    <xf numFmtId="14" fontId="14" fillId="7" borderId="0" xfId="0" applyNumberFormat="1" applyFont="1" applyFill="1" applyAlignment="1">
      <alignment vertical="center" wrapText="1"/>
    </xf>
    <xf numFmtId="0" fontId="76" fillId="20" borderId="0" xfId="2" applyFont="1" applyFill="1" applyAlignment="1">
      <alignment horizontal="center"/>
    </xf>
    <xf numFmtId="0" fontId="6" fillId="0" borderId="5" xfId="2" applyFont="1" applyBorder="1"/>
    <xf numFmtId="0" fontId="6" fillId="0" borderId="3" xfId="2" applyFont="1" applyBorder="1"/>
    <xf numFmtId="0" fontId="2" fillId="5" borderId="20" xfId="17" applyFont="1" applyFill="1" applyBorder="1"/>
    <xf numFmtId="2" fontId="2" fillId="5" borderId="20" xfId="17" applyNumberFormat="1" applyFont="1" applyFill="1" applyBorder="1"/>
    <xf numFmtId="0" fontId="64" fillId="0" borderId="0" xfId="0" applyFont="1"/>
    <xf numFmtId="0" fontId="0" fillId="0" borderId="35" xfId="0" quotePrefix="1" applyBorder="1"/>
    <xf numFmtId="14" fontId="31" fillId="33" borderId="50" xfId="0" applyNumberFormat="1" applyFont="1" applyFill="1" applyBorder="1"/>
    <xf numFmtId="0" fontId="0" fillId="0" borderId="150" xfId="0" applyBorder="1"/>
    <xf numFmtId="0" fontId="0" fillId="0" borderId="151" xfId="0" applyBorder="1"/>
    <xf numFmtId="0" fontId="0" fillId="0" borderId="33" xfId="0" quotePrefix="1" applyBorder="1"/>
    <xf numFmtId="0" fontId="64" fillId="0" borderId="33" xfId="0" applyFont="1" applyBorder="1"/>
    <xf numFmtId="0" fontId="0" fillId="33" borderId="78" xfId="0" applyFill="1" applyBorder="1"/>
    <xf numFmtId="0" fontId="0" fillId="0" borderId="152" xfId="0" applyBorder="1"/>
    <xf numFmtId="0" fontId="0" fillId="0" borderId="153" xfId="0" applyBorder="1"/>
    <xf numFmtId="0" fontId="10" fillId="0" borderId="33" xfId="0" applyFont="1" applyBorder="1"/>
    <xf numFmtId="0" fontId="0" fillId="32" borderId="35" xfId="0" applyFill="1" applyBorder="1" applyAlignment="1">
      <alignment horizontal="center"/>
    </xf>
    <xf numFmtId="0" fontId="0" fillId="32" borderId="33" xfId="0" applyFill="1" applyBorder="1" applyAlignment="1">
      <alignment horizontal="center"/>
    </xf>
    <xf numFmtId="0" fontId="87" fillId="32" borderId="40" xfId="0" applyFont="1" applyFill="1" applyBorder="1" applyAlignment="1">
      <alignment wrapText="1"/>
    </xf>
    <xf numFmtId="0" fontId="87" fillId="32" borderId="0" xfId="0" applyFont="1" applyFill="1" applyAlignment="1">
      <alignment wrapText="1"/>
    </xf>
    <xf numFmtId="0" fontId="87" fillId="32" borderId="39" xfId="0" applyFont="1" applyFill="1" applyBorder="1" applyAlignment="1">
      <alignment wrapText="1"/>
    </xf>
    <xf numFmtId="0" fontId="84" fillId="0" borderId="0" xfId="0" quotePrefix="1" applyFont="1"/>
    <xf numFmtId="174" fontId="10" fillId="0" borderId="33" xfId="0" applyNumberFormat="1" applyFont="1" applyBorder="1" applyAlignment="1">
      <alignment horizontal="center"/>
    </xf>
    <xf numFmtId="0" fontId="10" fillId="0" borderId="33" xfId="0" applyFont="1" applyBorder="1" applyAlignment="1">
      <alignment horizontal="center"/>
    </xf>
    <xf numFmtId="0" fontId="10" fillId="0" borderId="39" xfId="0" applyFont="1" applyBorder="1"/>
    <xf numFmtId="0" fontId="88" fillId="11" borderId="38" xfId="0" applyFont="1" applyFill="1" applyBorder="1"/>
    <xf numFmtId="164" fontId="10" fillId="0" borderId="37" xfId="0" applyNumberFormat="1" applyFont="1" applyBorder="1" applyAlignment="1">
      <alignment horizontal="center"/>
    </xf>
    <xf numFmtId="0" fontId="10" fillId="0" borderId="77" xfId="0" applyFont="1" applyBorder="1"/>
    <xf numFmtId="0" fontId="10" fillId="0" borderId="35" xfId="0" applyFont="1" applyBorder="1"/>
    <xf numFmtId="164" fontId="85" fillId="5" borderId="0" xfId="18" applyNumberFormat="1" applyFill="1"/>
    <xf numFmtId="0" fontId="85" fillId="5" borderId="40" xfId="18" applyFill="1" applyBorder="1"/>
    <xf numFmtId="164" fontId="0" fillId="0" borderId="40" xfId="0" applyNumberFormat="1" applyBorder="1" applyAlignment="1">
      <alignment horizontal="center"/>
    </xf>
    <xf numFmtId="0" fontId="15" fillId="0" borderId="59" xfId="0" applyFont="1" applyBorder="1"/>
    <xf numFmtId="0" fontId="85" fillId="5" borderId="0" xfId="18" applyFill="1"/>
    <xf numFmtId="164" fontId="10" fillId="0" borderId="40" xfId="0" applyNumberFormat="1" applyFont="1" applyBorder="1" applyAlignment="1">
      <alignment horizontal="center"/>
    </xf>
    <xf numFmtId="0" fontId="10" fillId="0" borderId="59" xfId="0" applyFont="1" applyBorder="1"/>
    <xf numFmtId="0" fontId="10" fillId="0" borderId="0" xfId="0" applyFont="1"/>
    <xf numFmtId="175" fontId="0" fillId="0" borderId="40" xfId="0" applyNumberFormat="1" applyBorder="1" applyAlignment="1">
      <alignment horizontal="center"/>
    </xf>
    <xf numFmtId="0" fontId="85" fillId="5" borderId="39" xfId="18" applyFill="1" applyBorder="1"/>
    <xf numFmtId="164" fontId="0" fillId="0" borderId="39" xfId="0" applyNumberFormat="1" applyBorder="1" applyAlignment="1">
      <alignment horizontal="center"/>
    </xf>
    <xf numFmtId="0" fontId="15" fillId="0" borderId="52" xfId="0" applyFont="1" applyBorder="1"/>
    <xf numFmtId="0" fontId="10" fillId="0" borderId="38" xfId="0" applyFont="1" applyBorder="1"/>
    <xf numFmtId="166" fontId="10" fillId="0" borderId="37" xfId="0" applyNumberFormat="1" applyFont="1" applyBorder="1" applyAlignment="1">
      <alignment horizontal="center"/>
    </xf>
    <xf numFmtId="166" fontId="0" fillId="0" borderId="40" xfId="0" applyNumberFormat="1" applyBorder="1" applyAlignment="1">
      <alignment horizontal="center"/>
    </xf>
    <xf numFmtId="166" fontId="8" fillId="0" borderId="40" xfId="0" applyNumberFormat="1" applyFont="1" applyBorder="1"/>
    <xf numFmtId="166" fontId="8" fillId="0" borderId="39" xfId="0" applyNumberFormat="1" applyFont="1" applyBorder="1"/>
    <xf numFmtId="0" fontId="64" fillId="5" borderId="37" xfId="0" applyFont="1" applyFill="1" applyBorder="1" applyAlignment="1">
      <alignment horizontal="center"/>
    </xf>
    <xf numFmtId="0" fontId="0" fillId="0" borderId="35" xfId="0" applyBorder="1" applyAlignment="1">
      <alignment horizontal="right"/>
    </xf>
    <xf numFmtId="0" fontId="64" fillId="5" borderId="39" xfId="0" applyFont="1" applyFill="1" applyBorder="1" applyAlignment="1">
      <alignment horizontal="center"/>
    </xf>
    <xf numFmtId="0" fontId="0" fillId="0" borderId="33" xfId="0" applyBorder="1" applyAlignment="1">
      <alignment horizontal="right"/>
    </xf>
    <xf numFmtId="0" fontId="6" fillId="0" borderId="33" xfId="2" applyFont="1" applyBorder="1"/>
    <xf numFmtId="0" fontId="2" fillId="0" borderId="38" xfId="2" applyFont="1" applyBorder="1"/>
    <xf numFmtId="0" fontId="0" fillId="0" borderId="23" xfId="0" applyBorder="1"/>
    <xf numFmtId="49" fontId="0" fillId="0" borderId="36" xfId="0" applyNumberFormat="1" applyBorder="1" applyAlignment="1">
      <alignment horizontal="right"/>
    </xf>
    <xf numFmtId="0" fontId="0" fillId="0" borderId="0" xfId="0" applyAlignment="1">
      <alignment horizontal="right"/>
    </xf>
    <xf numFmtId="0" fontId="89" fillId="0" borderId="0" xfId="0" applyFont="1" applyAlignment="1">
      <alignment vertical="center"/>
    </xf>
    <xf numFmtId="17" fontId="0" fillId="0" borderId="35" xfId="0" applyNumberFormat="1" applyBorder="1" applyAlignment="1">
      <alignment horizontal="right"/>
    </xf>
    <xf numFmtId="0" fontId="0" fillId="34" borderId="35" xfId="0" applyFill="1" applyBorder="1"/>
    <xf numFmtId="0" fontId="0" fillId="8" borderId="40" xfId="0" applyFill="1" applyBorder="1"/>
    <xf numFmtId="0" fontId="0" fillId="8" borderId="0" xfId="0" applyFill="1"/>
    <xf numFmtId="0" fontId="3" fillId="0" borderId="47" xfId="0" applyFont="1" applyBorder="1" applyAlignment="1">
      <alignment vertical="center"/>
    </xf>
    <xf numFmtId="0" fontId="0" fillId="8" borderId="39" xfId="0" applyFill="1" applyBorder="1"/>
    <xf numFmtId="0" fontId="0" fillId="8" borderId="33" xfId="0" applyFill="1" applyBorder="1"/>
    <xf numFmtId="17" fontId="0" fillId="0" borderId="38" xfId="0" applyNumberFormat="1" applyBorder="1"/>
    <xf numFmtId="0" fontId="90" fillId="0" borderId="0" xfId="0" applyFont="1"/>
    <xf numFmtId="0" fontId="0" fillId="0" borderId="0" xfId="0" quotePrefix="1"/>
    <xf numFmtId="14" fontId="0" fillId="33" borderId="50" xfId="0" applyNumberFormat="1" applyFill="1" applyBorder="1"/>
    <xf numFmtId="0" fontId="84" fillId="0" borderId="33" xfId="0" applyFont="1" applyBorder="1"/>
    <xf numFmtId="174" fontId="0" fillId="0" borderId="0" xfId="0" applyNumberFormat="1"/>
    <xf numFmtId="0" fontId="0" fillId="5" borderId="0" xfId="0" applyFill="1"/>
    <xf numFmtId="0" fontId="0" fillId="5" borderId="40" xfId="0" applyFill="1" applyBorder="1"/>
    <xf numFmtId="0" fontId="0" fillId="5" borderId="39" xfId="0" applyFill="1" applyBorder="1"/>
    <xf numFmtId="174" fontId="93" fillId="0" borderId="33" xfId="0" applyNumberFormat="1" applyFont="1" applyBorder="1" applyAlignment="1">
      <alignment horizontal="center"/>
    </xf>
    <xf numFmtId="164" fontId="93" fillId="0" borderId="37" xfId="0" applyNumberFormat="1" applyFont="1" applyBorder="1" applyAlignment="1">
      <alignment horizontal="center"/>
    </xf>
    <xf numFmtId="0" fontId="91" fillId="0" borderId="0" xfId="0" applyFont="1"/>
    <xf numFmtId="0" fontId="0" fillId="33" borderId="50" xfId="0" applyFill="1" applyBorder="1"/>
    <xf numFmtId="0" fontId="24" fillId="0" borderId="0" xfId="0" applyFont="1"/>
    <xf numFmtId="0" fontId="92" fillId="0" borderId="33" xfId="0" applyFont="1" applyBorder="1"/>
    <xf numFmtId="0" fontId="0" fillId="5" borderId="35" xfId="0" applyFill="1" applyBorder="1" applyAlignment="1">
      <alignment horizontal="right"/>
    </xf>
    <xf numFmtId="0" fontId="0" fillId="5" borderId="35" xfId="0" applyFill="1" applyBorder="1"/>
    <xf numFmtId="0" fontId="0" fillId="5" borderId="33" xfId="0" applyFill="1" applyBorder="1" applyAlignment="1">
      <alignment horizontal="right"/>
    </xf>
    <xf numFmtId="0" fontId="0" fillId="5" borderId="33" xfId="0" applyFill="1" applyBorder="1"/>
    <xf numFmtId="0" fontId="0" fillId="5" borderId="37" xfId="0" applyFill="1" applyBorder="1"/>
    <xf numFmtId="0" fontId="0" fillId="5" borderId="23" xfId="0" applyFill="1" applyBorder="1"/>
    <xf numFmtId="0" fontId="0" fillId="5" borderId="36" xfId="0" applyFill="1" applyBorder="1"/>
    <xf numFmtId="49" fontId="0" fillId="5" borderId="36" xfId="0" applyNumberFormat="1" applyFill="1" applyBorder="1" applyAlignment="1">
      <alignment horizontal="right"/>
    </xf>
    <xf numFmtId="0" fontId="89" fillId="5" borderId="0" xfId="0" applyFont="1" applyFill="1" applyAlignment="1">
      <alignment vertical="center"/>
    </xf>
    <xf numFmtId="17" fontId="0" fillId="5" borderId="35" xfId="0" applyNumberFormat="1" applyFill="1" applyBorder="1" applyAlignment="1">
      <alignment horizontal="right"/>
    </xf>
    <xf numFmtId="0" fontId="0" fillId="5" borderId="34" xfId="0" applyFill="1" applyBorder="1"/>
    <xf numFmtId="0" fontId="0" fillId="5" borderId="38" xfId="0" applyFill="1" applyBorder="1"/>
    <xf numFmtId="0" fontId="0" fillId="35" borderId="35" xfId="0" applyFill="1" applyBorder="1"/>
    <xf numFmtId="1" fontId="91" fillId="0" borderId="37" xfId="0" quotePrefix="1" applyNumberFormat="1" applyFont="1" applyBorder="1"/>
    <xf numFmtId="0" fontId="6" fillId="0" borderId="33" xfId="0" applyFont="1" applyBorder="1"/>
    <xf numFmtId="165" fontId="0" fillId="0" borderId="0" xfId="0" applyNumberFormat="1"/>
    <xf numFmtId="1" fontId="0" fillId="0" borderId="0" xfId="0" applyNumberFormat="1"/>
    <xf numFmtId="165" fontId="0" fillId="0" borderId="0" xfId="0" applyNumberFormat="1" applyAlignment="1">
      <alignment horizontal="right"/>
    </xf>
    <xf numFmtId="0" fontId="95" fillId="0" borderId="154" xfId="0" applyFont="1" applyBorder="1" applyAlignment="1">
      <alignment horizontal="left" vertical="center" indent="1" readingOrder="1"/>
    </xf>
    <xf numFmtId="1" fontId="96" fillId="36" borderId="155" xfId="0" applyNumberFormat="1" applyFont="1" applyFill="1" applyBorder="1" applyAlignment="1">
      <alignment horizontal="center" vertical="top" wrapText="1" shrinkToFit="1"/>
    </xf>
    <xf numFmtId="0" fontId="96" fillId="36" borderId="155" xfId="0" applyFont="1" applyFill="1" applyBorder="1" applyAlignment="1">
      <alignment horizontal="center" vertical="top" wrapText="1"/>
    </xf>
    <xf numFmtId="176" fontId="96" fillId="36" borderId="155" xfId="0" applyNumberFormat="1" applyFont="1" applyFill="1" applyBorder="1" applyAlignment="1">
      <alignment horizontal="center" vertical="top" wrapText="1"/>
    </xf>
    <xf numFmtId="4" fontId="96" fillId="36" borderId="155" xfId="0" applyNumberFormat="1" applyFont="1" applyFill="1" applyBorder="1" applyAlignment="1">
      <alignment horizontal="center" vertical="top" wrapText="1"/>
    </xf>
    <xf numFmtId="0" fontId="96" fillId="36" borderId="156" xfId="0" applyFont="1" applyFill="1" applyBorder="1" applyAlignment="1">
      <alignment vertical="top" wrapText="1" shrinkToFit="1"/>
    </xf>
    <xf numFmtId="0" fontId="96" fillId="36" borderId="155" xfId="0" applyFont="1" applyFill="1" applyBorder="1" applyAlignment="1">
      <alignment vertical="top" wrapText="1" shrinkToFit="1"/>
    </xf>
    <xf numFmtId="165" fontId="96" fillId="36" borderId="156" xfId="0" applyNumberFormat="1" applyFont="1" applyFill="1" applyBorder="1" applyAlignment="1">
      <alignment horizontal="center" vertical="top" wrapText="1" shrinkToFit="1"/>
    </xf>
    <xf numFmtId="2" fontId="0" fillId="0" borderId="0" xfId="0" applyNumberFormat="1"/>
    <xf numFmtId="0" fontId="96" fillId="36" borderId="155" xfId="0" applyFont="1" applyFill="1" applyBorder="1" applyAlignment="1">
      <alignment horizontal="center" vertical="top" wrapText="1" shrinkToFit="1"/>
    </xf>
    <xf numFmtId="0" fontId="7" fillId="0" borderId="157" xfId="0" applyFont="1" applyBorder="1" applyAlignment="1">
      <alignment horizontal="center" vertical="center"/>
    </xf>
    <xf numFmtId="0" fontId="7" fillId="0" borderId="158" xfId="0" applyFont="1" applyBorder="1" applyAlignment="1">
      <alignment horizontal="center" vertical="center"/>
    </xf>
    <xf numFmtId="0" fontId="7" fillId="0" borderId="159" xfId="0" applyFont="1" applyBorder="1" applyAlignment="1">
      <alignment horizontal="center" vertical="center"/>
    </xf>
    <xf numFmtId="177" fontId="8" fillId="0" borderId="160" xfId="0" applyNumberFormat="1" applyFont="1" applyBorder="1"/>
    <xf numFmtId="164" fontId="8" fillId="0" borderId="163" xfId="0" applyNumberFormat="1" applyFont="1" applyBorder="1"/>
    <xf numFmtId="164" fontId="8" fillId="0" borderId="8" xfId="0" applyNumberFormat="1" applyFont="1" applyBorder="1"/>
    <xf numFmtId="177" fontId="8" fillId="0" borderId="164" xfId="0" applyNumberFormat="1" applyFont="1" applyBorder="1"/>
    <xf numFmtId="164" fontId="8" fillId="0" borderId="165" xfId="0" applyNumberFormat="1" applyFont="1" applyBorder="1"/>
    <xf numFmtId="164" fontId="8" fillId="0" borderId="166" xfId="0" applyNumberFormat="1" applyFont="1" applyBorder="1"/>
    <xf numFmtId="177" fontId="8" fillId="0" borderId="167" xfId="0" applyNumberFormat="1" applyFont="1" applyBorder="1"/>
    <xf numFmtId="166" fontId="7" fillId="0" borderId="170" xfId="0" applyNumberFormat="1" applyFont="1" applyBorder="1"/>
    <xf numFmtId="166" fontId="7" fillId="0" borderId="171" xfId="0" applyNumberFormat="1" applyFont="1" applyBorder="1"/>
    <xf numFmtId="166" fontId="9" fillId="0" borderId="171" xfId="0" applyNumberFormat="1" applyFont="1" applyBorder="1"/>
    <xf numFmtId="14" fontId="7" fillId="0" borderId="171" xfId="0" applyNumberFormat="1" applyFont="1" applyBorder="1"/>
    <xf numFmtId="0" fontId="0" fillId="0" borderId="172" xfId="0" applyBorder="1"/>
    <xf numFmtId="166" fontId="8" fillId="0" borderId="173" xfId="0" applyNumberFormat="1" applyFont="1" applyBorder="1"/>
    <xf numFmtId="14" fontId="7" fillId="0" borderId="171" xfId="0" applyNumberFormat="1" applyFont="1" applyBorder="1" applyAlignment="1">
      <alignment horizontal="right"/>
    </xf>
    <xf numFmtId="0" fontId="7" fillId="0" borderId="171" xfId="0" applyFont="1" applyBorder="1" applyAlignment="1">
      <alignment horizontal="center" vertical="center"/>
    </xf>
    <xf numFmtId="0" fontId="0" fillId="0" borderId="174" xfId="0" applyBorder="1"/>
    <xf numFmtId="166" fontId="7" fillId="0" borderId="45" xfId="0" applyNumberFormat="1" applyFont="1" applyBorder="1"/>
    <xf numFmtId="166" fontId="7" fillId="0" borderId="1" xfId="0" applyNumberFormat="1" applyFont="1" applyBorder="1"/>
    <xf numFmtId="166" fontId="9" fillId="0" borderId="1" xfId="0" applyNumberFormat="1" applyFont="1" applyBorder="1"/>
    <xf numFmtId="14" fontId="7" fillId="0" borderId="1" xfId="0" applyNumberFormat="1" applyFont="1" applyBorder="1"/>
    <xf numFmtId="0" fontId="0" fillId="0" borderId="10" xfId="0" applyBorder="1"/>
    <xf numFmtId="166" fontId="8" fillId="0" borderId="8" xfId="0" applyNumberFormat="1" applyFont="1" applyBorder="1"/>
    <xf numFmtId="14" fontId="7" fillId="0" borderId="1" xfId="0" applyNumberFormat="1" applyFont="1" applyBorder="1" applyAlignment="1">
      <alignment horizontal="right"/>
    </xf>
    <xf numFmtId="0" fontId="7" fillId="0" borderId="1" xfId="0" applyFont="1" applyBorder="1" applyAlignment="1">
      <alignment horizontal="center" vertical="center"/>
    </xf>
    <xf numFmtId="0" fontId="0" fillId="0" borderId="44" xfId="0" applyBorder="1"/>
    <xf numFmtId="166" fontId="0" fillId="0" borderId="1" xfId="0" applyNumberFormat="1" applyBorder="1"/>
    <xf numFmtId="14" fontId="7" fillId="0" borderId="1" xfId="0" applyNumberFormat="1" applyFont="1" applyBorder="1" applyAlignment="1">
      <alignment horizontal="center" vertical="center"/>
    </xf>
    <xf numFmtId="0" fontId="0" fillId="0" borderId="45" xfId="0" applyBorder="1" applyAlignment="1">
      <alignment horizontal="center"/>
    </xf>
    <xf numFmtId="0" fontId="0" fillId="0" borderId="8" xfId="0" applyBorder="1" applyAlignment="1">
      <alignment horizontal="center"/>
    </xf>
    <xf numFmtId="0" fontId="0" fillId="0" borderId="1" xfId="0" applyBorder="1" applyAlignment="1">
      <alignment horizontal="center"/>
    </xf>
    <xf numFmtId="0" fontId="8" fillId="0" borderId="1" xfId="0" applyFont="1" applyBorder="1" applyAlignment="1">
      <alignment horizontal="center"/>
    </xf>
    <xf numFmtId="0" fontId="8" fillId="0" borderId="8" xfId="0" applyFont="1" applyBorder="1" applyAlignment="1">
      <alignment horizontal="center"/>
    </xf>
    <xf numFmtId="0" fontId="0" fillId="0" borderId="32" xfId="0" applyBorder="1" applyAlignment="1">
      <alignment vertical="center"/>
    </xf>
    <xf numFmtId="0" fontId="0" fillId="0" borderId="175" xfId="0" applyBorder="1"/>
    <xf numFmtId="0" fontId="0" fillId="0" borderId="176" xfId="0" applyBorder="1" applyAlignment="1">
      <alignment horizontal="center"/>
    </xf>
    <xf numFmtId="0" fontId="0" fillId="0" borderId="177" xfId="0" applyBorder="1" applyAlignment="1">
      <alignment horizontal="center"/>
    </xf>
    <xf numFmtId="0" fontId="0" fillId="0" borderId="177" xfId="0" applyBorder="1" applyAlignment="1">
      <alignment horizontal="center" vertical="center"/>
    </xf>
    <xf numFmtId="0" fontId="8" fillId="0" borderId="176" xfId="0" applyFont="1" applyBorder="1" applyAlignment="1">
      <alignment horizontal="center"/>
    </xf>
    <xf numFmtId="0" fontId="0" fillId="0" borderId="179" xfId="0" applyBorder="1" applyAlignment="1">
      <alignment vertical="center"/>
    </xf>
    <xf numFmtId="0" fontId="0" fillId="3" borderId="1" xfId="0" applyFill="1" applyBorder="1"/>
    <xf numFmtId="0" fontId="9" fillId="34" borderId="18" xfId="0" applyFont="1" applyFill="1" applyBorder="1"/>
    <xf numFmtId="0" fontId="8" fillId="0" borderId="0" xfId="0" applyFont="1"/>
    <xf numFmtId="0" fontId="9" fillId="0" borderId="0" xfId="0" applyFont="1" applyAlignment="1">
      <alignment horizontal="right"/>
    </xf>
    <xf numFmtId="0" fontId="0" fillId="0" borderId="1" xfId="0" applyBorder="1"/>
    <xf numFmtId="0" fontId="75" fillId="0" borderId="0" xfId="0" applyFont="1"/>
    <xf numFmtId="0" fontId="7" fillId="0" borderId="0" xfId="0" applyFont="1"/>
    <xf numFmtId="0" fontId="0" fillId="0" borderId="180" xfId="0" applyBorder="1"/>
    <xf numFmtId="0" fontId="2" fillId="0" borderId="5" xfId="2" applyFont="1" applyBorder="1"/>
    <xf numFmtId="0" fontId="7" fillId="0" borderId="1" xfId="0" applyFont="1" applyBorder="1"/>
    <xf numFmtId="0" fontId="0" fillId="0" borderId="13" xfId="0" applyBorder="1"/>
    <xf numFmtId="0" fontId="0" fillId="0" borderId="12" xfId="0" applyBorder="1"/>
    <xf numFmtId="0" fontId="0" fillId="0" borderId="32" xfId="0" applyBorder="1"/>
    <xf numFmtId="0" fontId="0" fillId="0" borderId="7" xfId="0" applyBorder="1"/>
    <xf numFmtId="0" fontId="0" fillId="0" borderId="18" xfId="0" applyBorder="1"/>
    <xf numFmtId="165" fontId="0" fillId="0" borderId="1" xfId="0" applyNumberFormat="1" applyBorder="1"/>
    <xf numFmtId="0" fontId="9" fillId="0" borderId="0" xfId="0" applyFont="1"/>
    <xf numFmtId="0" fontId="0" fillId="0" borderId="3" xfId="0" applyBorder="1"/>
    <xf numFmtId="0" fontId="0" fillId="0" borderId="5" xfId="0" applyBorder="1"/>
    <xf numFmtId="0" fontId="0" fillId="0" borderId="2" xfId="0" applyBorder="1"/>
    <xf numFmtId="0" fontId="5" fillId="0" borderId="0" xfId="0" applyFont="1"/>
    <xf numFmtId="0" fontId="4" fillId="0" borderId="0" xfId="0" applyFont="1"/>
    <xf numFmtId="0" fontId="64" fillId="0" borderId="39" xfId="0" applyFont="1" applyBorder="1"/>
    <xf numFmtId="0" fontId="9" fillId="24" borderId="0" xfId="4" applyFont="1" applyFill="1" applyAlignment="1">
      <alignment wrapText="1"/>
    </xf>
    <xf numFmtId="0" fontId="66" fillId="0" borderId="0" xfId="12"/>
    <xf numFmtId="0" fontId="0" fillId="0" borderId="37" xfId="0" applyBorder="1" applyAlignment="1">
      <alignment vertical="center"/>
    </xf>
    <xf numFmtId="0" fontId="66" fillId="5" borderId="0" xfId="12" applyFill="1"/>
    <xf numFmtId="0" fontId="0" fillId="0" borderId="37" xfId="0" applyBorder="1" applyAlignment="1">
      <alignment horizontal="center" vertical="center"/>
    </xf>
    <xf numFmtId="1" fontId="91" fillId="0" borderId="38" xfId="0" quotePrefix="1" applyNumberFormat="1" applyFont="1" applyBorder="1" applyAlignment="1">
      <alignment horizontal="center" vertical="center"/>
    </xf>
    <xf numFmtId="0" fontId="0" fillId="0" borderId="38" xfId="0" quotePrefix="1" applyBorder="1" applyAlignment="1">
      <alignment horizontal="center" vertical="center"/>
    </xf>
    <xf numFmtId="1" fontId="0" fillId="0" borderId="38" xfId="0" quotePrefix="1" applyNumberFormat="1" applyBorder="1" applyAlignment="1">
      <alignment horizontal="center" vertical="center"/>
    </xf>
    <xf numFmtId="1" fontId="0" fillId="0" borderId="38" xfId="0" quotePrefix="1" applyNumberFormat="1" applyBorder="1" applyAlignment="1">
      <alignment horizontal="center" vertical="top" wrapText="1"/>
    </xf>
    <xf numFmtId="166" fontId="0" fillId="9" borderId="81" xfId="0" applyNumberFormat="1" applyFill="1" applyBorder="1" applyAlignment="1">
      <alignment horizontal="center" vertical="center"/>
    </xf>
    <xf numFmtId="166" fontId="0" fillId="0" borderId="37" xfId="0" applyNumberFormat="1" applyBorder="1"/>
    <xf numFmtId="0" fontId="97" fillId="0" borderId="0" xfId="0" applyFont="1" applyAlignment="1">
      <alignment horizontal="center" vertical="center"/>
    </xf>
    <xf numFmtId="0" fontId="0" fillId="37" borderId="33" xfId="0" applyFill="1" applyBorder="1"/>
    <xf numFmtId="0" fontId="0" fillId="38" borderId="33" xfId="0" applyFill="1" applyBorder="1"/>
    <xf numFmtId="166" fontId="0" fillId="0" borderId="39" xfId="0" applyNumberFormat="1" applyBorder="1"/>
    <xf numFmtId="0" fontId="64" fillId="9" borderId="47" xfId="0" applyFont="1" applyFill="1" applyBorder="1" applyAlignment="1">
      <alignment horizontal="center" vertical="center"/>
    </xf>
    <xf numFmtId="0" fontId="64" fillId="0" borderId="38" xfId="0" applyFont="1" applyBorder="1" applyAlignment="1">
      <alignment horizontal="centerContinuous" vertical="center"/>
    </xf>
    <xf numFmtId="0" fontId="0" fillId="0" borderId="39" xfId="0" applyBorder="1" applyAlignment="1">
      <alignment horizontal="centerContinuous"/>
    </xf>
    <xf numFmtId="17" fontId="2" fillId="8" borderId="47" xfId="2" applyNumberFormat="1" applyFont="1" applyFill="1" applyBorder="1" applyAlignment="1">
      <alignment horizontal="right"/>
    </xf>
    <xf numFmtId="166" fontId="0" fillId="12" borderId="181" xfId="0" applyNumberFormat="1" applyFill="1" applyBorder="1"/>
    <xf numFmtId="0" fontId="0" fillId="0" borderId="33" xfId="0" quotePrefix="1" applyBorder="1" applyAlignment="1">
      <alignment horizontal="center"/>
    </xf>
    <xf numFmtId="1" fontId="0" fillId="0" borderId="39" xfId="0" applyNumberFormat="1" applyBorder="1" applyAlignment="1">
      <alignment horizontal="center"/>
    </xf>
    <xf numFmtId="0" fontId="0" fillId="0" borderId="33" xfId="0" applyBorder="1" applyAlignment="1">
      <alignment horizontal="center"/>
    </xf>
    <xf numFmtId="0" fontId="0" fillId="0" borderId="39" xfId="0" applyBorder="1" applyAlignment="1">
      <alignment horizontal="center"/>
    </xf>
    <xf numFmtId="1" fontId="91" fillId="0" borderId="39" xfId="0" applyNumberFormat="1" applyFont="1" applyBorder="1" applyAlignment="1">
      <alignment horizontal="center"/>
    </xf>
    <xf numFmtId="0" fontId="84" fillId="0" borderId="0" xfId="0" applyFont="1" applyAlignment="1">
      <alignment horizontal="center"/>
    </xf>
    <xf numFmtId="0" fontId="0" fillId="0" borderId="34" xfId="0" applyBorder="1" applyAlignment="1">
      <alignment horizontal="center"/>
    </xf>
    <xf numFmtId="0" fontId="64" fillId="0" borderId="35" xfId="0" applyFont="1" applyBorder="1" applyAlignment="1">
      <alignment horizontal="center"/>
    </xf>
    <xf numFmtId="0" fontId="66" fillId="32" borderId="0" xfId="12" applyFill="1" applyAlignment="1">
      <alignment horizontal="left"/>
    </xf>
    <xf numFmtId="0" fontId="0" fillId="39" borderId="81" xfId="0" applyFill="1" applyBorder="1"/>
    <xf numFmtId="0" fontId="98" fillId="39" borderId="0" xfId="0" applyFont="1" applyFill="1" applyAlignment="1">
      <alignment horizontal="centerContinuous" vertical="center"/>
    </xf>
    <xf numFmtId="0" fontId="0" fillId="39" borderId="0" xfId="0" applyFill="1" applyAlignment="1">
      <alignment horizontal="center" vertical="center"/>
    </xf>
    <xf numFmtId="3" fontId="0" fillId="0" borderId="0" xfId="0" applyNumberFormat="1"/>
    <xf numFmtId="3" fontId="18" fillId="6" borderId="2" xfId="0" applyNumberFormat="1" applyFont="1" applyFill="1" applyBorder="1" applyAlignment="1">
      <alignment horizontal="center" vertical="center" wrapText="1"/>
    </xf>
    <xf numFmtId="0" fontId="18" fillId="6" borderId="5" xfId="0" applyFont="1" applyFill="1" applyBorder="1" applyAlignment="1">
      <alignment horizontal="center" vertical="center" wrapText="1"/>
    </xf>
    <xf numFmtId="9" fontId="19" fillId="6" borderId="5" xfId="0" applyNumberFormat="1" applyFont="1" applyFill="1" applyBorder="1" applyAlignment="1">
      <alignment horizontal="center" vertical="center" wrapText="1"/>
    </xf>
    <xf numFmtId="3" fontId="19" fillId="6" borderId="10" xfId="0" applyNumberFormat="1" applyFont="1" applyFill="1" applyBorder="1" applyAlignment="1">
      <alignment horizontal="center" vertical="center" wrapText="1"/>
    </xf>
    <xf numFmtId="49" fontId="2" fillId="5" borderId="20" xfId="17" applyNumberFormat="1" applyFont="1" applyFill="1" applyBorder="1"/>
    <xf numFmtId="166" fontId="2" fillId="11" borderId="47" xfId="2" applyNumberFormat="1" applyFont="1" applyFill="1" applyBorder="1"/>
    <xf numFmtId="166" fontId="54" fillId="11" borderId="39" xfId="0" applyNumberFormat="1" applyFont="1" applyFill="1" applyBorder="1" applyAlignment="1">
      <alignment horizontal="right"/>
    </xf>
    <xf numFmtId="166" fontId="2" fillId="11" borderId="46" xfId="2" applyNumberFormat="1" applyFont="1" applyFill="1" applyBorder="1" applyAlignment="1">
      <alignment horizontal="right"/>
    </xf>
    <xf numFmtId="2" fontId="54" fillId="11" borderId="39" xfId="0" applyNumberFormat="1" applyFont="1" applyFill="1" applyBorder="1" applyAlignment="1">
      <alignment horizontal="right"/>
    </xf>
    <xf numFmtId="1" fontId="54" fillId="11" borderId="39" xfId="0" applyNumberFormat="1" applyFont="1" applyFill="1" applyBorder="1" applyAlignment="1">
      <alignment horizontal="left"/>
    </xf>
    <xf numFmtId="1" fontId="2" fillId="11" borderId="0" xfId="4" applyNumberFormat="1" applyFont="1" applyFill="1"/>
    <xf numFmtId="1" fontId="2" fillId="11" borderId="46" xfId="2" applyNumberFormat="1" applyFont="1" applyFill="1" applyBorder="1" applyAlignment="1">
      <alignment horizontal="right"/>
    </xf>
    <xf numFmtId="1" fontId="54" fillId="11" borderId="33" xfId="0" applyNumberFormat="1" applyFont="1" applyFill="1" applyBorder="1" applyAlignment="1">
      <alignment horizontal="right"/>
    </xf>
    <xf numFmtId="166" fontId="60" fillId="11" borderId="79" xfId="0" applyNumberFormat="1" applyFont="1" applyFill="1" applyBorder="1" applyAlignment="1">
      <alignment horizontal="center" vertical="center"/>
    </xf>
    <xf numFmtId="166" fontId="61" fillId="11" borderId="89" xfId="2" applyNumberFormat="1" applyFont="1" applyFill="1" applyBorder="1" applyAlignment="1">
      <alignment horizontal="center" vertical="center"/>
    </xf>
    <xf numFmtId="0" fontId="0" fillId="11" borderId="0" xfId="0" applyFill="1"/>
    <xf numFmtId="1" fontId="99" fillId="13" borderId="51" xfId="4" applyNumberFormat="1" applyFont="1" applyFill="1" applyBorder="1" applyAlignment="1">
      <alignment horizontal="center" vertical="center"/>
    </xf>
    <xf numFmtId="166" fontId="100" fillId="23" borderId="39" xfId="0" applyNumberFormat="1" applyFont="1" applyFill="1" applyBorder="1" applyAlignment="1">
      <alignment horizontal="right" wrapText="1"/>
    </xf>
    <xf numFmtId="166" fontId="100" fillId="23" borderId="39" xfId="0" applyNumberFormat="1" applyFont="1" applyFill="1" applyBorder="1" applyAlignment="1">
      <alignment horizontal="right"/>
    </xf>
    <xf numFmtId="166" fontId="101" fillId="23" borderId="42" xfId="2" applyNumberFormat="1" applyFont="1" applyFill="1" applyBorder="1"/>
    <xf numFmtId="166" fontId="102" fillId="23" borderId="39" xfId="0" applyNumberFormat="1" applyFont="1" applyFill="1" applyBorder="1" applyAlignment="1">
      <alignment horizontal="right"/>
    </xf>
    <xf numFmtId="166" fontId="103" fillId="23" borderId="42" xfId="2" applyNumberFormat="1" applyFont="1" applyFill="1" applyBorder="1"/>
    <xf numFmtId="166" fontId="104" fillId="23" borderId="39" xfId="0" applyNumberFormat="1" applyFont="1" applyFill="1" applyBorder="1" applyAlignment="1">
      <alignment horizontal="right"/>
    </xf>
    <xf numFmtId="166" fontId="105" fillId="23" borderId="42" xfId="2" applyNumberFormat="1" applyFont="1" applyFill="1" applyBorder="1"/>
    <xf numFmtId="166" fontId="106" fillId="23" borderId="39" xfId="0" applyNumberFormat="1" applyFont="1" applyFill="1" applyBorder="1" applyAlignment="1">
      <alignment horizontal="left" wrapText="1"/>
    </xf>
    <xf numFmtId="0" fontId="10" fillId="0" borderId="98" xfId="2" applyFont="1" applyBorder="1"/>
    <xf numFmtId="0" fontId="10" fillId="0" borderId="66" xfId="2" applyFont="1" applyBorder="1"/>
    <xf numFmtId="0" fontId="107" fillId="0" borderId="40" xfId="2" applyFont="1" applyBorder="1"/>
    <xf numFmtId="0" fontId="10" fillId="5" borderId="20" xfId="4" applyFont="1" applyFill="1" applyBorder="1" applyProtection="1">
      <protection locked="0"/>
    </xf>
    <xf numFmtId="17" fontId="108" fillId="14" borderId="46" xfId="2" applyNumberFormat="1" applyFont="1" applyFill="1" applyBorder="1" applyAlignment="1">
      <alignment horizontal="right"/>
    </xf>
    <xf numFmtId="1" fontId="15" fillId="23" borderId="51" xfId="4" applyNumberFormat="1" applyFont="1" applyFill="1" applyBorder="1"/>
    <xf numFmtId="1" fontId="15" fillId="14" borderId="51" xfId="4" applyNumberFormat="1" applyFont="1" applyFill="1" applyBorder="1"/>
    <xf numFmtId="166" fontId="109" fillId="12" borderId="39" xfId="0" applyNumberFormat="1" applyFont="1" applyFill="1" applyBorder="1" applyAlignment="1">
      <alignment horizontal="center" vertical="center" wrapText="1"/>
    </xf>
    <xf numFmtId="166" fontId="10" fillId="14" borderId="47" xfId="2" applyNumberFormat="1" applyFont="1" applyFill="1" applyBorder="1"/>
    <xf numFmtId="166" fontId="109" fillId="23" borderId="39" xfId="0" applyNumberFormat="1" applyFont="1" applyFill="1" applyBorder="1" applyAlignment="1">
      <alignment horizontal="right" wrapText="1"/>
    </xf>
    <xf numFmtId="166" fontId="10" fillId="14" borderId="46" xfId="2" applyNumberFormat="1" applyFont="1" applyFill="1" applyBorder="1" applyAlignment="1">
      <alignment horizontal="right" wrapText="1"/>
    </xf>
    <xf numFmtId="166" fontId="10" fillId="8" borderId="83" xfId="2" applyNumberFormat="1" applyFont="1" applyFill="1" applyBorder="1" applyAlignment="1">
      <alignment horizontal="right"/>
    </xf>
    <xf numFmtId="166" fontId="110" fillId="14" borderId="46" xfId="2" applyNumberFormat="1" applyFont="1" applyFill="1" applyBorder="1" applyAlignment="1">
      <alignment horizontal="right" wrapText="1"/>
    </xf>
    <xf numFmtId="166" fontId="10" fillId="14" borderId="46" xfId="2" applyNumberFormat="1" applyFont="1" applyFill="1" applyBorder="1" applyAlignment="1">
      <alignment horizontal="right"/>
    </xf>
    <xf numFmtId="166" fontId="10" fillId="14" borderId="46" xfId="2" applyNumberFormat="1" applyFont="1" applyFill="1" applyBorder="1" applyAlignment="1">
      <alignment horizontal="center" vertical="center" wrapText="1"/>
    </xf>
    <xf numFmtId="166" fontId="100" fillId="23" borderId="39" xfId="0" applyNumberFormat="1" applyFont="1" applyFill="1" applyBorder="1" applyAlignment="1">
      <alignment horizontal="center" vertical="center" wrapText="1"/>
    </xf>
    <xf numFmtId="1" fontId="100" fillId="23" borderId="39" xfId="0" applyNumberFormat="1" applyFont="1" applyFill="1" applyBorder="1" applyAlignment="1">
      <alignment horizontal="center" vertical="center" wrapText="1"/>
    </xf>
    <xf numFmtId="1" fontId="10" fillId="14" borderId="46" xfId="2" applyNumberFormat="1" applyFont="1" applyFill="1" applyBorder="1" applyAlignment="1">
      <alignment horizontal="center" vertical="center" wrapText="1"/>
    </xf>
    <xf numFmtId="1" fontId="100" fillId="23" borderId="33" xfId="0" applyNumberFormat="1" applyFont="1" applyFill="1" applyBorder="1" applyAlignment="1">
      <alignment horizontal="center" vertical="center" wrapText="1"/>
    </xf>
    <xf numFmtId="166" fontId="111" fillId="12" borderId="87" xfId="0" applyNumberFormat="1" applyFont="1" applyFill="1" applyBorder="1" applyAlignment="1">
      <alignment horizontal="center" vertical="center" wrapText="1"/>
    </xf>
    <xf numFmtId="166" fontId="112" fillId="12" borderId="88" xfId="2" applyNumberFormat="1" applyFont="1" applyFill="1" applyBorder="1" applyAlignment="1">
      <alignment horizontal="center" vertical="center" wrapText="1"/>
    </xf>
    <xf numFmtId="1" fontId="15" fillId="14" borderId="51" xfId="4" applyNumberFormat="1" applyFont="1" applyFill="1" applyBorder="1" applyAlignment="1">
      <alignment horizontal="center" vertical="center" wrapText="1"/>
    </xf>
    <xf numFmtId="1" fontId="15" fillId="13" borderId="51" xfId="4" applyNumberFormat="1" applyFont="1" applyFill="1" applyBorder="1" applyAlignment="1">
      <alignment horizontal="center" vertical="center" wrapText="1"/>
    </xf>
    <xf numFmtId="0" fontId="10" fillId="7" borderId="51" xfId="2" applyFont="1" applyFill="1" applyBorder="1" applyAlignment="1">
      <alignment horizontal="center" wrapText="1"/>
    </xf>
    <xf numFmtId="0" fontId="10" fillId="7" borderId="23" xfId="2" applyFont="1" applyFill="1" applyBorder="1" applyAlignment="1">
      <alignment horizontal="center" wrapText="1"/>
    </xf>
    <xf numFmtId="0" fontId="10" fillId="24" borderId="0" xfId="2" applyFont="1" applyFill="1"/>
    <xf numFmtId="1" fontId="10" fillId="0" borderId="0" xfId="2" applyNumberFormat="1" applyFont="1"/>
    <xf numFmtId="166" fontId="109" fillId="23" borderId="39" xfId="0" applyNumberFormat="1" applyFont="1" applyFill="1" applyBorder="1" applyAlignment="1">
      <alignment horizontal="right"/>
    </xf>
    <xf numFmtId="166" fontId="113" fillId="23" borderId="39" xfId="0" applyNumberFormat="1" applyFont="1" applyFill="1" applyBorder="1" applyAlignment="1">
      <alignment horizontal="right"/>
    </xf>
    <xf numFmtId="166" fontId="114" fillId="23" borderId="39" xfId="0" applyNumberFormat="1" applyFont="1" applyFill="1" applyBorder="1" applyAlignment="1">
      <alignment horizontal="right"/>
    </xf>
    <xf numFmtId="1" fontId="100" fillId="23" borderId="39" xfId="0" applyNumberFormat="1" applyFont="1" applyFill="1" applyBorder="1" applyAlignment="1">
      <alignment horizontal="right"/>
    </xf>
    <xf numFmtId="1" fontId="101" fillId="23" borderId="42" xfId="2" applyNumberFormat="1" applyFont="1" applyFill="1" applyBorder="1"/>
    <xf numFmtId="1" fontId="102" fillId="23" borderId="39" xfId="0" applyNumberFormat="1" applyFont="1" applyFill="1" applyBorder="1" applyAlignment="1">
      <alignment horizontal="right"/>
    </xf>
    <xf numFmtId="1" fontId="103" fillId="23" borderId="42" xfId="2" applyNumberFormat="1" applyFont="1" applyFill="1" applyBorder="1"/>
    <xf numFmtId="1" fontId="104" fillId="23" borderId="39" xfId="0" applyNumberFormat="1" applyFont="1" applyFill="1" applyBorder="1" applyAlignment="1">
      <alignment horizontal="right"/>
    </xf>
    <xf numFmtId="1" fontId="105" fillId="23" borderId="42" xfId="2" applyNumberFormat="1" applyFont="1" applyFill="1" applyBorder="1"/>
    <xf numFmtId="1" fontId="100" fillId="23" borderId="33" xfId="0" applyNumberFormat="1" applyFont="1" applyFill="1" applyBorder="1" applyAlignment="1">
      <alignment horizontal="right"/>
    </xf>
    <xf numFmtId="1" fontId="102" fillId="23" borderId="33" xfId="0" applyNumberFormat="1" applyFont="1" applyFill="1" applyBorder="1" applyAlignment="1">
      <alignment horizontal="right"/>
    </xf>
    <xf numFmtId="1" fontId="104" fillId="23" borderId="33" xfId="0" applyNumberFormat="1" applyFont="1" applyFill="1" applyBorder="1" applyAlignment="1">
      <alignment horizontal="right"/>
    </xf>
    <xf numFmtId="166" fontId="60" fillId="5" borderId="79" xfId="0" applyNumberFormat="1" applyFont="1" applyFill="1" applyBorder="1" applyAlignment="1">
      <alignment horizontal="center" vertical="center"/>
    </xf>
    <xf numFmtId="166" fontId="61" fillId="5" borderId="89" xfId="2" applyNumberFormat="1" applyFont="1" applyFill="1" applyBorder="1" applyAlignment="1">
      <alignment horizontal="center" vertical="center"/>
    </xf>
    <xf numFmtId="0" fontId="27" fillId="17" borderId="20" xfId="4" applyFont="1" applyFill="1" applyBorder="1" applyProtection="1">
      <protection locked="0"/>
    </xf>
    <xf numFmtId="0" fontId="27" fillId="40" borderId="20" xfId="4" applyFont="1" applyFill="1" applyBorder="1" applyProtection="1">
      <protection locked="0"/>
    </xf>
    <xf numFmtId="0" fontId="27" fillId="41" borderId="20" xfId="8" applyFont="1" applyFill="1" applyBorder="1" applyProtection="1">
      <protection locked="0"/>
    </xf>
    <xf numFmtId="0" fontId="27" fillId="41" borderId="20" xfId="4" applyFont="1" applyFill="1" applyBorder="1" applyProtection="1">
      <protection locked="0"/>
    </xf>
    <xf numFmtId="0" fontId="13" fillId="37" borderId="20" xfId="8" applyFont="1" applyFill="1" applyBorder="1" applyProtection="1">
      <protection locked="0"/>
    </xf>
    <xf numFmtId="0" fontId="0" fillId="0" borderId="183" xfId="0" applyBorder="1" applyAlignment="1">
      <alignment horizontal="center" vertical="center"/>
    </xf>
    <xf numFmtId="0" fontId="0" fillId="0" borderId="46" xfId="0" applyBorder="1"/>
    <xf numFmtId="164" fontId="0" fillId="0" borderId="180" xfId="0" applyNumberFormat="1" applyBorder="1" applyAlignment="1">
      <alignment horizontal="center"/>
    </xf>
    <xf numFmtId="0" fontId="0" fillId="0" borderId="157" xfId="0" applyBorder="1"/>
    <xf numFmtId="0" fontId="7" fillId="0" borderId="1" xfId="0" applyFont="1" applyBorder="1" applyAlignment="1">
      <alignment horizontal="center"/>
    </xf>
    <xf numFmtId="0" fontId="0" fillId="0" borderId="10" xfId="0" applyBorder="1"/>
    <xf numFmtId="0" fontId="0" fillId="0" borderId="1" xfId="0" applyBorder="1" applyAlignment="1">
      <alignment horizontal="center"/>
    </xf>
    <xf numFmtId="0" fontId="0" fillId="0" borderId="9" xfId="0" applyBorder="1"/>
    <xf numFmtId="0" fontId="7" fillId="3" borderId="8" xfId="0" applyFont="1" applyFill="1" applyBorder="1" applyAlignment="1">
      <alignment horizontal="center"/>
    </xf>
    <xf numFmtId="0" fontId="0" fillId="3" borderId="1" xfId="0" applyFill="1" applyBorder="1" applyAlignment="1">
      <alignment horizontal="center"/>
    </xf>
    <xf numFmtId="175" fontId="0" fillId="0" borderId="182" xfId="0" applyNumberFormat="1" applyBorder="1" applyAlignment="1">
      <alignment horizontal="center"/>
    </xf>
    <xf numFmtId="0" fontId="0" fillId="0" borderId="15" xfId="0" applyBorder="1"/>
    <xf numFmtId="0" fontId="0" fillId="0" borderId="10" xfId="0" applyBorder="1" applyAlignment="1">
      <alignment horizontal="center"/>
    </xf>
    <xf numFmtId="164" fontId="0" fillId="0" borderId="182" xfId="0" applyNumberFormat="1" applyBorder="1" applyAlignment="1">
      <alignment horizontal="center"/>
    </xf>
    <xf numFmtId="0" fontId="0" fillId="0" borderId="164" xfId="0" applyBorder="1" applyAlignment="1">
      <alignment horizontal="left"/>
    </xf>
    <xf numFmtId="0" fontId="0" fillId="0" borderId="167" xfId="0" applyBorder="1" applyAlignment="1">
      <alignment horizontal="left"/>
    </xf>
    <xf numFmtId="0" fontId="0" fillId="0" borderId="169" xfId="0" applyBorder="1"/>
    <xf numFmtId="0" fontId="0" fillId="0" borderId="168" xfId="0" applyBorder="1"/>
    <xf numFmtId="0" fontId="7" fillId="0" borderId="184" xfId="0" applyFont="1" applyBorder="1" applyAlignment="1">
      <alignment horizontal="center" vertical="center"/>
    </xf>
    <xf numFmtId="0" fontId="0" fillId="0" borderId="13" xfId="0" applyBorder="1"/>
    <xf numFmtId="0" fontId="0" fillId="0" borderId="160" xfId="0" applyBorder="1" applyAlignment="1">
      <alignment horizontal="left"/>
    </xf>
    <xf numFmtId="0" fontId="0" fillId="0" borderId="162" xfId="0" applyBorder="1"/>
    <xf numFmtId="0" fontId="0" fillId="0" borderId="161" xfId="0" applyBorder="1"/>
    <xf numFmtId="0" fontId="3" fillId="0" borderId="0" xfId="0" applyFont="1" applyAlignment="1">
      <alignment horizontal="center"/>
    </xf>
    <xf numFmtId="0" fontId="0" fillId="0" borderId="0" xfId="0"/>
    <xf numFmtId="0" fontId="0" fillId="0" borderId="177" xfId="0" applyBorder="1" applyAlignment="1">
      <alignment horizontal="center" vertical="center" wrapText="1"/>
    </xf>
    <xf numFmtId="0" fontId="0" fillId="0" borderId="178" xfId="0" applyBorder="1"/>
    <xf numFmtId="0" fontId="0" fillId="0" borderId="32" xfId="0" applyBorder="1"/>
    <xf numFmtId="0" fontId="7" fillId="0" borderId="171" xfId="0" applyFont="1" applyBorder="1" applyAlignment="1">
      <alignment horizontal="center"/>
    </xf>
    <xf numFmtId="0" fontId="0" fillId="0" borderId="172" xfId="0" applyBorder="1"/>
    <xf numFmtId="14" fontId="0" fillId="0" borderId="1" xfId="0" applyNumberFormat="1" applyBorder="1" applyAlignment="1">
      <alignment horizontal="center"/>
    </xf>
    <xf numFmtId="0" fontId="7" fillId="0" borderId="177" xfId="0" applyFont="1" applyBorder="1" applyAlignment="1">
      <alignment horizontal="center" vertical="center"/>
    </xf>
    <xf numFmtId="0" fontId="0" fillId="0" borderId="11" xfId="0" applyBorder="1"/>
    <xf numFmtId="0" fontId="0" fillId="3" borderId="4" xfId="0" applyFill="1" applyBorder="1" applyAlignment="1">
      <alignment horizontal="center"/>
    </xf>
    <xf numFmtId="0" fontId="0" fillId="0" borderId="3" xfId="0" applyBorder="1"/>
    <xf numFmtId="0" fontId="7" fillId="0" borderId="0" xfId="0" applyFont="1" applyAlignment="1">
      <alignment horizontal="center" wrapText="1"/>
    </xf>
    <xf numFmtId="0" fontId="0" fillId="0" borderId="177" xfId="0" applyBorder="1" applyAlignment="1">
      <alignment horizontal="center" vertical="center"/>
    </xf>
    <xf numFmtId="0" fontId="13" fillId="14" borderId="122" xfId="2" applyFont="1" applyFill="1" applyBorder="1" applyAlignment="1">
      <alignment horizontal="center" vertical="center"/>
    </xf>
    <xf numFmtId="0" fontId="0" fillId="0" borderId="33" xfId="0" applyBorder="1"/>
    <xf numFmtId="0" fontId="0" fillId="0" borderId="123" xfId="0" applyBorder="1"/>
    <xf numFmtId="0" fontId="2" fillId="0" borderId="68" xfId="2" applyFont="1" applyBorder="1" applyAlignment="1">
      <alignment horizontal="center"/>
    </xf>
    <xf numFmtId="0" fontId="0" fillId="0" borderId="68" xfId="0" applyBorder="1"/>
    <xf numFmtId="0" fontId="5" fillId="27" borderId="118" xfId="0" applyFont="1" applyFill="1" applyBorder="1" applyAlignment="1">
      <alignment horizontal="center" vertical="center" wrapText="1"/>
    </xf>
    <xf numFmtId="0" fontId="0" fillId="0" borderId="37" xfId="0" applyBorder="1"/>
    <xf numFmtId="0" fontId="2" fillId="3" borderId="187" xfId="2" applyFont="1" applyFill="1" applyBorder="1" applyAlignment="1">
      <alignment horizontal="left"/>
    </xf>
    <xf numFmtId="0" fontId="0" fillId="0" borderId="64" xfId="0" applyBorder="1"/>
    <xf numFmtId="0" fontId="0" fillId="0" borderId="65" xfId="0" applyBorder="1"/>
    <xf numFmtId="0" fontId="2" fillId="3" borderId="187" xfId="2" applyFont="1" applyFill="1" applyBorder="1" applyAlignment="1">
      <alignment horizontal="center"/>
    </xf>
    <xf numFmtId="0" fontId="17" fillId="0" borderId="100" xfId="0" applyFont="1" applyBorder="1" applyAlignment="1">
      <alignment horizontal="center" wrapText="1"/>
    </xf>
    <xf numFmtId="0" fontId="2" fillId="0" borderId="0" xfId="2" applyFont="1"/>
    <xf numFmtId="0" fontId="0" fillId="0" borderId="100" xfId="0" applyBorder="1"/>
    <xf numFmtId="0" fontId="0" fillId="0" borderId="67" xfId="0" applyBorder="1"/>
    <xf numFmtId="0" fontId="2" fillId="0" borderId="6" xfId="2" applyFont="1" applyBorder="1" applyAlignment="1">
      <alignment horizontal="center"/>
    </xf>
    <xf numFmtId="0" fontId="0" fillId="0" borderId="7" xfId="0" applyBorder="1"/>
    <xf numFmtId="0" fontId="9" fillId="0" borderId="171" xfId="2" applyFont="1" applyBorder="1" applyAlignment="1">
      <alignment horizontal="center" vertical="center" wrapText="1"/>
    </xf>
    <xf numFmtId="0" fontId="0" fillId="0" borderId="111" xfId="0" applyBorder="1"/>
    <xf numFmtId="0" fontId="5" fillId="29" borderId="185" xfId="0" applyFont="1" applyFill="1" applyBorder="1" applyAlignment="1">
      <alignment horizontal="center" vertical="center" wrapText="1"/>
    </xf>
    <xf numFmtId="0" fontId="0" fillId="0" borderId="130" xfId="0" applyBorder="1"/>
    <xf numFmtId="0" fontId="2" fillId="0" borderId="190" xfId="2" applyFont="1" applyBorder="1" applyAlignment="1">
      <alignment horizontal="center"/>
    </xf>
    <xf numFmtId="0" fontId="0" fillId="0" borderId="103" xfId="0" applyBorder="1"/>
    <xf numFmtId="0" fontId="7" fillId="0" borderId="186" xfId="2" applyFont="1" applyBorder="1" applyAlignment="1">
      <alignment horizontal="center" vertical="center" wrapText="1"/>
    </xf>
    <xf numFmtId="0" fontId="0" fillId="0" borderId="40" xfId="0" applyBorder="1"/>
    <xf numFmtId="0" fontId="0" fillId="0" borderId="112" xfId="0" applyBorder="1"/>
    <xf numFmtId="0" fontId="0" fillId="0" borderId="35" xfId="0" applyBorder="1"/>
    <xf numFmtId="0" fontId="2" fillId="0" borderId="192" xfId="2" applyFont="1" applyBorder="1" applyAlignment="1">
      <alignment horizontal="center"/>
    </xf>
    <xf numFmtId="0" fontId="0" fillId="0" borderId="56" xfId="0" applyBorder="1"/>
    <xf numFmtId="0" fontId="8" fillId="0" borderId="20" xfId="2" applyFont="1" applyBorder="1" applyAlignment="1">
      <alignment horizontal="center" vertical="center"/>
    </xf>
    <xf numFmtId="0" fontId="0" fillId="0" borderId="25" xfId="0" applyBorder="1"/>
    <xf numFmtId="0" fontId="0" fillId="0" borderId="24" xfId="0" applyBorder="1"/>
    <xf numFmtId="0" fontId="2" fillId="0" borderId="3" xfId="2" applyFont="1" applyBorder="1" applyAlignment="1">
      <alignment horizontal="center"/>
    </xf>
    <xf numFmtId="0" fontId="0" fillId="0" borderId="5" xfId="0" applyBorder="1"/>
    <xf numFmtId="0" fontId="2" fillId="0" borderId="89" xfId="2" applyFont="1" applyBorder="1" applyAlignment="1">
      <alignment horizontal="center" vertical="center"/>
    </xf>
    <xf numFmtId="0" fontId="0" fillId="0" borderId="109" xfId="0" applyBorder="1"/>
    <xf numFmtId="0" fontId="2" fillId="0" borderId="51" xfId="2" applyFont="1" applyBorder="1" applyAlignment="1">
      <alignment horizontal="center"/>
    </xf>
    <xf numFmtId="0" fontId="0" fillId="0" borderId="23" xfId="0" applyBorder="1"/>
    <xf numFmtId="0" fontId="2" fillId="0" borderId="1" xfId="2" applyFont="1" applyBorder="1" applyAlignment="1">
      <alignment horizontal="center"/>
    </xf>
    <xf numFmtId="0" fontId="2" fillId="0" borderId="171" xfId="2" applyFont="1" applyBorder="1" applyAlignment="1">
      <alignment horizontal="center"/>
    </xf>
    <xf numFmtId="0" fontId="0" fillId="0" borderId="113" xfId="0" applyBorder="1"/>
    <xf numFmtId="0" fontId="9" fillId="4" borderId="188" xfId="2" applyFont="1" applyFill="1" applyBorder="1" applyAlignment="1">
      <alignment horizontal="center"/>
    </xf>
    <xf numFmtId="0" fontId="0" fillId="0" borderId="73" xfId="0" applyBorder="1"/>
    <xf numFmtId="0" fontId="0" fillId="0" borderId="74" xfId="0" applyBorder="1"/>
    <xf numFmtId="0" fontId="11" fillId="0" borderId="141" xfId="2" applyFont="1" applyBorder="1" applyAlignment="1">
      <alignment horizontal="center" vertical="center"/>
    </xf>
    <xf numFmtId="0" fontId="0" fillId="0" borderId="29" xfId="0" applyBorder="1"/>
    <xf numFmtId="0" fontId="2" fillId="0" borderId="32" xfId="2" applyFont="1" applyBorder="1" applyAlignment="1">
      <alignment horizontal="center"/>
    </xf>
    <xf numFmtId="0" fontId="0" fillId="0" borderId="12" xfId="0" applyBorder="1"/>
    <xf numFmtId="0" fontId="2" fillId="3" borderId="42" xfId="2" applyFont="1" applyFill="1" applyBorder="1" applyAlignment="1">
      <alignment horizontal="left" vertical="center"/>
    </xf>
    <xf numFmtId="0" fontId="0" fillId="0" borderId="36" xfId="0" applyBorder="1"/>
    <xf numFmtId="0" fontId="0" fillId="0" borderId="60" xfId="0" applyBorder="1"/>
    <xf numFmtId="0" fontId="8" fillId="0" borderId="79" xfId="2" applyFont="1" applyBorder="1" applyAlignment="1">
      <alignment horizontal="center" vertical="center"/>
    </xf>
    <xf numFmtId="169" fontId="2" fillId="0" borderId="1" xfId="2" applyNumberFormat="1" applyFont="1" applyBorder="1" applyAlignment="1">
      <alignment horizontal="center"/>
    </xf>
    <xf numFmtId="0" fontId="3" fillId="0" borderId="66" xfId="2" applyFont="1" applyBorder="1" applyAlignment="1">
      <alignment horizontal="center"/>
    </xf>
    <xf numFmtId="166" fontId="2" fillId="0" borderId="189" xfId="2" applyNumberFormat="1" applyFont="1" applyBorder="1" applyAlignment="1">
      <alignment horizontal="center"/>
    </xf>
    <xf numFmtId="0" fontId="0" fillId="0" borderId="76" xfId="0" applyBorder="1"/>
    <xf numFmtId="0" fontId="2" fillId="0" borderId="72" xfId="2" applyFont="1" applyBorder="1" applyAlignment="1">
      <alignment horizontal="center"/>
    </xf>
    <xf numFmtId="0" fontId="0" fillId="0" borderId="71" xfId="0" applyBorder="1"/>
    <xf numFmtId="0" fontId="0" fillId="0" borderId="72" xfId="0" applyBorder="1"/>
    <xf numFmtId="0" fontId="2" fillId="3" borderId="4" xfId="2" applyFont="1" applyFill="1" applyBorder="1" applyAlignment="1">
      <alignment horizontal="center"/>
    </xf>
    <xf numFmtId="0" fontId="2" fillId="0" borderId="4" xfId="2" applyFont="1" applyBorder="1" applyAlignment="1">
      <alignment horizontal="center"/>
    </xf>
    <xf numFmtId="0" fontId="7" fillId="0" borderId="191" xfId="2" applyFont="1" applyBorder="1" applyAlignment="1">
      <alignment horizontal="center"/>
    </xf>
    <xf numFmtId="0" fontId="0" fillId="0" borderId="104" xfId="0" applyBorder="1"/>
    <xf numFmtId="0" fontId="2" fillId="0" borderId="52" xfId="2" applyFont="1" applyBorder="1" applyAlignment="1">
      <alignment horizontal="center"/>
    </xf>
    <xf numFmtId="0" fontId="0" fillId="0" borderId="39" xfId="0" applyBorder="1"/>
    <xf numFmtId="2" fontId="2" fillId="0" borderId="190" xfId="2" applyNumberFormat="1" applyFont="1" applyBorder="1" applyAlignment="1">
      <alignment horizontal="center"/>
    </xf>
    <xf numFmtId="14" fontId="7" fillId="7" borderId="0" xfId="0" applyNumberFormat="1" applyFont="1" applyFill="1" applyAlignment="1">
      <alignment horizontal="center" vertical="center" wrapText="1"/>
    </xf>
    <xf numFmtId="14" fontId="7" fillId="7" borderId="0" xfId="0" applyNumberFormat="1" applyFont="1" applyFill="1" applyAlignment="1">
      <alignment vertical="center" wrapText="1"/>
    </xf>
    <xf numFmtId="0" fontId="2" fillId="0" borderId="0" xfId="2" applyFont="1" applyAlignment="1">
      <alignment horizontal="center"/>
    </xf>
    <xf numFmtId="164" fontId="16" fillId="0" borderId="23" xfId="0" applyNumberFormat="1" applyFont="1" applyBorder="1" applyAlignment="1">
      <alignment horizontal="center"/>
    </xf>
    <xf numFmtId="0" fontId="0" fillId="0" borderId="0" xfId="0" applyAlignment="1">
      <alignment horizontal="right"/>
    </xf>
    <xf numFmtId="0" fontId="86" fillId="0" borderId="22" xfId="0" applyFont="1" applyBorder="1" applyAlignment="1">
      <alignment horizontal="center" vertical="center" wrapText="1"/>
    </xf>
    <xf numFmtId="0" fontId="0" fillId="0" borderId="47" xfId="0" applyBorder="1"/>
    <xf numFmtId="0" fontId="0" fillId="0" borderId="34" xfId="0" applyBorder="1"/>
    <xf numFmtId="0" fontId="3" fillId="0" borderId="33" xfId="0" applyFont="1" applyBorder="1" applyAlignment="1">
      <alignment horizontal="center" vertical="center"/>
    </xf>
    <xf numFmtId="0" fontId="0" fillId="0" borderId="35" xfId="0" applyBorder="1" applyAlignment="1">
      <alignment horizontal="right"/>
    </xf>
    <xf numFmtId="0" fontId="0" fillId="0" borderId="23" xfId="0" applyBorder="1" applyAlignment="1">
      <alignment horizontal="center"/>
    </xf>
    <xf numFmtId="1" fontId="0" fillId="34" borderId="35" xfId="0" applyNumberFormat="1" applyFill="1" applyBorder="1" applyAlignment="1">
      <alignment horizontal="center"/>
    </xf>
    <xf numFmtId="0" fontId="0" fillId="5" borderId="35" xfId="0" applyFill="1" applyBorder="1" applyAlignment="1">
      <alignment horizontal="right"/>
    </xf>
    <xf numFmtId="0" fontId="0" fillId="5" borderId="0" xfId="0" applyFill="1" applyAlignment="1">
      <alignment horizontal="right"/>
    </xf>
    <xf numFmtId="0" fontId="0" fillId="5" borderId="23" xfId="0" applyFill="1" applyBorder="1" applyAlignment="1">
      <alignment horizontal="center"/>
    </xf>
    <xf numFmtId="1" fontId="0" fillId="0" borderId="59" xfId="0" quotePrefix="1" applyNumberFormat="1" applyBorder="1" applyAlignment="1">
      <alignment horizontal="center" vertical="center"/>
    </xf>
    <xf numFmtId="0" fontId="94" fillId="5" borderId="22" xfId="18" applyFont="1" applyFill="1" applyBorder="1" applyAlignment="1">
      <alignment horizontal="center" vertical="center" wrapText="1"/>
    </xf>
  </cellXfs>
  <cellStyles count="19">
    <cellStyle name="Bad" xfId="18" builtinId="27"/>
    <cellStyle name="Currency 2" xfId="3" xr:uid="{00000000-0005-0000-0000-000003000000}"/>
    <cellStyle name="Good" xfId="11" builtinId="26"/>
    <cellStyle name="Hyperlink" xfId="12" builtinId="8"/>
    <cellStyle name="Hyperlink 2" xfId="6" xr:uid="{00000000-0005-0000-0000-000006000000}"/>
    <cellStyle name="Neutral" xfId="1" builtinId="28"/>
    <cellStyle name="Normal" xfId="0" builtinId="0"/>
    <cellStyle name="Normal 2" xfId="2" xr:uid="{00000000-0005-0000-0000-000002000000}"/>
    <cellStyle name="Normal 2 2" xfId="4" xr:uid="{00000000-0005-0000-0000-000004000000}"/>
    <cellStyle name="Normal 2 2 2" xfId="17" xr:uid="{00000000-0005-0000-0000-000011000000}"/>
    <cellStyle name="Normal 3" xfId="5" xr:uid="{00000000-0005-0000-0000-000005000000}"/>
    <cellStyle name="Normal 3 2" xfId="10" xr:uid="{00000000-0005-0000-0000-00000A000000}"/>
    <cellStyle name="Normal 3 2 2" xfId="16" xr:uid="{00000000-0005-0000-0000-000010000000}"/>
    <cellStyle name="Normal 3 3 2" xfId="14" xr:uid="{00000000-0005-0000-0000-00000E000000}"/>
    <cellStyle name="Normal 4" xfId="7" xr:uid="{00000000-0005-0000-0000-000007000000}"/>
    <cellStyle name="Normal 4 2" xfId="8" xr:uid="{00000000-0005-0000-0000-000008000000}"/>
    <cellStyle name="Normal 4 3" xfId="13" xr:uid="{00000000-0005-0000-0000-00000D000000}"/>
    <cellStyle name="Percent" xfId="9" builtinId="5"/>
    <cellStyle name="Percent 2 2 2" xfId="15" xr:uid="{00000000-0005-0000-0000-00000F000000}"/>
  </cellStyles>
  <dxfs count="610">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numFmt numFmtId="0" formatCode="Genera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
      <font>
        <color theme="0" tint="-0.34998626667073579"/>
      </font>
    </dxf>
    <dxf>
      <font>
        <color theme="0" tint="-0.14993743705557422"/>
      </font>
      <fill>
        <patternFill>
          <bgColor theme="0" tint="-0.14993743705557422"/>
        </patternFill>
      </fill>
    </dxf>
    <dxf>
      <font>
        <color theme="0"/>
      </font>
    </dxf>
    <dxf>
      <font>
        <color theme="0" tint="-0.14993743705557422"/>
      </font>
      <fill>
        <patternFill>
          <bgColor theme="0" tint="-0.14993743705557422"/>
        </patternFill>
      </fill>
    </dxf>
    <dxf>
      <font>
        <color theme="1"/>
      </font>
    </dxf>
    <dxf>
      <font>
        <color theme="0"/>
      </font>
      <fill>
        <patternFill>
          <bgColor auto="1"/>
        </patternFill>
      </fill>
    </dxf>
    <dxf>
      <font>
        <color theme="0"/>
      </font>
      <fill>
        <patternFill>
          <bgColor theme="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3.xml.rels><?xml version="1.0" encoding="UTF-8" standalone="yes"?>
<Relationships xmlns="http://schemas.openxmlformats.org/package/2006/relationships"><Relationship Id="rId1" Type="http://schemas.openxmlformats.org/officeDocument/2006/relationships/image" Target="../media/image3.png"/></Relationships>
</file>

<file path=xl/drawings/_rels/drawing34.xml.rels><?xml version="1.0" encoding="UTF-8" standalone="yes"?>
<Relationships xmlns="http://schemas.openxmlformats.org/package/2006/relationships"><Relationship Id="rId1" Type="http://schemas.openxmlformats.org/officeDocument/2006/relationships/image" Target="../media/image3.png"/></Relationships>
</file>

<file path=xl/drawings/_rels/drawing35.xml.rels><?xml version="1.0" encoding="UTF-8" standalone="yes"?>
<Relationships xmlns="http://schemas.openxmlformats.org/package/2006/relationships"><Relationship Id="rId1" Type="http://schemas.openxmlformats.org/officeDocument/2006/relationships/image" Target="../media/image3.png"/></Relationships>
</file>

<file path=xl/drawings/_rels/drawing3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png"/></Relationships>
</file>

<file path=xl/drawings/_rels/drawing3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22</xdr:col>
      <xdr:colOff>863620</xdr:colOff>
      <xdr:row>0</xdr:row>
      <xdr:rowOff>0</xdr:rowOff>
    </xdr:from>
    <xdr:to>
      <xdr:col>23</xdr:col>
      <xdr:colOff>589675</xdr:colOff>
      <xdr:row>1</xdr:row>
      <xdr:rowOff>118107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446645" y="3391294"/>
          <a:ext cx="878580" cy="308607"/>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0</xdr:col>
          <xdr:colOff>390525</xdr:colOff>
          <xdr:row>4</xdr:row>
          <xdr:rowOff>66675</xdr:rowOff>
        </xdr:from>
        <xdr:to>
          <xdr:col>2</xdr:col>
          <xdr:colOff>295275</xdr:colOff>
          <xdr:row>9</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Save Paychecks as PDF </a:t>
              </a:r>
            </a:p>
            <a:p>
              <a:pPr algn="ctr" rtl="0">
                <a:defRPr sz="1000"/>
              </a:pPr>
              <a:r>
                <a:rPr lang="en-GB" sz="1100" b="0" i="0" u="none" strike="noStrike" baseline="0">
                  <a:solidFill>
                    <a:srgbClr val="000000"/>
                  </a:solidFill>
                  <a:latin typeface="Calibri"/>
                  <a:ea typeface="Calibri"/>
                  <a:cs typeface="Calibri"/>
                </a:rPr>
                <a:t>and</a:t>
              </a:r>
            </a:p>
            <a:p>
              <a:pPr algn="ctr" rtl="0">
                <a:defRPr sz="1000"/>
              </a:pPr>
              <a:r>
                <a:rPr lang="en-GB" sz="1100" b="0" i="0" u="none" strike="noStrike" baseline="0">
                  <a:solidFill>
                    <a:srgbClr val="000000"/>
                  </a:solidFill>
                  <a:latin typeface="Calibri"/>
                  <a:ea typeface="Calibri"/>
                  <a:cs typeface="Calibri"/>
                </a:rPr>
                <a:t> Send Emails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598465" name="Button 1" hidden="1">
              <a:extLst>
                <a:ext uri="{63B3BB69-23CF-44E3-9099-C40C66FF867C}">
                  <a14:compatExt spid="_x0000_s1598465"/>
                </a:ext>
                <a:ext uri="{FF2B5EF4-FFF2-40B4-BE49-F238E27FC236}">
                  <a16:creationId xmlns:a16="http://schemas.microsoft.com/office/drawing/2014/main" id="{00000000-0008-0000-0300-000001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598466" name="Button 2" hidden="1">
              <a:extLst>
                <a:ext uri="{63B3BB69-23CF-44E3-9099-C40C66FF867C}">
                  <a14:compatExt spid="_x0000_s1598466"/>
                </a:ext>
                <a:ext uri="{FF2B5EF4-FFF2-40B4-BE49-F238E27FC236}">
                  <a16:creationId xmlns:a16="http://schemas.microsoft.com/office/drawing/2014/main" id="{00000000-0008-0000-0300-000002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598467" name="Button 3" hidden="1">
              <a:extLst>
                <a:ext uri="{63B3BB69-23CF-44E3-9099-C40C66FF867C}">
                  <a14:compatExt spid="_x0000_s1598467"/>
                </a:ext>
                <a:ext uri="{FF2B5EF4-FFF2-40B4-BE49-F238E27FC236}">
                  <a16:creationId xmlns:a16="http://schemas.microsoft.com/office/drawing/2014/main" id="{00000000-0008-0000-0300-000003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598468" name="Button 4" hidden="1">
              <a:extLst>
                <a:ext uri="{63B3BB69-23CF-44E3-9099-C40C66FF867C}">
                  <a14:compatExt spid="_x0000_s1598468"/>
                </a:ext>
                <a:ext uri="{FF2B5EF4-FFF2-40B4-BE49-F238E27FC236}">
                  <a16:creationId xmlns:a16="http://schemas.microsoft.com/office/drawing/2014/main" id="{00000000-0008-0000-0300-000004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598469" name="Button 5" hidden="1">
              <a:extLst>
                <a:ext uri="{63B3BB69-23CF-44E3-9099-C40C66FF867C}">
                  <a14:compatExt spid="_x0000_s1598469"/>
                </a:ext>
                <a:ext uri="{FF2B5EF4-FFF2-40B4-BE49-F238E27FC236}">
                  <a16:creationId xmlns:a16="http://schemas.microsoft.com/office/drawing/2014/main" id="{00000000-0008-0000-0300-000005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598470" name="Button 6" hidden="1">
              <a:extLst>
                <a:ext uri="{63B3BB69-23CF-44E3-9099-C40C66FF867C}">
                  <a14:compatExt spid="_x0000_s1598470"/>
                </a:ext>
                <a:ext uri="{FF2B5EF4-FFF2-40B4-BE49-F238E27FC236}">
                  <a16:creationId xmlns:a16="http://schemas.microsoft.com/office/drawing/2014/main" id="{00000000-0008-0000-0300-000006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598471" name="Button 7" hidden="1">
              <a:extLst>
                <a:ext uri="{63B3BB69-23CF-44E3-9099-C40C66FF867C}">
                  <a14:compatExt spid="_x0000_s1598471"/>
                </a:ext>
                <a:ext uri="{FF2B5EF4-FFF2-40B4-BE49-F238E27FC236}">
                  <a16:creationId xmlns:a16="http://schemas.microsoft.com/office/drawing/2014/main" id="{00000000-0008-0000-0300-000007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598472" name="Button 8" hidden="1">
              <a:extLst>
                <a:ext uri="{63B3BB69-23CF-44E3-9099-C40C66FF867C}">
                  <a14:compatExt spid="_x0000_s1598472"/>
                </a:ext>
                <a:ext uri="{FF2B5EF4-FFF2-40B4-BE49-F238E27FC236}">
                  <a16:creationId xmlns:a16="http://schemas.microsoft.com/office/drawing/2014/main" id="{00000000-0008-0000-0300-000008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598473" name="Button 9" hidden="1">
              <a:extLst>
                <a:ext uri="{63B3BB69-23CF-44E3-9099-C40C66FF867C}">
                  <a14:compatExt spid="_x0000_s1598473"/>
                </a:ext>
                <a:ext uri="{FF2B5EF4-FFF2-40B4-BE49-F238E27FC236}">
                  <a16:creationId xmlns:a16="http://schemas.microsoft.com/office/drawing/2014/main" id="{00000000-0008-0000-0300-000009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598474" name="Button 10" hidden="1">
              <a:extLst>
                <a:ext uri="{63B3BB69-23CF-44E3-9099-C40C66FF867C}">
                  <a14:compatExt spid="_x0000_s1598474"/>
                </a:ext>
                <a:ext uri="{FF2B5EF4-FFF2-40B4-BE49-F238E27FC236}">
                  <a16:creationId xmlns:a16="http://schemas.microsoft.com/office/drawing/2014/main" id="{00000000-0008-0000-0300-00000A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598475" name="Button 11" hidden="1">
              <a:extLst>
                <a:ext uri="{63B3BB69-23CF-44E3-9099-C40C66FF867C}">
                  <a14:compatExt spid="_x0000_s1598475"/>
                </a:ext>
                <a:ext uri="{FF2B5EF4-FFF2-40B4-BE49-F238E27FC236}">
                  <a16:creationId xmlns:a16="http://schemas.microsoft.com/office/drawing/2014/main" id="{00000000-0008-0000-0300-00000B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598476" name="Button 12" hidden="1">
              <a:extLst>
                <a:ext uri="{63B3BB69-23CF-44E3-9099-C40C66FF867C}">
                  <a14:compatExt spid="_x0000_s1598476"/>
                </a:ext>
                <a:ext uri="{FF2B5EF4-FFF2-40B4-BE49-F238E27FC236}">
                  <a16:creationId xmlns:a16="http://schemas.microsoft.com/office/drawing/2014/main" id="{00000000-0008-0000-0300-00000C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598477" name="Button 13" hidden="1">
              <a:extLst>
                <a:ext uri="{63B3BB69-23CF-44E3-9099-C40C66FF867C}">
                  <a14:compatExt spid="_x0000_s1598477"/>
                </a:ext>
                <a:ext uri="{FF2B5EF4-FFF2-40B4-BE49-F238E27FC236}">
                  <a16:creationId xmlns:a16="http://schemas.microsoft.com/office/drawing/2014/main" id="{00000000-0008-0000-0300-00000D6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599489" name="Button 1" hidden="1">
              <a:extLst>
                <a:ext uri="{63B3BB69-23CF-44E3-9099-C40C66FF867C}">
                  <a14:compatExt spid="_x0000_s1599489"/>
                </a:ext>
                <a:ext uri="{FF2B5EF4-FFF2-40B4-BE49-F238E27FC236}">
                  <a16:creationId xmlns:a16="http://schemas.microsoft.com/office/drawing/2014/main" id="{00000000-0008-0000-0400-000001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599490" name="Button 2" hidden="1">
              <a:extLst>
                <a:ext uri="{63B3BB69-23CF-44E3-9099-C40C66FF867C}">
                  <a14:compatExt spid="_x0000_s1599490"/>
                </a:ext>
                <a:ext uri="{FF2B5EF4-FFF2-40B4-BE49-F238E27FC236}">
                  <a16:creationId xmlns:a16="http://schemas.microsoft.com/office/drawing/2014/main" id="{00000000-0008-0000-0400-000002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599491" name="Button 3" hidden="1">
              <a:extLst>
                <a:ext uri="{63B3BB69-23CF-44E3-9099-C40C66FF867C}">
                  <a14:compatExt spid="_x0000_s1599491"/>
                </a:ext>
                <a:ext uri="{FF2B5EF4-FFF2-40B4-BE49-F238E27FC236}">
                  <a16:creationId xmlns:a16="http://schemas.microsoft.com/office/drawing/2014/main" id="{00000000-0008-0000-0400-000003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599492" name="Button 4" hidden="1">
              <a:extLst>
                <a:ext uri="{63B3BB69-23CF-44E3-9099-C40C66FF867C}">
                  <a14:compatExt spid="_x0000_s1599492"/>
                </a:ext>
                <a:ext uri="{FF2B5EF4-FFF2-40B4-BE49-F238E27FC236}">
                  <a16:creationId xmlns:a16="http://schemas.microsoft.com/office/drawing/2014/main" id="{00000000-0008-0000-0400-000004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599493" name="Button 5" hidden="1">
              <a:extLst>
                <a:ext uri="{63B3BB69-23CF-44E3-9099-C40C66FF867C}">
                  <a14:compatExt spid="_x0000_s1599493"/>
                </a:ext>
                <a:ext uri="{FF2B5EF4-FFF2-40B4-BE49-F238E27FC236}">
                  <a16:creationId xmlns:a16="http://schemas.microsoft.com/office/drawing/2014/main" id="{00000000-0008-0000-0400-000005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599494" name="Button 6" hidden="1">
              <a:extLst>
                <a:ext uri="{63B3BB69-23CF-44E3-9099-C40C66FF867C}">
                  <a14:compatExt spid="_x0000_s1599494"/>
                </a:ext>
                <a:ext uri="{FF2B5EF4-FFF2-40B4-BE49-F238E27FC236}">
                  <a16:creationId xmlns:a16="http://schemas.microsoft.com/office/drawing/2014/main" id="{00000000-0008-0000-0400-000006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599495" name="Button 7" hidden="1">
              <a:extLst>
                <a:ext uri="{63B3BB69-23CF-44E3-9099-C40C66FF867C}">
                  <a14:compatExt spid="_x0000_s1599495"/>
                </a:ext>
                <a:ext uri="{FF2B5EF4-FFF2-40B4-BE49-F238E27FC236}">
                  <a16:creationId xmlns:a16="http://schemas.microsoft.com/office/drawing/2014/main" id="{00000000-0008-0000-0400-000007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599496" name="Button 8" hidden="1">
              <a:extLst>
                <a:ext uri="{63B3BB69-23CF-44E3-9099-C40C66FF867C}">
                  <a14:compatExt spid="_x0000_s1599496"/>
                </a:ext>
                <a:ext uri="{FF2B5EF4-FFF2-40B4-BE49-F238E27FC236}">
                  <a16:creationId xmlns:a16="http://schemas.microsoft.com/office/drawing/2014/main" id="{00000000-0008-0000-0400-000008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599497" name="Button 9" hidden="1">
              <a:extLst>
                <a:ext uri="{63B3BB69-23CF-44E3-9099-C40C66FF867C}">
                  <a14:compatExt spid="_x0000_s1599497"/>
                </a:ext>
                <a:ext uri="{FF2B5EF4-FFF2-40B4-BE49-F238E27FC236}">
                  <a16:creationId xmlns:a16="http://schemas.microsoft.com/office/drawing/2014/main" id="{00000000-0008-0000-0400-000009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599498" name="Button 10" hidden="1">
              <a:extLst>
                <a:ext uri="{63B3BB69-23CF-44E3-9099-C40C66FF867C}">
                  <a14:compatExt spid="_x0000_s1599498"/>
                </a:ext>
                <a:ext uri="{FF2B5EF4-FFF2-40B4-BE49-F238E27FC236}">
                  <a16:creationId xmlns:a16="http://schemas.microsoft.com/office/drawing/2014/main" id="{00000000-0008-0000-0400-00000A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599499" name="Button 11" hidden="1">
              <a:extLst>
                <a:ext uri="{63B3BB69-23CF-44E3-9099-C40C66FF867C}">
                  <a14:compatExt spid="_x0000_s1599499"/>
                </a:ext>
                <a:ext uri="{FF2B5EF4-FFF2-40B4-BE49-F238E27FC236}">
                  <a16:creationId xmlns:a16="http://schemas.microsoft.com/office/drawing/2014/main" id="{00000000-0008-0000-0400-00000B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599500" name="Button 12" hidden="1">
              <a:extLst>
                <a:ext uri="{63B3BB69-23CF-44E3-9099-C40C66FF867C}">
                  <a14:compatExt spid="_x0000_s1599500"/>
                </a:ext>
                <a:ext uri="{FF2B5EF4-FFF2-40B4-BE49-F238E27FC236}">
                  <a16:creationId xmlns:a16="http://schemas.microsoft.com/office/drawing/2014/main" id="{00000000-0008-0000-0400-00000C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599501" name="Button 13" hidden="1">
              <a:extLst>
                <a:ext uri="{63B3BB69-23CF-44E3-9099-C40C66FF867C}">
                  <a14:compatExt spid="_x0000_s1599501"/>
                </a:ext>
                <a:ext uri="{FF2B5EF4-FFF2-40B4-BE49-F238E27FC236}">
                  <a16:creationId xmlns:a16="http://schemas.microsoft.com/office/drawing/2014/main" id="{00000000-0008-0000-0400-00000D6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0513" name="Button 1" hidden="1">
              <a:extLst>
                <a:ext uri="{63B3BB69-23CF-44E3-9099-C40C66FF867C}">
                  <a14:compatExt spid="_x0000_s1600513"/>
                </a:ext>
                <a:ext uri="{FF2B5EF4-FFF2-40B4-BE49-F238E27FC236}">
                  <a16:creationId xmlns:a16="http://schemas.microsoft.com/office/drawing/2014/main" id="{00000000-0008-0000-0500-000001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0514" name="Button 2" hidden="1">
              <a:extLst>
                <a:ext uri="{63B3BB69-23CF-44E3-9099-C40C66FF867C}">
                  <a14:compatExt spid="_x0000_s1600514"/>
                </a:ext>
                <a:ext uri="{FF2B5EF4-FFF2-40B4-BE49-F238E27FC236}">
                  <a16:creationId xmlns:a16="http://schemas.microsoft.com/office/drawing/2014/main" id="{00000000-0008-0000-0500-000002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0515" name="Button 3" hidden="1">
              <a:extLst>
                <a:ext uri="{63B3BB69-23CF-44E3-9099-C40C66FF867C}">
                  <a14:compatExt spid="_x0000_s1600515"/>
                </a:ext>
                <a:ext uri="{FF2B5EF4-FFF2-40B4-BE49-F238E27FC236}">
                  <a16:creationId xmlns:a16="http://schemas.microsoft.com/office/drawing/2014/main" id="{00000000-0008-0000-0500-000003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0516" name="Button 4" hidden="1">
              <a:extLst>
                <a:ext uri="{63B3BB69-23CF-44E3-9099-C40C66FF867C}">
                  <a14:compatExt spid="_x0000_s1600516"/>
                </a:ext>
                <a:ext uri="{FF2B5EF4-FFF2-40B4-BE49-F238E27FC236}">
                  <a16:creationId xmlns:a16="http://schemas.microsoft.com/office/drawing/2014/main" id="{00000000-0008-0000-0500-000004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0517" name="Button 5" hidden="1">
              <a:extLst>
                <a:ext uri="{63B3BB69-23CF-44E3-9099-C40C66FF867C}">
                  <a14:compatExt spid="_x0000_s1600517"/>
                </a:ext>
                <a:ext uri="{FF2B5EF4-FFF2-40B4-BE49-F238E27FC236}">
                  <a16:creationId xmlns:a16="http://schemas.microsoft.com/office/drawing/2014/main" id="{00000000-0008-0000-0500-000005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0518" name="Button 6" hidden="1">
              <a:extLst>
                <a:ext uri="{63B3BB69-23CF-44E3-9099-C40C66FF867C}">
                  <a14:compatExt spid="_x0000_s1600518"/>
                </a:ext>
                <a:ext uri="{FF2B5EF4-FFF2-40B4-BE49-F238E27FC236}">
                  <a16:creationId xmlns:a16="http://schemas.microsoft.com/office/drawing/2014/main" id="{00000000-0008-0000-0500-000006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0519" name="Button 7" hidden="1">
              <a:extLst>
                <a:ext uri="{63B3BB69-23CF-44E3-9099-C40C66FF867C}">
                  <a14:compatExt spid="_x0000_s1600519"/>
                </a:ext>
                <a:ext uri="{FF2B5EF4-FFF2-40B4-BE49-F238E27FC236}">
                  <a16:creationId xmlns:a16="http://schemas.microsoft.com/office/drawing/2014/main" id="{00000000-0008-0000-0500-000007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0520" name="Button 8" hidden="1">
              <a:extLst>
                <a:ext uri="{63B3BB69-23CF-44E3-9099-C40C66FF867C}">
                  <a14:compatExt spid="_x0000_s1600520"/>
                </a:ext>
                <a:ext uri="{FF2B5EF4-FFF2-40B4-BE49-F238E27FC236}">
                  <a16:creationId xmlns:a16="http://schemas.microsoft.com/office/drawing/2014/main" id="{00000000-0008-0000-0500-000008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0521" name="Button 9" hidden="1">
              <a:extLst>
                <a:ext uri="{63B3BB69-23CF-44E3-9099-C40C66FF867C}">
                  <a14:compatExt spid="_x0000_s1600521"/>
                </a:ext>
                <a:ext uri="{FF2B5EF4-FFF2-40B4-BE49-F238E27FC236}">
                  <a16:creationId xmlns:a16="http://schemas.microsoft.com/office/drawing/2014/main" id="{00000000-0008-0000-0500-000009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0522" name="Button 10" hidden="1">
              <a:extLst>
                <a:ext uri="{63B3BB69-23CF-44E3-9099-C40C66FF867C}">
                  <a14:compatExt spid="_x0000_s1600522"/>
                </a:ext>
                <a:ext uri="{FF2B5EF4-FFF2-40B4-BE49-F238E27FC236}">
                  <a16:creationId xmlns:a16="http://schemas.microsoft.com/office/drawing/2014/main" id="{00000000-0008-0000-0500-00000A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0523" name="Button 11" hidden="1">
              <a:extLst>
                <a:ext uri="{63B3BB69-23CF-44E3-9099-C40C66FF867C}">
                  <a14:compatExt spid="_x0000_s1600523"/>
                </a:ext>
                <a:ext uri="{FF2B5EF4-FFF2-40B4-BE49-F238E27FC236}">
                  <a16:creationId xmlns:a16="http://schemas.microsoft.com/office/drawing/2014/main" id="{00000000-0008-0000-0500-00000B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0524" name="Button 12" hidden="1">
              <a:extLst>
                <a:ext uri="{63B3BB69-23CF-44E3-9099-C40C66FF867C}">
                  <a14:compatExt spid="_x0000_s1600524"/>
                </a:ext>
                <a:ext uri="{FF2B5EF4-FFF2-40B4-BE49-F238E27FC236}">
                  <a16:creationId xmlns:a16="http://schemas.microsoft.com/office/drawing/2014/main" id="{00000000-0008-0000-0500-00000C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0525" name="Button 13" hidden="1">
              <a:extLst>
                <a:ext uri="{63B3BB69-23CF-44E3-9099-C40C66FF867C}">
                  <a14:compatExt spid="_x0000_s1600525"/>
                </a:ext>
                <a:ext uri="{FF2B5EF4-FFF2-40B4-BE49-F238E27FC236}">
                  <a16:creationId xmlns:a16="http://schemas.microsoft.com/office/drawing/2014/main" id="{00000000-0008-0000-0500-00000D6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1537" name="Button 1" hidden="1">
              <a:extLst>
                <a:ext uri="{63B3BB69-23CF-44E3-9099-C40C66FF867C}">
                  <a14:compatExt spid="_x0000_s1601537"/>
                </a:ext>
                <a:ext uri="{FF2B5EF4-FFF2-40B4-BE49-F238E27FC236}">
                  <a16:creationId xmlns:a16="http://schemas.microsoft.com/office/drawing/2014/main" id="{00000000-0008-0000-0600-000001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1538" name="Button 2" hidden="1">
              <a:extLst>
                <a:ext uri="{63B3BB69-23CF-44E3-9099-C40C66FF867C}">
                  <a14:compatExt spid="_x0000_s1601538"/>
                </a:ext>
                <a:ext uri="{FF2B5EF4-FFF2-40B4-BE49-F238E27FC236}">
                  <a16:creationId xmlns:a16="http://schemas.microsoft.com/office/drawing/2014/main" id="{00000000-0008-0000-0600-000002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1539" name="Button 3" hidden="1">
              <a:extLst>
                <a:ext uri="{63B3BB69-23CF-44E3-9099-C40C66FF867C}">
                  <a14:compatExt spid="_x0000_s1601539"/>
                </a:ext>
                <a:ext uri="{FF2B5EF4-FFF2-40B4-BE49-F238E27FC236}">
                  <a16:creationId xmlns:a16="http://schemas.microsoft.com/office/drawing/2014/main" id="{00000000-0008-0000-0600-000003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1540" name="Button 4" hidden="1">
              <a:extLst>
                <a:ext uri="{63B3BB69-23CF-44E3-9099-C40C66FF867C}">
                  <a14:compatExt spid="_x0000_s1601540"/>
                </a:ext>
                <a:ext uri="{FF2B5EF4-FFF2-40B4-BE49-F238E27FC236}">
                  <a16:creationId xmlns:a16="http://schemas.microsoft.com/office/drawing/2014/main" id="{00000000-0008-0000-0600-000004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1541" name="Button 5" hidden="1">
              <a:extLst>
                <a:ext uri="{63B3BB69-23CF-44E3-9099-C40C66FF867C}">
                  <a14:compatExt spid="_x0000_s1601541"/>
                </a:ext>
                <a:ext uri="{FF2B5EF4-FFF2-40B4-BE49-F238E27FC236}">
                  <a16:creationId xmlns:a16="http://schemas.microsoft.com/office/drawing/2014/main" id="{00000000-0008-0000-0600-000005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1542" name="Button 6" hidden="1">
              <a:extLst>
                <a:ext uri="{63B3BB69-23CF-44E3-9099-C40C66FF867C}">
                  <a14:compatExt spid="_x0000_s1601542"/>
                </a:ext>
                <a:ext uri="{FF2B5EF4-FFF2-40B4-BE49-F238E27FC236}">
                  <a16:creationId xmlns:a16="http://schemas.microsoft.com/office/drawing/2014/main" id="{00000000-0008-0000-0600-000006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1543" name="Button 7" hidden="1">
              <a:extLst>
                <a:ext uri="{63B3BB69-23CF-44E3-9099-C40C66FF867C}">
                  <a14:compatExt spid="_x0000_s1601543"/>
                </a:ext>
                <a:ext uri="{FF2B5EF4-FFF2-40B4-BE49-F238E27FC236}">
                  <a16:creationId xmlns:a16="http://schemas.microsoft.com/office/drawing/2014/main" id="{00000000-0008-0000-0600-000007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1544" name="Button 8" hidden="1">
              <a:extLst>
                <a:ext uri="{63B3BB69-23CF-44E3-9099-C40C66FF867C}">
                  <a14:compatExt spid="_x0000_s1601544"/>
                </a:ext>
                <a:ext uri="{FF2B5EF4-FFF2-40B4-BE49-F238E27FC236}">
                  <a16:creationId xmlns:a16="http://schemas.microsoft.com/office/drawing/2014/main" id="{00000000-0008-0000-0600-000008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1545" name="Button 9" hidden="1">
              <a:extLst>
                <a:ext uri="{63B3BB69-23CF-44E3-9099-C40C66FF867C}">
                  <a14:compatExt spid="_x0000_s1601545"/>
                </a:ext>
                <a:ext uri="{FF2B5EF4-FFF2-40B4-BE49-F238E27FC236}">
                  <a16:creationId xmlns:a16="http://schemas.microsoft.com/office/drawing/2014/main" id="{00000000-0008-0000-0600-000009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1546" name="Button 10" hidden="1">
              <a:extLst>
                <a:ext uri="{63B3BB69-23CF-44E3-9099-C40C66FF867C}">
                  <a14:compatExt spid="_x0000_s1601546"/>
                </a:ext>
                <a:ext uri="{FF2B5EF4-FFF2-40B4-BE49-F238E27FC236}">
                  <a16:creationId xmlns:a16="http://schemas.microsoft.com/office/drawing/2014/main" id="{00000000-0008-0000-0600-00000A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1547" name="Button 11" hidden="1">
              <a:extLst>
                <a:ext uri="{63B3BB69-23CF-44E3-9099-C40C66FF867C}">
                  <a14:compatExt spid="_x0000_s1601547"/>
                </a:ext>
                <a:ext uri="{FF2B5EF4-FFF2-40B4-BE49-F238E27FC236}">
                  <a16:creationId xmlns:a16="http://schemas.microsoft.com/office/drawing/2014/main" id="{00000000-0008-0000-0600-00000B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1548" name="Button 12" hidden="1">
              <a:extLst>
                <a:ext uri="{63B3BB69-23CF-44E3-9099-C40C66FF867C}">
                  <a14:compatExt spid="_x0000_s1601548"/>
                </a:ext>
                <a:ext uri="{FF2B5EF4-FFF2-40B4-BE49-F238E27FC236}">
                  <a16:creationId xmlns:a16="http://schemas.microsoft.com/office/drawing/2014/main" id="{00000000-0008-0000-0600-00000C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1549" name="Button 13" hidden="1">
              <a:extLst>
                <a:ext uri="{63B3BB69-23CF-44E3-9099-C40C66FF867C}">
                  <a14:compatExt spid="_x0000_s1601549"/>
                </a:ext>
                <a:ext uri="{FF2B5EF4-FFF2-40B4-BE49-F238E27FC236}">
                  <a16:creationId xmlns:a16="http://schemas.microsoft.com/office/drawing/2014/main" id="{00000000-0008-0000-0600-00000D7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2561" name="Button 1" hidden="1">
              <a:extLst>
                <a:ext uri="{63B3BB69-23CF-44E3-9099-C40C66FF867C}">
                  <a14:compatExt spid="_x0000_s1602561"/>
                </a:ext>
                <a:ext uri="{FF2B5EF4-FFF2-40B4-BE49-F238E27FC236}">
                  <a16:creationId xmlns:a16="http://schemas.microsoft.com/office/drawing/2014/main" id="{00000000-0008-0000-0700-000001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2562" name="Button 2" hidden="1">
              <a:extLst>
                <a:ext uri="{63B3BB69-23CF-44E3-9099-C40C66FF867C}">
                  <a14:compatExt spid="_x0000_s1602562"/>
                </a:ext>
                <a:ext uri="{FF2B5EF4-FFF2-40B4-BE49-F238E27FC236}">
                  <a16:creationId xmlns:a16="http://schemas.microsoft.com/office/drawing/2014/main" id="{00000000-0008-0000-0700-000002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2563" name="Button 3" hidden="1">
              <a:extLst>
                <a:ext uri="{63B3BB69-23CF-44E3-9099-C40C66FF867C}">
                  <a14:compatExt spid="_x0000_s1602563"/>
                </a:ext>
                <a:ext uri="{FF2B5EF4-FFF2-40B4-BE49-F238E27FC236}">
                  <a16:creationId xmlns:a16="http://schemas.microsoft.com/office/drawing/2014/main" id="{00000000-0008-0000-0700-000003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2564" name="Button 4" hidden="1">
              <a:extLst>
                <a:ext uri="{63B3BB69-23CF-44E3-9099-C40C66FF867C}">
                  <a14:compatExt spid="_x0000_s1602564"/>
                </a:ext>
                <a:ext uri="{FF2B5EF4-FFF2-40B4-BE49-F238E27FC236}">
                  <a16:creationId xmlns:a16="http://schemas.microsoft.com/office/drawing/2014/main" id="{00000000-0008-0000-0700-000004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2565" name="Button 5" hidden="1">
              <a:extLst>
                <a:ext uri="{63B3BB69-23CF-44E3-9099-C40C66FF867C}">
                  <a14:compatExt spid="_x0000_s1602565"/>
                </a:ext>
                <a:ext uri="{FF2B5EF4-FFF2-40B4-BE49-F238E27FC236}">
                  <a16:creationId xmlns:a16="http://schemas.microsoft.com/office/drawing/2014/main" id="{00000000-0008-0000-0700-000005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2566" name="Button 6" hidden="1">
              <a:extLst>
                <a:ext uri="{63B3BB69-23CF-44E3-9099-C40C66FF867C}">
                  <a14:compatExt spid="_x0000_s1602566"/>
                </a:ext>
                <a:ext uri="{FF2B5EF4-FFF2-40B4-BE49-F238E27FC236}">
                  <a16:creationId xmlns:a16="http://schemas.microsoft.com/office/drawing/2014/main" id="{00000000-0008-0000-0700-000006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2567" name="Button 7" hidden="1">
              <a:extLst>
                <a:ext uri="{63B3BB69-23CF-44E3-9099-C40C66FF867C}">
                  <a14:compatExt spid="_x0000_s1602567"/>
                </a:ext>
                <a:ext uri="{FF2B5EF4-FFF2-40B4-BE49-F238E27FC236}">
                  <a16:creationId xmlns:a16="http://schemas.microsoft.com/office/drawing/2014/main" id="{00000000-0008-0000-0700-000007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2568" name="Button 8" hidden="1">
              <a:extLst>
                <a:ext uri="{63B3BB69-23CF-44E3-9099-C40C66FF867C}">
                  <a14:compatExt spid="_x0000_s1602568"/>
                </a:ext>
                <a:ext uri="{FF2B5EF4-FFF2-40B4-BE49-F238E27FC236}">
                  <a16:creationId xmlns:a16="http://schemas.microsoft.com/office/drawing/2014/main" id="{00000000-0008-0000-0700-000008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2569" name="Button 9" hidden="1">
              <a:extLst>
                <a:ext uri="{63B3BB69-23CF-44E3-9099-C40C66FF867C}">
                  <a14:compatExt spid="_x0000_s1602569"/>
                </a:ext>
                <a:ext uri="{FF2B5EF4-FFF2-40B4-BE49-F238E27FC236}">
                  <a16:creationId xmlns:a16="http://schemas.microsoft.com/office/drawing/2014/main" id="{00000000-0008-0000-0700-000009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2570" name="Button 10" hidden="1">
              <a:extLst>
                <a:ext uri="{63B3BB69-23CF-44E3-9099-C40C66FF867C}">
                  <a14:compatExt spid="_x0000_s1602570"/>
                </a:ext>
                <a:ext uri="{FF2B5EF4-FFF2-40B4-BE49-F238E27FC236}">
                  <a16:creationId xmlns:a16="http://schemas.microsoft.com/office/drawing/2014/main" id="{00000000-0008-0000-0700-00000A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2571" name="Button 11" hidden="1">
              <a:extLst>
                <a:ext uri="{63B3BB69-23CF-44E3-9099-C40C66FF867C}">
                  <a14:compatExt spid="_x0000_s1602571"/>
                </a:ext>
                <a:ext uri="{FF2B5EF4-FFF2-40B4-BE49-F238E27FC236}">
                  <a16:creationId xmlns:a16="http://schemas.microsoft.com/office/drawing/2014/main" id="{00000000-0008-0000-0700-00000B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2572" name="Button 12" hidden="1">
              <a:extLst>
                <a:ext uri="{63B3BB69-23CF-44E3-9099-C40C66FF867C}">
                  <a14:compatExt spid="_x0000_s1602572"/>
                </a:ext>
                <a:ext uri="{FF2B5EF4-FFF2-40B4-BE49-F238E27FC236}">
                  <a16:creationId xmlns:a16="http://schemas.microsoft.com/office/drawing/2014/main" id="{00000000-0008-0000-0700-00000C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2573" name="Button 13" hidden="1">
              <a:extLst>
                <a:ext uri="{63B3BB69-23CF-44E3-9099-C40C66FF867C}">
                  <a14:compatExt spid="_x0000_s1602573"/>
                </a:ext>
                <a:ext uri="{FF2B5EF4-FFF2-40B4-BE49-F238E27FC236}">
                  <a16:creationId xmlns:a16="http://schemas.microsoft.com/office/drawing/2014/main" id="{00000000-0008-0000-0700-00000D7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4609" name="Button 1" hidden="1">
              <a:extLst>
                <a:ext uri="{63B3BB69-23CF-44E3-9099-C40C66FF867C}">
                  <a14:compatExt spid="_x0000_s1604609"/>
                </a:ext>
                <a:ext uri="{FF2B5EF4-FFF2-40B4-BE49-F238E27FC236}">
                  <a16:creationId xmlns:a16="http://schemas.microsoft.com/office/drawing/2014/main" id="{00000000-0008-0000-0900-000001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4610" name="Button 2" hidden="1">
              <a:extLst>
                <a:ext uri="{63B3BB69-23CF-44E3-9099-C40C66FF867C}">
                  <a14:compatExt spid="_x0000_s1604610"/>
                </a:ext>
                <a:ext uri="{FF2B5EF4-FFF2-40B4-BE49-F238E27FC236}">
                  <a16:creationId xmlns:a16="http://schemas.microsoft.com/office/drawing/2014/main" id="{00000000-0008-0000-0900-000002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4611" name="Button 3" hidden="1">
              <a:extLst>
                <a:ext uri="{63B3BB69-23CF-44E3-9099-C40C66FF867C}">
                  <a14:compatExt spid="_x0000_s1604611"/>
                </a:ext>
                <a:ext uri="{FF2B5EF4-FFF2-40B4-BE49-F238E27FC236}">
                  <a16:creationId xmlns:a16="http://schemas.microsoft.com/office/drawing/2014/main" id="{00000000-0008-0000-0900-000003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4612" name="Button 4" hidden="1">
              <a:extLst>
                <a:ext uri="{63B3BB69-23CF-44E3-9099-C40C66FF867C}">
                  <a14:compatExt spid="_x0000_s1604612"/>
                </a:ext>
                <a:ext uri="{FF2B5EF4-FFF2-40B4-BE49-F238E27FC236}">
                  <a16:creationId xmlns:a16="http://schemas.microsoft.com/office/drawing/2014/main" id="{00000000-0008-0000-0900-000004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4613" name="Button 5" hidden="1">
              <a:extLst>
                <a:ext uri="{63B3BB69-23CF-44E3-9099-C40C66FF867C}">
                  <a14:compatExt spid="_x0000_s1604613"/>
                </a:ext>
                <a:ext uri="{FF2B5EF4-FFF2-40B4-BE49-F238E27FC236}">
                  <a16:creationId xmlns:a16="http://schemas.microsoft.com/office/drawing/2014/main" id="{00000000-0008-0000-0900-000005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4614" name="Button 6" hidden="1">
              <a:extLst>
                <a:ext uri="{63B3BB69-23CF-44E3-9099-C40C66FF867C}">
                  <a14:compatExt spid="_x0000_s1604614"/>
                </a:ext>
                <a:ext uri="{FF2B5EF4-FFF2-40B4-BE49-F238E27FC236}">
                  <a16:creationId xmlns:a16="http://schemas.microsoft.com/office/drawing/2014/main" id="{00000000-0008-0000-0900-000006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4615" name="Button 7" hidden="1">
              <a:extLst>
                <a:ext uri="{63B3BB69-23CF-44E3-9099-C40C66FF867C}">
                  <a14:compatExt spid="_x0000_s1604615"/>
                </a:ext>
                <a:ext uri="{FF2B5EF4-FFF2-40B4-BE49-F238E27FC236}">
                  <a16:creationId xmlns:a16="http://schemas.microsoft.com/office/drawing/2014/main" id="{00000000-0008-0000-0900-000007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4616" name="Button 8" hidden="1">
              <a:extLst>
                <a:ext uri="{63B3BB69-23CF-44E3-9099-C40C66FF867C}">
                  <a14:compatExt spid="_x0000_s1604616"/>
                </a:ext>
                <a:ext uri="{FF2B5EF4-FFF2-40B4-BE49-F238E27FC236}">
                  <a16:creationId xmlns:a16="http://schemas.microsoft.com/office/drawing/2014/main" id="{00000000-0008-0000-0900-000008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4617" name="Button 9" hidden="1">
              <a:extLst>
                <a:ext uri="{63B3BB69-23CF-44E3-9099-C40C66FF867C}">
                  <a14:compatExt spid="_x0000_s1604617"/>
                </a:ext>
                <a:ext uri="{FF2B5EF4-FFF2-40B4-BE49-F238E27FC236}">
                  <a16:creationId xmlns:a16="http://schemas.microsoft.com/office/drawing/2014/main" id="{00000000-0008-0000-0900-000009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4618" name="Button 10" hidden="1">
              <a:extLst>
                <a:ext uri="{63B3BB69-23CF-44E3-9099-C40C66FF867C}">
                  <a14:compatExt spid="_x0000_s1604618"/>
                </a:ext>
                <a:ext uri="{FF2B5EF4-FFF2-40B4-BE49-F238E27FC236}">
                  <a16:creationId xmlns:a16="http://schemas.microsoft.com/office/drawing/2014/main" id="{00000000-0008-0000-0900-00000A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4619" name="Button 11" hidden="1">
              <a:extLst>
                <a:ext uri="{63B3BB69-23CF-44E3-9099-C40C66FF867C}">
                  <a14:compatExt spid="_x0000_s1604619"/>
                </a:ext>
                <a:ext uri="{FF2B5EF4-FFF2-40B4-BE49-F238E27FC236}">
                  <a16:creationId xmlns:a16="http://schemas.microsoft.com/office/drawing/2014/main" id="{00000000-0008-0000-0900-00000B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4620" name="Button 12" hidden="1">
              <a:extLst>
                <a:ext uri="{63B3BB69-23CF-44E3-9099-C40C66FF867C}">
                  <a14:compatExt spid="_x0000_s1604620"/>
                </a:ext>
                <a:ext uri="{FF2B5EF4-FFF2-40B4-BE49-F238E27FC236}">
                  <a16:creationId xmlns:a16="http://schemas.microsoft.com/office/drawing/2014/main" id="{00000000-0008-0000-0900-00000C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4621" name="Button 13" hidden="1">
              <a:extLst>
                <a:ext uri="{63B3BB69-23CF-44E3-9099-C40C66FF867C}">
                  <a14:compatExt spid="_x0000_s1604621"/>
                </a:ext>
                <a:ext uri="{FF2B5EF4-FFF2-40B4-BE49-F238E27FC236}">
                  <a16:creationId xmlns:a16="http://schemas.microsoft.com/office/drawing/2014/main" id="{00000000-0008-0000-0900-00000D7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A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A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A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3585" name="Button 1" hidden="1">
              <a:extLst>
                <a:ext uri="{63B3BB69-23CF-44E3-9099-C40C66FF867C}">
                  <a14:compatExt spid="_x0000_s1603585"/>
                </a:ext>
                <a:ext uri="{FF2B5EF4-FFF2-40B4-BE49-F238E27FC236}">
                  <a16:creationId xmlns:a16="http://schemas.microsoft.com/office/drawing/2014/main" id="{00000000-0008-0000-0A00-000001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3586" name="Button 2" hidden="1">
              <a:extLst>
                <a:ext uri="{63B3BB69-23CF-44E3-9099-C40C66FF867C}">
                  <a14:compatExt spid="_x0000_s1603586"/>
                </a:ext>
                <a:ext uri="{FF2B5EF4-FFF2-40B4-BE49-F238E27FC236}">
                  <a16:creationId xmlns:a16="http://schemas.microsoft.com/office/drawing/2014/main" id="{00000000-0008-0000-0A00-000002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3587" name="Button 3" hidden="1">
              <a:extLst>
                <a:ext uri="{63B3BB69-23CF-44E3-9099-C40C66FF867C}">
                  <a14:compatExt spid="_x0000_s1603587"/>
                </a:ext>
                <a:ext uri="{FF2B5EF4-FFF2-40B4-BE49-F238E27FC236}">
                  <a16:creationId xmlns:a16="http://schemas.microsoft.com/office/drawing/2014/main" id="{00000000-0008-0000-0A00-000003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3588" name="Button 4" hidden="1">
              <a:extLst>
                <a:ext uri="{63B3BB69-23CF-44E3-9099-C40C66FF867C}">
                  <a14:compatExt spid="_x0000_s1603588"/>
                </a:ext>
                <a:ext uri="{FF2B5EF4-FFF2-40B4-BE49-F238E27FC236}">
                  <a16:creationId xmlns:a16="http://schemas.microsoft.com/office/drawing/2014/main" id="{00000000-0008-0000-0A00-000004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3589" name="Button 5" hidden="1">
              <a:extLst>
                <a:ext uri="{63B3BB69-23CF-44E3-9099-C40C66FF867C}">
                  <a14:compatExt spid="_x0000_s1603589"/>
                </a:ext>
                <a:ext uri="{FF2B5EF4-FFF2-40B4-BE49-F238E27FC236}">
                  <a16:creationId xmlns:a16="http://schemas.microsoft.com/office/drawing/2014/main" id="{00000000-0008-0000-0A00-000005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3590" name="Button 6" hidden="1">
              <a:extLst>
                <a:ext uri="{63B3BB69-23CF-44E3-9099-C40C66FF867C}">
                  <a14:compatExt spid="_x0000_s1603590"/>
                </a:ext>
                <a:ext uri="{FF2B5EF4-FFF2-40B4-BE49-F238E27FC236}">
                  <a16:creationId xmlns:a16="http://schemas.microsoft.com/office/drawing/2014/main" id="{00000000-0008-0000-0A00-000006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3591" name="Button 7" hidden="1">
              <a:extLst>
                <a:ext uri="{63B3BB69-23CF-44E3-9099-C40C66FF867C}">
                  <a14:compatExt spid="_x0000_s1603591"/>
                </a:ext>
                <a:ext uri="{FF2B5EF4-FFF2-40B4-BE49-F238E27FC236}">
                  <a16:creationId xmlns:a16="http://schemas.microsoft.com/office/drawing/2014/main" id="{00000000-0008-0000-0A00-000007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3592" name="Button 8" hidden="1">
              <a:extLst>
                <a:ext uri="{63B3BB69-23CF-44E3-9099-C40C66FF867C}">
                  <a14:compatExt spid="_x0000_s1603592"/>
                </a:ext>
                <a:ext uri="{FF2B5EF4-FFF2-40B4-BE49-F238E27FC236}">
                  <a16:creationId xmlns:a16="http://schemas.microsoft.com/office/drawing/2014/main" id="{00000000-0008-0000-0A00-000008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3593" name="Button 9" hidden="1">
              <a:extLst>
                <a:ext uri="{63B3BB69-23CF-44E3-9099-C40C66FF867C}">
                  <a14:compatExt spid="_x0000_s1603593"/>
                </a:ext>
                <a:ext uri="{FF2B5EF4-FFF2-40B4-BE49-F238E27FC236}">
                  <a16:creationId xmlns:a16="http://schemas.microsoft.com/office/drawing/2014/main" id="{00000000-0008-0000-0A00-000009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3594" name="Button 10" hidden="1">
              <a:extLst>
                <a:ext uri="{63B3BB69-23CF-44E3-9099-C40C66FF867C}">
                  <a14:compatExt spid="_x0000_s1603594"/>
                </a:ext>
                <a:ext uri="{FF2B5EF4-FFF2-40B4-BE49-F238E27FC236}">
                  <a16:creationId xmlns:a16="http://schemas.microsoft.com/office/drawing/2014/main" id="{00000000-0008-0000-0A00-00000A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3595" name="Button 11" hidden="1">
              <a:extLst>
                <a:ext uri="{63B3BB69-23CF-44E3-9099-C40C66FF867C}">
                  <a14:compatExt spid="_x0000_s1603595"/>
                </a:ext>
                <a:ext uri="{FF2B5EF4-FFF2-40B4-BE49-F238E27FC236}">
                  <a16:creationId xmlns:a16="http://schemas.microsoft.com/office/drawing/2014/main" id="{00000000-0008-0000-0A00-00000B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3596" name="Button 12" hidden="1">
              <a:extLst>
                <a:ext uri="{63B3BB69-23CF-44E3-9099-C40C66FF867C}">
                  <a14:compatExt spid="_x0000_s1603596"/>
                </a:ext>
                <a:ext uri="{FF2B5EF4-FFF2-40B4-BE49-F238E27FC236}">
                  <a16:creationId xmlns:a16="http://schemas.microsoft.com/office/drawing/2014/main" id="{00000000-0008-0000-0A00-00000C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3597" name="Button 13" hidden="1">
              <a:extLst>
                <a:ext uri="{63B3BB69-23CF-44E3-9099-C40C66FF867C}">
                  <a14:compatExt spid="_x0000_s1603597"/>
                </a:ext>
                <a:ext uri="{FF2B5EF4-FFF2-40B4-BE49-F238E27FC236}">
                  <a16:creationId xmlns:a16="http://schemas.microsoft.com/office/drawing/2014/main" id="{00000000-0008-0000-0A00-00000D7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D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D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D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D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D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D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D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D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D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D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D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D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7681" name="Button 1" hidden="1">
              <a:extLst>
                <a:ext uri="{63B3BB69-23CF-44E3-9099-C40C66FF867C}">
                  <a14:compatExt spid="_x0000_s1607681"/>
                </a:ext>
                <a:ext uri="{FF2B5EF4-FFF2-40B4-BE49-F238E27FC236}">
                  <a16:creationId xmlns:a16="http://schemas.microsoft.com/office/drawing/2014/main" id="{00000000-0008-0000-0D00-000001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7682" name="Button 2" hidden="1">
              <a:extLst>
                <a:ext uri="{63B3BB69-23CF-44E3-9099-C40C66FF867C}">
                  <a14:compatExt spid="_x0000_s1607682"/>
                </a:ext>
                <a:ext uri="{FF2B5EF4-FFF2-40B4-BE49-F238E27FC236}">
                  <a16:creationId xmlns:a16="http://schemas.microsoft.com/office/drawing/2014/main" id="{00000000-0008-0000-0D00-000002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7683" name="Button 3" hidden="1">
              <a:extLst>
                <a:ext uri="{63B3BB69-23CF-44E3-9099-C40C66FF867C}">
                  <a14:compatExt spid="_x0000_s1607683"/>
                </a:ext>
                <a:ext uri="{FF2B5EF4-FFF2-40B4-BE49-F238E27FC236}">
                  <a16:creationId xmlns:a16="http://schemas.microsoft.com/office/drawing/2014/main" id="{00000000-0008-0000-0D00-000003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7684" name="Button 4" hidden="1">
              <a:extLst>
                <a:ext uri="{63B3BB69-23CF-44E3-9099-C40C66FF867C}">
                  <a14:compatExt spid="_x0000_s1607684"/>
                </a:ext>
                <a:ext uri="{FF2B5EF4-FFF2-40B4-BE49-F238E27FC236}">
                  <a16:creationId xmlns:a16="http://schemas.microsoft.com/office/drawing/2014/main" id="{00000000-0008-0000-0D00-000004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7685" name="Button 5" hidden="1">
              <a:extLst>
                <a:ext uri="{63B3BB69-23CF-44E3-9099-C40C66FF867C}">
                  <a14:compatExt spid="_x0000_s1607685"/>
                </a:ext>
                <a:ext uri="{FF2B5EF4-FFF2-40B4-BE49-F238E27FC236}">
                  <a16:creationId xmlns:a16="http://schemas.microsoft.com/office/drawing/2014/main" id="{00000000-0008-0000-0D00-000005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7686" name="Button 6" hidden="1">
              <a:extLst>
                <a:ext uri="{63B3BB69-23CF-44E3-9099-C40C66FF867C}">
                  <a14:compatExt spid="_x0000_s1607686"/>
                </a:ext>
                <a:ext uri="{FF2B5EF4-FFF2-40B4-BE49-F238E27FC236}">
                  <a16:creationId xmlns:a16="http://schemas.microsoft.com/office/drawing/2014/main" id="{00000000-0008-0000-0D00-000006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7687" name="Button 7" hidden="1">
              <a:extLst>
                <a:ext uri="{63B3BB69-23CF-44E3-9099-C40C66FF867C}">
                  <a14:compatExt spid="_x0000_s1607687"/>
                </a:ext>
                <a:ext uri="{FF2B5EF4-FFF2-40B4-BE49-F238E27FC236}">
                  <a16:creationId xmlns:a16="http://schemas.microsoft.com/office/drawing/2014/main" id="{00000000-0008-0000-0D00-000007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7688" name="Button 8" hidden="1">
              <a:extLst>
                <a:ext uri="{63B3BB69-23CF-44E3-9099-C40C66FF867C}">
                  <a14:compatExt spid="_x0000_s1607688"/>
                </a:ext>
                <a:ext uri="{FF2B5EF4-FFF2-40B4-BE49-F238E27FC236}">
                  <a16:creationId xmlns:a16="http://schemas.microsoft.com/office/drawing/2014/main" id="{00000000-0008-0000-0D00-000008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7689" name="Button 9" hidden="1">
              <a:extLst>
                <a:ext uri="{63B3BB69-23CF-44E3-9099-C40C66FF867C}">
                  <a14:compatExt spid="_x0000_s1607689"/>
                </a:ext>
                <a:ext uri="{FF2B5EF4-FFF2-40B4-BE49-F238E27FC236}">
                  <a16:creationId xmlns:a16="http://schemas.microsoft.com/office/drawing/2014/main" id="{00000000-0008-0000-0D00-000009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7690" name="Button 10" hidden="1">
              <a:extLst>
                <a:ext uri="{63B3BB69-23CF-44E3-9099-C40C66FF867C}">
                  <a14:compatExt spid="_x0000_s1607690"/>
                </a:ext>
                <a:ext uri="{FF2B5EF4-FFF2-40B4-BE49-F238E27FC236}">
                  <a16:creationId xmlns:a16="http://schemas.microsoft.com/office/drawing/2014/main" id="{00000000-0008-0000-0D00-00000A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7691" name="Button 11" hidden="1">
              <a:extLst>
                <a:ext uri="{63B3BB69-23CF-44E3-9099-C40C66FF867C}">
                  <a14:compatExt spid="_x0000_s1607691"/>
                </a:ext>
                <a:ext uri="{FF2B5EF4-FFF2-40B4-BE49-F238E27FC236}">
                  <a16:creationId xmlns:a16="http://schemas.microsoft.com/office/drawing/2014/main" id="{00000000-0008-0000-0D00-00000B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7692" name="Button 12" hidden="1">
              <a:extLst>
                <a:ext uri="{63B3BB69-23CF-44E3-9099-C40C66FF867C}">
                  <a14:compatExt spid="_x0000_s1607692"/>
                </a:ext>
                <a:ext uri="{FF2B5EF4-FFF2-40B4-BE49-F238E27FC236}">
                  <a16:creationId xmlns:a16="http://schemas.microsoft.com/office/drawing/2014/main" id="{00000000-0008-0000-0D00-00000C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7693" name="Button 13" hidden="1">
              <a:extLst>
                <a:ext uri="{63B3BB69-23CF-44E3-9099-C40C66FF867C}">
                  <a14:compatExt spid="_x0000_s1607693"/>
                </a:ext>
                <a:ext uri="{FF2B5EF4-FFF2-40B4-BE49-F238E27FC236}">
                  <a16:creationId xmlns:a16="http://schemas.microsoft.com/office/drawing/2014/main" id="{00000000-0008-0000-0D00-00000D8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E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E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E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E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E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E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E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E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E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8705" name="Button 1" hidden="1">
              <a:extLst>
                <a:ext uri="{63B3BB69-23CF-44E3-9099-C40C66FF867C}">
                  <a14:compatExt spid="_x0000_s1608705"/>
                </a:ext>
                <a:ext uri="{FF2B5EF4-FFF2-40B4-BE49-F238E27FC236}">
                  <a16:creationId xmlns:a16="http://schemas.microsoft.com/office/drawing/2014/main" id="{00000000-0008-0000-0E00-000001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8706" name="Button 2" hidden="1">
              <a:extLst>
                <a:ext uri="{63B3BB69-23CF-44E3-9099-C40C66FF867C}">
                  <a14:compatExt spid="_x0000_s1608706"/>
                </a:ext>
                <a:ext uri="{FF2B5EF4-FFF2-40B4-BE49-F238E27FC236}">
                  <a16:creationId xmlns:a16="http://schemas.microsoft.com/office/drawing/2014/main" id="{00000000-0008-0000-0E00-000002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8707" name="Button 3" hidden="1">
              <a:extLst>
                <a:ext uri="{63B3BB69-23CF-44E3-9099-C40C66FF867C}">
                  <a14:compatExt spid="_x0000_s1608707"/>
                </a:ext>
                <a:ext uri="{FF2B5EF4-FFF2-40B4-BE49-F238E27FC236}">
                  <a16:creationId xmlns:a16="http://schemas.microsoft.com/office/drawing/2014/main" id="{00000000-0008-0000-0E00-000003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8708" name="Button 4" hidden="1">
              <a:extLst>
                <a:ext uri="{63B3BB69-23CF-44E3-9099-C40C66FF867C}">
                  <a14:compatExt spid="_x0000_s1608708"/>
                </a:ext>
                <a:ext uri="{FF2B5EF4-FFF2-40B4-BE49-F238E27FC236}">
                  <a16:creationId xmlns:a16="http://schemas.microsoft.com/office/drawing/2014/main" id="{00000000-0008-0000-0E00-000004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8709" name="Button 5" hidden="1">
              <a:extLst>
                <a:ext uri="{63B3BB69-23CF-44E3-9099-C40C66FF867C}">
                  <a14:compatExt spid="_x0000_s1608709"/>
                </a:ext>
                <a:ext uri="{FF2B5EF4-FFF2-40B4-BE49-F238E27FC236}">
                  <a16:creationId xmlns:a16="http://schemas.microsoft.com/office/drawing/2014/main" id="{00000000-0008-0000-0E00-000005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8710" name="Button 6" hidden="1">
              <a:extLst>
                <a:ext uri="{63B3BB69-23CF-44E3-9099-C40C66FF867C}">
                  <a14:compatExt spid="_x0000_s1608710"/>
                </a:ext>
                <a:ext uri="{FF2B5EF4-FFF2-40B4-BE49-F238E27FC236}">
                  <a16:creationId xmlns:a16="http://schemas.microsoft.com/office/drawing/2014/main" id="{00000000-0008-0000-0E00-000006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8711" name="Button 7" hidden="1">
              <a:extLst>
                <a:ext uri="{63B3BB69-23CF-44E3-9099-C40C66FF867C}">
                  <a14:compatExt spid="_x0000_s1608711"/>
                </a:ext>
                <a:ext uri="{FF2B5EF4-FFF2-40B4-BE49-F238E27FC236}">
                  <a16:creationId xmlns:a16="http://schemas.microsoft.com/office/drawing/2014/main" id="{00000000-0008-0000-0E00-000007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8712" name="Button 8" hidden="1">
              <a:extLst>
                <a:ext uri="{63B3BB69-23CF-44E3-9099-C40C66FF867C}">
                  <a14:compatExt spid="_x0000_s1608712"/>
                </a:ext>
                <a:ext uri="{FF2B5EF4-FFF2-40B4-BE49-F238E27FC236}">
                  <a16:creationId xmlns:a16="http://schemas.microsoft.com/office/drawing/2014/main" id="{00000000-0008-0000-0E00-000008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8713" name="Button 9" hidden="1">
              <a:extLst>
                <a:ext uri="{63B3BB69-23CF-44E3-9099-C40C66FF867C}">
                  <a14:compatExt spid="_x0000_s1608713"/>
                </a:ext>
                <a:ext uri="{FF2B5EF4-FFF2-40B4-BE49-F238E27FC236}">
                  <a16:creationId xmlns:a16="http://schemas.microsoft.com/office/drawing/2014/main" id="{00000000-0008-0000-0E00-000009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8714" name="Button 10" hidden="1">
              <a:extLst>
                <a:ext uri="{63B3BB69-23CF-44E3-9099-C40C66FF867C}">
                  <a14:compatExt spid="_x0000_s1608714"/>
                </a:ext>
                <a:ext uri="{FF2B5EF4-FFF2-40B4-BE49-F238E27FC236}">
                  <a16:creationId xmlns:a16="http://schemas.microsoft.com/office/drawing/2014/main" id="{00000000-0008-0000-0E00-00000A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8715" name="Button 11" hidden="1">
              <a:extLst>
                <a:ext uri="{63B3BB69-23CF-44E3-9099-C40C66FF867C}">
                  <a14:compatExt spid="_x0000_s1608715"/>
                </a:ext>
                <a:ext uri="{FF2B5EF4-FFF2-40B4-BE49-F238E27FC236}">
                  <a16:creationId xmlns:a16="http://schemas.microsoft.com/office/drawing/2014/main" id="{00000000-0008-0000-0E00-00000B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8716" name="Button 12" hidden="1">
              <a:extLst>
                <a:ext uri="{63B3BB69-23CF-44E3-9099-C40C66FF867C}">
                  <a14:compatExt spid="_x0000_s1608716"/>
                </a:ext>
                <a:ext uri="{FF2B5EF4-FFF2-40B4-BE49-F238E27FC236}">
                  <a16:creationId xmlns:a16="http://schemas.microsoft.com/office/drawing/2014/main" id="{00000000-0008-0000-0E00-00000C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8717" name="Button 13" hidden="1">
              <a:extLst>
                <a:ext uri="{63B3BB69-23CF-44E3-9099-C40C66FF867C}">
                  <a14:compatExt spid="_x0000_s1608717"/>
                </a:ext>
                <a:ext uri="{FF2B5EF4-FFF2-40B4-BE49-F238E27FC236}">
                  <a16:creationId xmlns:a16="http://schemas.microsoft.com/office/drawing/2014/main" id="{00000000-0008-0000-0E00-00000D8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0F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0F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0F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0F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0F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0F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0F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0F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0F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0F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0F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0F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9729" name="Button 1" hidden="1">
              <a:extLst>
                <a:ext uri="{63B3BB69-23CF-44E3-9099-C40C66FF867C}">
                  <a14:compatExt spid="_x0000_s1609729"/>
                </a:ext>
                <a:ext uri="{FF2B5EF4-FFF2-40B4-BE49-F238E27FC236}">
                  <a16:creationId xmlns:a16="http://schemas.microsoft.com/office/drawing/2014/main" id="{00000000-0008-0000-0F00-000001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9730" name="Button 2" hidden="1">
              <a:extLst>
                <a:ext uri="{63B3BB69-23CF-44E3-9099-C40C66FF867C}">
                  <a14:compatExt spid="_x0000_s1609730"/>
                </a:ext>
                <a:ext uri="{FF2B5EF4-FFF2-40B4-BE49-F238E27FC236}">
                  <a16:creationId xmlns:a16="http://schemas.microsoft.com/office/drawing/2014/main" id="{00000000-0008-0000-0F00-000002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9731" name="Button 3" hidden="1">
              <a:extLst>
                <a:ext uri="{63B3BB69-23CF-44E3-9099-C40C66FF867C}">
                  <a14:compatExt spid="_x0000_s1609731"/>
                </a:ext>
                <a:ext uri="{FF2B5EF4-FFF2-40B4-BE49-F238E27FC236}">
                  <a16:creationId xmlns:a16="http://schemas.microsoft.com/office/drawing/2014/main" id="{00000000-0008-0000-0F00-000003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9732" name="Button 4" hidden="1">
              <a:extLst>
                <a:ext uri="{63B3BB69-23CF-44E3-9099-C40C66FF867C}">
                  <a14:compatExt spid="_x0000_s1609732"/>
                </a:ext>
                <a:ext uri="{FF2B5EF4-FFF2-40B4-BE49-F238E27FC236}">
                  <a16:creationId xmlns:a16="http://schemas.microsoft.com/office/drawing/2014/main" id="{00000000-0008-0000-0F00-000004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9733" name="Button 5" hidden="1">
              <a:extLst>
                <a:ext uri="{63B3BB69-23CF-44E3-9099-C40C66FF867C}">
                  <a14:compatExt spid="_x0000_s1609733"/>
                </a:ext>
                <a:ext uri="{FF2B5EF4-FFF2-40B4-BE49-F238E27FC236}">
                  <a16:creationId xmlns:a16="http://schemas.microsoft.com/office/drawing/2014/main" id="{00000000-0008-0000-0F00-000005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9734" name="Button 6" hidden="1">
              <a:extLst>
                <a:ext uri="{63B3BB69-23CF-44E3-9099-C40C66FF867C}">
                  <a14:compatExt spid="_x0000_s1609734"/>
                </a:ext>
                <a:ext uri="{FF2B5EF4-FFF2-40B4-BE49-F238E27FC236}">
                  <a16:creationId xmlns:a16="http://schemas.microsoft.com/office/drawing/2014/main" id="{00000000-0008-0000-0F00-000006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9735" name="Button 7" hidden="1">
              <a:extLst>
                <a:ext uri="{63B3BB69-23CF-44E3-9099-C40C66FF867C}">
                  <a14:compatExt spid="_x0000_s1609735"/>
                </a:ext>
                <a:ext uri="{FF2B5EF4-FFF2-40B4-BE49-F238E27FC236}">
                  <a16:creationId xmlns:a16="http://schemas.microsoft.com/office/drawing/2014/main" id="{00000000-0008-0000-0F00-000007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9736" name="Button 8" hidden="1">
              <a:extLst>
                <a:ext uri="{63B3BB69-23CF-44E3-9099-C40C66FF867C}">
                  <a14:compatExt spid="_x0000_s1609736"/>
                </a:ext>
                <a:ext uri="{FF2B5EF4-FFF2-40B4-BE49-F238E27FC236}">
                  <a16:creationId xmlns:a16="http://schemas.microsoft.com/office/drawing/2014/main" id="{00000000-0008-0000-0F00-000008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9737" name="Button 9" hidden="1">
              <a:extLst>
                <a:ext uri="{63B3BB69-23CF-44E3-9099-C40C66FF867C}">
                  <a14:compatExt spid="_x0000_s1609737"/>
                </a:ext>
                <a:ext uri="{FF2B5EF4-FFF2-40B4-BE49-F238E27FC236}">
                  <a16:creationId xmlns:a16="http://schemas.microsoft.com/office/drawing/2014/main" id="{00000000-0008-0000-0F00-000009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9738" name="Button 10" hidden="1">
              <a:extLst>
                <a:ext uri="{63B3BB69-23CF-44E3-9099-C40C66FF867C}">
                  <a14:compatExt spid="_x0000_s1609738"/>
                </a:ext>
                <a:ext uri="{FF2B5EF4-FFF2-40B4-BE49-F238E27FC236}">
                  <a16:creationId xmlns:a16="http://schemas.microsoft.com/office/drawing/2014/main" id="{00000000-0008-0000-0F00-00000A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9739" name="Button 11" hidden="1">
              <a:extLst>
                <a:ext uri="{63B3BB69-23CF-44E3-9099-C40C66FF867C}">
                  <a14:compatExt spid="_x0000_s1609739"/>
                </a:ext>
                <a:ext uri="{FF2B5EF4-FFF2-40B4-BE49-F238E27FC236}">
                  <a16:creationId xmlns:a16="http://schemas.microsoft.com/office/drawing/2014/main" id="{00000000-0008-0000-0F00-00000B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9740" name="Button 12" hidden="1">
              <a:extLst>
                <a:ext uri="{63B3BB69-23CF-44E3-9099-C40C66FF867C}">
                  <a14:compatExt spid="_x0000_s1609740"/>
                </a:ext>
                <a:ext uri="{FF2B5EF4-FFF2-40B4-BE49-F238E27FC236}">
                  <a16:creationId xmlns:a16="http://schemas.microsoft.com/office/drawing/2014/main" id="{00000000-0008-0000-0F00-00000C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9741" name="Button 13" hidden="1">
              <a:extLst>
                <a:ext uri="{63B3BB69-23CF-44E3-9099-C40C66FF867C}">
                  <a14:compatExt spid="_x0000_s1609741"/>
                </a:ext>
                <a:ext uri="{FF2B5EF4-FFF2-40B4-BE49-F238E27FC236}">
                  <a16:creationId xmlns:a16="http://schemas.microsoft.com/office/drawing/2014/main" id="{00000000-0008-0000-0F00-00000D9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10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10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10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10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10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10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10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10753" name="Button 1" hidden="1">
              <a:extLst>
                <a:ext uri="{63B3BB69-23CF-44E3-9099-C40C66FF867C}">
                  <a14:compatExt spid="_x0000_s1610753"/>
                </a:ext>
                <a:ext uri="{FF2B5EF4-FFF2-40B4-BE49-F238E27FC236}">
                  <a16:creationId xmlns:a16="http://schemas.microsoft.com/office/drawing/2014/main" id="{00000000-0008-0000-1000-000001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10754" name="Button 2" hidden="1">
              <a:extLst>
                <a:ext uri="{63B3BB69-23CF-44E3-9099-C40C66FF867C}">
                  <a14:compatExt spid="_x0000_s1610754"/>
                </a:ext>
                <a:ext uri="{FF2B5EF4-FFF2-40B4-BE49-F238E27FC236}">
                  <a16:creationId xmlns:a16="http://schemas.microsoft.com/office/drawing/2014/main" id="{00000000-0008-0000-1000-000002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10755" name="Button 3" hidden="1">
              <a:extLst>
                <a:ext uri="{63B3BB69-23CF-44E3-9099-C40C66FF867C}">
                  <a14:compatExt spid="_x0000_s1610755"/>
                </a:ext>
                <a:ext uri="{FF2B5EF4-FFF2-40B4-BE49-F238E27FC236}">
                  <a16:creationId xmlns:a16="http://schemas.microsoft.com/office/drawing/2014/main" id="{00000000-0008-0000-1000-000003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10756" name="Button 4" hidden="1">
              <a:extLst>
                <a:ext uri="{63B3BB69-23CF-44E3-9099-C40C66FF867C}">
                  <a14:compatExt spid="_x0000_s1610756"/>
                </a:ext>
                <a:ext uri="{FF2B5EF4-FFF2-40B4-BE49-F238E27FC236}">
                  <a16:creationId xmlns:a16="http://schemas.microsoft.com/office/drawing/2014/main" id="{00000000-0008-0000-1000-000004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10757" name="Button 5" hidden="1">
              <a:extLst>
                <a:ext uri="{63B3BB69-23CF-44E3-9099-C40C66FF867C}">
                  <a14:compatExt spid="_x0000_s1610757"/>
                </a:ext>
                <a:ext uri="{FF2B5EF4-FFF2-40B4-BE49-F238E27FC236}">
                  <a16:creationId xmlns:a16="http://schemas.microsoft.com/office/drawing/2014/main" id="{00000000-0008-0000-1000-000005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10758" name="Button 6" hidden="1">
              <a:extLst>
                <a:ext uri="{63B3BB69-23CF-44E3-9099-C40C66FF867C}">
                  <a14:compatExt spid="_x0000_s1610758"/>
                </a:ext>
                <a:ext uri="{FF2B5EF4-FFF2-40B4-BE49-F238E27FC236}">
                  <a16:creationId xmlns:a16="http://schemas.microsoft.com/office/drawing/2014/main" id="{00000000-0008-0000-1000-000006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10759" name="Button 7" hidden="1">
              <a:extLst>
                <a:ext uri="{63B3BB69-23CF-44E3-9099-C40C66FF867C}">
                  <a14:compatExt spid="_x0000_s1610759"/>
                </a:ext>
                <a:ext uri="{FF2B5EF4-FFF2-40B4-BE49-F238E27FC236}">
                  <a16:creationId xmlns:a16="http://schemas.microsoft.com/office/drawing/2014/main" id="{00000000-0008-0000-1000-000007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10760" name="Button 8" hidden="1">
              <a:extLst>
                <a:ext uri="{63B3BB69-23CF-44E3-9099-C40C66FF867C}">
                  <a14:compatExt spid="_x0000_s1610760"/>
                </a:ext>
                <a:ext uri="{FF2B5EF4-FFF2-40B4-BE49-F238E27FC236}">
                  <a16:creationId xmlns:a16="http://schemas.microsoft.com/office/drawing/2014/main" id="{00000000-0008-0000-1000-000008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10761" name="Button 9" hidden="1">
              <a:extLst>
                <a:ext uri="{63B3BB69-23CF-44E3-9099-C40C66FF867C}">
                  <a14:compatExt spid="_x0000_s1610761"/>
                </a:ext>
                <a:ext uri="{FF2B5EF4-FFF2-40B4-BE49-F238E27FC236}">
                  <a16:creationId xmlns:a16="http://schemas.microsoft.com/office/drawing/2014/main" id="{00000000-0008-0000-1000-000009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10762" name="Button 10" hidden="1">
              <a:extLst>
                <a:ext uri="{63B3BB69-23CF-44E3-9099-C40C66FF867C}">
                  <a14:compatExt spid="_x0000_s1610762"/>
                </a:ext>
                <a:ext uri="{FF2B5EF4-FFF2-40B4-BE49-F238E27FC236}">
                  <a16:creationId xmlns:a16="http://schemas.microsoft.com/office/drawing/2014/main" id="{00000000-0008-0000-1000-00000A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10763" name="Button 11" hidden="1">
              <a:extLst>
                <a:ext uri="{63B3BB69-23CF-44E3-9099-C40C66FF867C}">
                  <a14:compatExt spid="_x0000_s1610763"/>
                </a:ext>
                <a:ext uri="{FF2B5EF4-FFF2-40B4-BE49-F238E27FC236}">
                  <a16:creationId xmlns:a16="http://schemas.microsoft.com/office/drawing/2014/main" id="{00000000-0008-0000-1000-00000B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10764" name="Button 12" hidden="1">
              <a:extLst>
                <a:ext uri="{63B3BB69-23CF-44E3-9099-C40C66FF867C}">
                  <a14:compatExt spid="_x0000_s1610764"/>
                </a:ext>
                <a:ext uri="{FF2B5EF4-FFF2-40B4-BE49-F238E27FC236}">
                  <a16:creationId xmlns:a16="http://schemas.microsoft.com/office/drawing/2014/main" id="{00000000-0008-0000-1000-00000C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10765" name="Button 13" hidden="1">
              <a:extLst>
                <a:ext uri="{63B3BB69-23CF-44E3-9099-C40C66FF867C}">
                  <a14:compatExt spid="_x0000_s1610765"/>
                </a:ext>
                <a:ext uri="{FF2B5EF4-FFF2-40B4-BE49-F238E27FC236}">
                  <a16:creationId xmlns:a16="http://schemas.microsoft.com/office/drawing/2014/main" id="{00000000-0008-0000-1000-00000D9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12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12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12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12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12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12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12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12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12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12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12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12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12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6657" name="Button 1" hidden="1">
              <a:extLst>
                <a:ext uri="{63B3BB69-23CF-44E3-9099-C40C66FF867C}">
                  <a14:compatExt spid="_x0000_s1606657"/>
                </a:ext>
                <a:ext uri="{FF2B5EF4-FFF2-40B4-BE49-F238E27FC236}">
                  <a16:creationId xmlns:a16="http://schemas.microsoft.com/office/drawing/2014/main" id="{00000000-0008-0000-1200-000001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6658" name="Button 2" hidden="1">
              <a:extLst>
                <a:ext uri="{63B3BB69-23CF-44E3-9099-C40C66FF867C}">
                  <a14:compatExt spid="_x0000_s1606658"/>
                </a:ext>
                <a:ext uri="{FF2B5EF4-FFF2-40B4-BE49-F238E27FC236}">
                  <a16:creationId xmlns:a16="http://schemas.microsoft.com/office/drawing/2014/main" id="{00000000-0008-0000-1200-000002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6659" name="Button 3" hidden="1">
              <a:extLst>
                <a:ext uri="{63B3BB69-23CF-44E3-9099-C40C66FF867C}">
                  <a14:compatExt spid="_x0000_s1606659"/>
                </a:ext>
                <a:ext uri="{FF2B5EF4-FFF2-40B4-BE49-F238E27FC236}">
                  <a16:creationId xmlns:a16="http://schemas.microsoft.com/office/drawing/2014/main" id="{00000000-0008-0000-1200-000003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6660" name="Button 4" hidden="1">
              <a:extLst>
                <a:ext uri="{63B3BB69-23CF-44E3-9099-C40C66FF867C}">
                  <a14:compatExt spid="_x0000_s1606660"/>
                </a:ext>
                <a:ext uri="{FF2B5EF4-FFF2-40B4-BE49-F238E27FC236}">
                  <a16:creationId xmlns:a16="http://schemas.microsoft.com/office/drawing/2014/main" id="{00000000-0008-0000-1200-000004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6661" name="Button 5" hidden="1">
              <a:extLst>
                <a:ext uri="{63B3BB69-23CF-44E3-9099-C40C66FF867C}">
                  <a14:compatExt spid="_x0000_s1606661"/>
                </a:ext>
                <a:ext uri="{FF2B5EF4-FFF2-40B4-BE49-F238E27FC236}">
                  <a16:creationId xmlns:a16="http://schemas.microsoft.com/office/drawing/2014/main" id="{00000000-0008-0000-1200-000005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6662" name="Button 6" hidden="1">
              <a:extLst>
                <a:ext uri="{63B3BB69-23CF-44E3-9099-C40C66FF867C}">
                  <a14:compatExt spid="_x0000_s1606662"/>
                </a:ext>
                <a:ext uri="{FF2B5EF4-FFF2-40B4-BE49-F238E27FC236}">
                  <a16:creationId xmlns:a16="http://schemas.microsoft.com/office/drawing/2014/main" id="{00000000-0008-0000-1200-000006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6663" name="Button 7" hidden="1">
              <a:extLst>
                <a:ext uri="{63B3BB69-23CF-44E3-9099-C40C66FF867C}">
                  <a14:compatExt spid="_x0000_s1606663"/>
                </a:ext>
                <a:ext uri="{FF2B5EF4-FFF2-40B4-BE49-F238E27FC236}">
                  <a16:creationId xmlns:a16="http://schemas.microsoft.com/office/drawing/2014/main" id="{00000000-0008-0000-1200-000007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6664" name="Button 8" hidden="1">
              <a:extLst>
                <a:ext uri="{63B3BB69-23CF-44E3-9099-C40C66FF867C}">
                  <a14:compatExt spid="_x0000_s1606664"/>
                </a:ext>
                <a:ext uri="{FF2B5EF4-FFF2-40B4-BE49-F238E27FC236}">
                  <a16:creationId xmlns:a16="http://schemas.microsoft.com/office/drawing/2014/main" id="{00000000-0008-0000-1200-000008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6665" name="Button 9" hidden="1">
              <a:extLst>
                <a:ext uri="{63B3BB69-23CF-44E3-9099-C40C66FF867C}">
                  <a14:compatExt spid="_x0000_s1606665"/>
                </a:ext>
                <a:ext uri="{FF2B5EF4-FFF2-40B4-BE49-F238E27FC236}">
                  <a16:creationId xmlns:a16="http://schemas.microsoft.com/office/drawing/2014/main" id="{00000000-0008-0000-1200-000009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6666" name="Button 10" hidden="1">
              <a:extLst>
                <a:ext uri="{63B3BB69-23CF-44E3-9099-C40C66FF867C}">
                  <a14:compatExt spid="_x0000_s1606666"/>
                </a:ext>
                <a:ext uri="{FF2B5EF4-FFF2-40B4-BE49-F238E27FC236}">
                  <a16:creationId xmlns:a16="http://schemas.microsoft.com/office/drawing/2014/main" id="{00000000-0008-0000-1200-00000A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6667" name="Button 11" hidden="1">
              <a:extLst>
                <a:ext uri="{63B3BB69-23CF-44E3-9099-C40C66FF867C}">
                  <a14:compatExt spid="_x0000_s1606667"/>
                </a:ext>
                <a:ext uri="{FF2B5EF4-FFF2-40B4-BE49-F238E27FC236}">
                  <a16:creationId xmlns:a16="http://schemas.microsoft.com/office/drawing/2014/main" id="{00000000-0008-0000-1200-00000B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6668" name="Button 12" hidden="1">
              <a:extLst>
                <a:ext uri="{63B3BB69-23CF-44E3-9099-C40C66FF867C}">
                  <a14:compatExt spid="_x0000_s1606668"/>
                </a:ext>
                <a:ext uri="{FF2B5EF4-FFF2-40B4-BE49-F238E27FC236}">
                  <a16:creationId xmlns:a16="http://schemas.microsoft.com/office/drawing/2014/main" id="{00000000-0008-0000-1200-00000C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6669" name="Button 13" hidden="1">
              <a:extLst>
                <a:ext uri="{63B3BB69-23CF-44E3-9099-C40C66FF867C}">
                  <a14:compatExt spid="_x0000_s1606669"/>
                </a:ext>
                <a:ext uri="{FF2B5EF4-FFF2-40B4-BE49-F238E27FC236}">
                  <a16:creationId xmlns:a16="http://schemas.microsoft.com/office/drawing/2014/main" id="{00000000-0008-0000-1200-00000D8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13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13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13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13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13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13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13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13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13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13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13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13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13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12801" name="Button 1" hidden="1">
              <a:extLst>
                <a:ext uri="{63B3BB69-23CF-44E3-9099-C40C66FF867C}">
                  <a14:compatExt spid="_x0000_s1612801"/>
                </a:ext>
                <a:ext uri="{FF2B5EF4-FFF2-40B4-BE49-F238E27FC236}">
                  <a16:creationId xmlns:a16="http://schemas.microsoft.com/office/drawing/2014/main" id="{00000000-0008-0000-1300-000001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12802" name="Button 2" hidden="1">
              <a:extLst>
                <a:ext uri="{63B3BB69-23CF-44E3-9099-C40C66FF867C}">
                  <a14:compatExt spid="_x0000_s1612802"/>
                </a:ext>
                <a:ext uri="{FF2B5EF4-FFF2-40B4-BE49-F238E27FC236}">
                  <a16:creationId xmlns:a16="http://schemas.microsoft.com/office/drawing/2014/main" id="{00000000-0008-0000-1300-000002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12803" name="Button 3" hidden="1">
              <a:extLst>
                <a:ext uri="{63B3BB69-23CF-44E3-9099-C40C66FF867C}">
                  <a14:compatExt spid="_x0000_s1612803"/>
                </a:ext>
                <a:ext uri="{FF2B5EF4-FFF2-40B4-BE49-F238E27FC236}">
                  <a16:creationId xmlns:a16="http://schemas.microsoft.com/office/drawing/2014/main" id="{00000000-0008-0000-1300-000003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12804" name="Button 4" hidden="1">
              <a:extLst>
                <a:ext uri="{63B3BB69-23CF-44E3-9099-C40C66FF867C}">
                  <a14:compatExt spid="_x0000_s1612804"/>
                </a:ext>
                <a:ext uri="{FF2B5EF4-FFF2-40B4-BE49-F238E27FC236}">
                  <a16:creationId xmlns:a16="http://schemas.microsoft.com/office/drawing/2014/main" id="{00000000-0008-0000-1300-000004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12805" name="Button 5" hidden="1">
              <a:extLst>
                <a:ext uri="{63B3BB69-23CF-44E3-9099-C40C66FF867C}">
                  <a14:compatExt spid="_x0000_s1612805"/>
                </a:ext>
                <a:ext uri="{FF2B5EF4-FFF2-40B4-BE49-F238E27FC236}">
                  <a16:creationId xmlns:a16="http://schemas.microsoft.com/office/drawing/2014/main" id="{00000000-0008-0000-1300-000005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12806" name="Button 6" hidden="1">
              <a:extLst>
                <a:ext uri="{63B3BB69-23CF-44E3-9099-C40C66FF867C}">
                  <a14:compatExt spid="_x0000_s1612806"/>
                </a:ext>
                <a:ext uri="{FF2B5EF4-FFF2-40B4-BE49-F238E27FC236}">
                  <a16:creationId xmlns:a16="http://schemas.microsoft.com/office/drawing/2014/main" id="{00000000-0008-0000-1300-000006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12807" name="Button 7" hidden="1">
              <a:extLst>
                <a:ext uri="{63B3BB69-23CF-44E3-9099-C40C66FF867C}">
                  <a14:compatExt spid="_x0000_s1612807"/>
                </a:ext>
                <a:ext uri="{FF2B5EF4-FFF2-40B4-BE49-F238E27FC236}">
                  <a16:creationId xmlns:a16="http://schemas.microsoft.com/office/drawing/2014/main" id="{00000000-0008-0000-1300-000007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12808" name="Button 8" hidden="1">
              <a:extLst>
                <a:ext uri="{63B3BB69-23CF-44E3-9099-C40C66FF867C}">
                  <a14:compatExt spid="_x0000_s1612808"/>
                </a:ext>
                <a:ext uri="{FF2B5EF4-FFF2-40B4-BE49-F238E27FC236}">
                  <a16:creationId xmlns:a16="http://schemas.microsoft.com/office/drawing/2014/main" id="{00000000-0008-0000-1300-000008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12809" name="Button 9" hidden="1">
              <a:extLst>
                <a:ext uri="{63B3BB69-23CF-44E3-9099-C40C66FF867C}">
                  <a14:compatExt spid="_x0000_s1612809"/>
                </a:ext>
                <a:ext uri="{FF2B5EF4-FFF2-40B4-BE49-F238E27FC236}">
                  <a16:creationId xmlns:a16="http://schemas.microsoft.com/office/drawing/2014/main" id="{00000000-0008-0000-1300-000009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12810" name="Button 10" hidden="1">
              <a:extLst>
                <a:ext uri="{63B3BB69-23CF-44E3-9099-C40C66FF867C}">
                  <a14:compatExt spid="_x0000_s1612810"/>
                </a:ext>
                <a:ext uri="{FF2B5EF4-FFF2-40B4-BE49-F238E27FC236}">
                  <a16:creationId xmlns:a16="http://schemas.microsoft.com/office/drawing/2014/main" id="{00000000-0008-0000-1300-00000A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12811" name="Button 11" hidden="1">
              <a:extLst>
                <a:ext uri="{63B3BB69-23CF-44E3-9099-C40C66FF867C}">
                  <a14:compatExt spid="_x0000_s1612811"/>
                </a:ext>
                <a:ext uri="{FF2B5EF4-FFF2-40B4-BE49-F238E27FC236}">
                  <a16:creationId xmlns:a16="http://schemas.microsoft.com/office/drawing/2014/main" id="{00000000-0008-0000-1300-00000B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12812" name="Button 12" hidden="1">
              <a:extLst>
                <a:ext uri="{63B3BB69-23CF-44E3-9099-C40C66FF867C}">
                  <a14:compatExt spid="_x0000_s1612812"/>
                </a:ext>
                <a:ext uri="{FF2B5EF4-FFF2-40B4-BE49-F238E27FC236}">
                  <a16:creationId xmlns:a16="http://schemas.microsoft.com/office/drawing/2014/main" id="{00000000-0008-0000-1300-00000C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12813" name="Button 13" hidden="1">
              <a:extLst>
                <a:ext uri="{63B3BB69-23CF-44E3-9099-C40C66FF867C}">
                  <a14:compatExt spid="_x0000_s1612813"/>
                </a:ext>
                <a:ext uri="{FF2B5EF4-FFF2-40B4-BE49-F238E27FC236}">
                  <a16:creationId xmlns:a16="http://schemas.microsoft.com/office/drawing/2014/main" id="{00000000-0008-0000-1300-00000D9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15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15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15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15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15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15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15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15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15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15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15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15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15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15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15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05633" name="Button 1" hidden="1">
              <a:extLst>
                <a:ext uri="{63B3BB69-23CF-44E3-9099-C40C66FF867C}">
                  <a14:compatExt spid="_x0000_s1605633"/>
                </a:ext>
                <a:ext uri="{FF2B5EF4-FFF2-40B4-BE49-F238E27FC236}">
                  <a16:creationId xmlns:a16="http://schemas.microsoft.com/office/drawing/2014/main" id="{00000000-0008-0000-1500-000001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05634" name="Button 2" hidden="1">
              <a:extLst>
                <a:ext uri="{63B3BB69-23CF-44E3-9099-C40C66FF867C}">
                  <a14:compatExt spid="_x0000_s1605634"/>
                </a:ext>
                <a:ext uri="{FF2B5EF4-FFF2-40B4-BE49-F238E27FC236}">
                  <a16:creationId xmlns:a16="http://schemas.microsoft.com/office/drawing/2014/main" id="{00000000-0008-0000-1500-000002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05635" name="Button 3" hidden="1">
              <a:extLst>
                <a:ext uri="{63B3BB69-23CF-44E3-9099-C40C66FF867C}">
                  <a14:compatExt spid="_x0000_s1605635"/>
                </a:ext>
                <a:ext uri="{FF2B5EF4-FFF2-40B4-BE49-F238E27FC236}">
                  <a16:creationId xmlns:a16="http://schemas.microsoft.com/office/drawing/2014/main" id="{00000000-0008-0000-1500-000003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05636" name="Button 4" hidden="1">
              <a:extLst>
                <a:ext uri="{63B3BB69-23CF-44E3-9099-C40C66FF867C}">
                  <a14:compatExt spid="_x0000_s1605636"/>
                </a:ext>
                <a:ext uri="{FF2B5EF4-FFF2-40B4-BE49-F238E27FC236}">
                  <a16:creationId xmlns:a16="http://schemas.microsoft.com/office/drawing/2014/main" id="{00000000-0008-0000-1500-000004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05637" name="Button 5" hidden="1">
              <a:extLst>
                <a:ext uri="{63B3BB69-23CF-44E3-9099-C40C66FF867C}">
                  <a14:compatExt spid="_x0000_s1605637"/>
                </a:ext>
                <a:ext uri="{FF2B5EF4-FFF2-40B4-BE49-F238E27FC236}">
                  <a16:creationId xmlns:a16="http://schemas.microsoft.com/office/drawing/2014/main" id="{00000000-0008-0000-1500-000005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05638" name="Button 6" hidden="1">
              <a:extLst>
                <a:ext uri="{63B3BB69-23CF-44E3-9099-C40C66FF867C}">
                  <a14:compatExt spid="_x0000_s1605638"/>
                </a:ext>
                <a:ext uri="{FF2B5EF4-FFF2-40B4-BE49-F238E27FC236}">
                  <a16:creationId xmlns:a16="http://schemas.microsoft.com/office/drawing/2014/main" id="{00000000-0008-0000-1500-000006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05639" name="Button 7" hidden="1">
              <a:extLst>
                <a:ext uri="{63B3BB69-23CF-44E3-9099-C40C66FF867C}">
                  <a14:compatExt spid="_x0000_s1605639"/>
                </a:ext>
                <a:ext uri="{FF2B5EF4-FFF2-40B4-BE49-F238E27FC236}">
                  <a16:creationId xmlns:a16="http://schemas.microsoft.com/office/drawing/2014/main" id="{00000000-0008-0000-1500-000007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05640" name="Button 8" hidden="1">
              <a:extLst>
                <a:ext uri="{63B3BB69-23CF-44E3-9099-C40C66FF867C}">
                  <a14:compatExt spid="_x0000_s1605640"/>
                </a:ext>
                <a:ext uri="{FF2B5EF4-FFF2-40B4-BE49-F238E27FC236}">
                  <a16:creationId xmlns:a16="http://schemas.microsoft.com/office/drawing/2014/main" id="{00000000-0008-0000-1500-000008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05641" name="Button 9" hidden="1">
              <a:extLst>
                <a:ext uri="{63B3BB69-23CF-44E3-9099-C40C66FF867C}">
                  <a14:compatExt spid="_x0000_s1605641"/>
                </a:ext>
                <a:ext uri="{FF2B5EF4-FFF2-40B4-BE49-F238E27FC236}">
                  <a16:creationId xmlns:a16="http://schemas.microsoft.com/office/drawing/2014/main" id="{00000000-0008-0000-1500-000009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05642" name="Button 10" hidden="1">
              <a:extLst>
                <a:ext uri="{63B3BB69-23CF-44E3-9099-C40C66FF867C}">
                  <a14:compatExt spid="_x0000_s1605642"/>
                </a:ext>
                <a:ext uri="{FF2B5EF4-FFF2-40B4-BE49-F238E27FC236}">
                  <a16:creationId xmlns:a16="http://schemas.microsoft.com/office/drawing/2014/main" id="{00000000-0008-0000-1500-00000A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05643" name="Button 11" hidden="1">
              <a:extLst>
                <a:ext uri="{63B3BB69-23CF-44E3-9099-C40C66FF867C}">
                  <a14:compatExt spid="_x0000_s1605643"/>
                </a:ext>
                <a:ext uri="{FF2B5EF4-FFF2-40B4-BE49-F238E27FC236}">
                  <a16:creationId xmlns:a16="http://schemas.microsoft.com/office/drawing/2014/main" id="{00000000-0008-0000-1500-00000B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05644" name="Button 12" hidden="1">
              <a:extLst>
                <a:ext uri="{63B3BB69-23CF-44E3-9099-C40C66FF867C}">
                  <a14:compatExt spid="_x0000_s1605644"/>
                </a:ext>
                <a:ext uri="{FF2B5EF4-FFF2-40B4-BE49-F238E27FC236}">
                  <a16:creationId xmlns:a16="http://schemas.microsoft.com/office/drawing/2014/main" id="{00000000-0008-0000-1500-00000C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05645" name="Button 13" hidden="1">
              <a:extLst>
                <a:ext uri="{63B3BB69-23CF-44E3-9099-C40C66FF867C}">
                  <a14:compatExt spid="_x0000_s1605645"/>
                </a:ext>
                <a:ext uri="{FF2B5EF4-FFF2-40B4-BE49-F238E27FC236}">
                  <a16:creationId xmlns:a16="http://schemas.microsoft.com/office/drawing/2014/main" id="{00000000-0008-0000-1500-00000D8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stretch>
          <a:fillRect/>
        </a:stretch>
      </xdr:blipFill>
      <xdr:spPr>
        <a:xfrm>
          <a:off x="18459025"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1"/>
        <a:stretch>
          <a:fillRect/>
        </a:stretch>
      </xdr:blipFill>
      <xdr:spPr>
        <a:xfrm>
          <a:off x="18441002"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1"/>
        <a:stretch>
          <a:fillRect/>
        </a:stretch>
      </xdr:blipFill>
      <xdr:spPr>
        <a:xfrm>
          <a:off x="18373218"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1600-000007000000}"/>
            </a:ext>
          </a:extLst>
        </xdr:cNvPr>
        <xdr:cNvPicPr>
          <a:picLocks noChangeAspect="1"/>
        </xdr:cNvPicPr>
      </xdr:nvPicPr>
      <xdr:blipFill>
        <a:blip xmlns:r="http://schemas.openxmlformats.org/officeDocument/2006/relationships" r:embed="rId1"/>
        <a:stretch>
          <a:fillRect/>
        </a:stretch>
      </xdr:blipFill>
      <xdr:spPr>
        <a:xfrm>
          <a:off x="18321894"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1"/>
        <a:stretch>
          <a:fillRect/>
        </a:stretch>
      </xdr:blipFill>
      <xdr:spPr>
        <a:xfrm>
          <a:off x="18440726"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stretch>
          <a:fillRect/>
        </a:stretch>
      </xdr:blipFill>
      <xdr:spPr>
        <a:xfrm>
          <a:off x="18395042"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1600-00000A000000}"/>
            </a:ext>
          </a:extLst>
        </xdr:cNvPr>
        <xdr:cNvPicPr>
          <a:picLocks noChangeAspect="1"/>
        </xdr:cNvPicPr>
      </xdr:nvPicPr>
      <xdr:blipFill>
        <a:blip xmlns:r="http://schemas.openxmlformats.org/officeDocument/2006/relationships" r:embed="rId1"/>
        <a:stretch>
          <a:fillRect/>
        </a:stretch>
      </xdr:blipFill>
      <xdr:spPr>
        <a:xfrm>
          <a:off x="18454042"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1600-00000B000000}"/>
            </a:ext>
          </a:extLst>
        </xdr:cNvPr>
        <xdr:cNvPicPr>
          <a:picLocks noChangeAspect="1"/>
        </xdr:cNvPicPr>
      </xdr:nvPicPr>
      <xdr:blipFill>
        <a:blip xmlns:r="http://schemas.openxmlformats.org/officeDocument/2006/relationships" r:embed="rId1"/>
        <a:stretch>
          <a:fillRect/>
        </a:stretch>
      </xdr:blipFill>
      <xdr:spPr>
        <a:xfrm>
          <a:off x="18406417"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1600-00000C000000}"/>
            </a:ext>
          </a:extLst>
        </xdr:cNvPr>
        <xdr:cNvPicPr>
          <a:picLocks noChangeAspect="1"/>
        </xdr:cNvPicPr>
      </xdr:nvPicPr>
      <xdr:blipFill>
        <a:blip xmlns:r="http://schemas.openxmlformats.org/officeDocument/2006/relationships" r:embed="rId1"/>
        <a:stretch>
          <a:fillRect/>
        </a:stretch>
      </xdr:blipFill>
      <xdr:spPr>
        <a:xfrm>
          <a:off x="18377842"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1"/>
        <a:stretch>
          <a:fillRect/>
        </a:stretch>
      </xdr:blipFill>
      <xdr:spPr>
        <a:xfrm>
          <a:off x="18530242"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1600-00000E000000}"/>
            </a:ext>
          </a:extLst>
        </xdr:cNvPr>
        <xdr:cNvPicPr>
          <a:picLocks noChangeAspect="1"/>
        </xdr:cNvPicPr>
      </xdr:nvPicPr>
      <xdr:blipFill>
        <a:blip xmlns:r="http://schemas.openxmlformats.org/officeDocument/2006/relationships" r:embed="rId1"/>
        <a:stretch>
          <a:fillRect/>
        </a:stretch>
      </xdr:blipFill>
      <xdr:spPr>
        <a:xfrm>
          <a:off x="18206392"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1600-00000F000000}"/>
            </a:ext>
          </a:extLst>
        </xdr:cNvPr>
        <xdr:cNvPicPr>
          <a:picLocks noChangeAspect="1"/>
        </xdr:cNvPicPr>
      </xdr:nvPicPr>
      <xdr:blipFill>
        <a:blip xmlns:r="http://schemas.openxmlformats.org/officeDocument/2006/relationships" r:embed="rId1"/>
        <a:stretch>
          <a:fillRect/>
        </a:stretch>
      </xdr:blipFill>
      <xdr:spPr>
        <a:xfrm>
          <a:off x="18406417"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16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16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16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16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16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16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16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16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16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16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16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16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40449" name="Button 1" hidden="1">
              <a:extLst>
                <a:ext uri="{63B3BB69-23CF-44E3-9099-C40C66FF867C}">
                  <a14:compatExt spid="_x0000_s1640449"/>
                </a:ext>
                <a:ext uri="{FF2B5EF4-FFF2-40B4-BE49-F238E27FC236}">
                  <a16:creationId xmlns:a16="http://schemas.microsoft.com/office/drawing/2014/main" id="{00000000-0008-0000-1600-000001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40450" name="Button 2" hidden="1">
              <a:extLst>
                <a:ext uri="{63B3BB69-23CF-44E3-9099-C40C66FF867C}">
                  <a14:compatExt spid="_x0000_s1640450"/>
                </a:ext>
                <a:ext uri="{FF2B5EF4-FFF2-40B4-BE49-F238E27FC236}">
                  <a16:creationId xmlns:a16="http://schemas.microsoft.com/office/drawing/2014/main" id="{00000000-0008-0000-1600-000002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40451" name="Button 3" hidden="1">
              <a:extLst>
                <a:ext uri="{63B3BB69-23CF-44E3-9099-C40C66FF867C}">
                  <a14:compatExt spid="_x0000_s1640451"/>
                </a:ext>
                <a:ext uri="{FF2B5EF4-FFF2-40B4-BE49-F238E27FC236}">
                  <a16:creationId xmlns:a16="http://schemas.microsoft.com/office/drawing/2014/main" id="{00000000-0008-0000-1600-000003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40452" name="Button 4" hidden="1">
              <a:extLst>
                <a:ext uri="{63B3BB69-23CF-44E3-9099-C40C66FF867C}">
                  <a14:compatExt spid="_x0000_s1640452"/>
                </a:ext>
                <a:ext uri="{FF2B5EF4-FFF2-40B4-BE49-F238E27FC236}">
                  <a16:creationId xmlns:a16="http://schemas.microsoft.com/office/drawing/2014/main" id="{00000000-0008-0000-1600-000004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40453" name="Button 5" hidden="1">
              <a:extLst>
                <a:ext uri="{63B3BB69-23CF-44E3-9099-C40C66FF867C}">
                  <a14:compatExt spid="_x0000_s1640453"/>
                </a:ext>
                <a:ext uri="{FF2B5EF4-FFF2-40B4-BE49-F238E27FC236}">
                  <a16:creationId xmlns:a16="http://schemas.microsoft.com/office/drawing/2014/main" id="{00000000-0008-0000-1600-000005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40454" name="Button 6" hidden="1">
              <a:extLst>
                <a:ext uri="{63B3BB69-23CF-44E3-9099-C40C66FF867C}">
                  <a14:compatExt spid="_x0000_s1640454"/>
                </a:ext>
                <a:ext uri="{FF2B5EF4-FFF2-40B4-BE49-F238E27FC236}">
                  <a16:creationId xmlns:a16="http://schemas.microsoft.com/office/drawing/2014/main" id="{00000000-0008-0000-1600-000006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40455" name="Button 7" hidden="1">
              <a:extLst>
                <a:ext uri="{63B3BB69-23CF-44E3-9099-C40C66FF867C}">
                  <a14:compatExt spid="_x0000_s1640455"/>
                </a:ext>
                <a:ext uri="{FF2B5EF4-FFF2-40B4-BE49-F238E27FC236}">
                  <a16:creationId xmlns:a16="http://schemas.microsoft.com/office/drawing/2014/main" id="{00000000-0008-0000-1600-000007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40456" name="Button 8" hidden="1">
              <a:extLst>
                <a:ext uri="{63B3BB69-23CF-44E3-9099-C40C66FF867C}">
                  <a14:compatExt spid="_x0000_s1640456"/>
                </a:ext>
                <a:ext uri="{FF2B5EF4-FFF2-40B4-BE49-F238E27FC236}">
                  <a16:creationId xmlns:a16="http://schemas.microsoft.com/office/drawing/2014/main" id="{00000000-0008-0000-1600-000008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40457" name="Button 9" hidden="1">
              <a:extLst>
                <a:ext uri="{63B3BB69-23CF-44E3-9099-C40C66FF867C}">
                  <a14:compatExt spid="_x0000_s1640457"/>
                </a:ext>
                <a:ext uri="{FF2B5EF4-FFF2-40B4-BE49-F238E27FC236}">
                  <a16:creationId xmlns:a16="http://schemas.microsoft.com/office/drawing/2014/main" id="{00000000-0008-0000-1600-000009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40458" name="Button 10" hidden="1">
              <a:extLst>
                <a:ext uri="{63B3BB69-23CF-44E3-9099-C40C66FF867C}">
                  <a14:compatExt spid="_x0000_s1640458"/>
                </a:ext>
                <a:ext uri="{FF2B5EF4-FFF2-40B4-BE49-F238E27FC236}">
                  <a16:creationId xmlns:a16="http://schemas.microsoft.com/office/drawing/2014/main" id="{00000000-0008-0000-1600-00000A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40459" name="Button 11" hidden="1">
              <a:extLst>
                <a:ext uri="{63B3BB69-23CF-44E3-9099-C40C66FF867C}">
                  <a14:compatExt spid="_x0000_s1640459"/>
                </a:ext>
                <a:ext uri="{FF2B5EF4-FFF2-40B4-BE49-F238E27FC236}">
                  <a16:creationId xmlns:a16="http://schemas.microsoft.com/office/drawing/2014/main" id="{00000000-0008-0000-1600-00000B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40460" name="Button 12" hidden="1">
              <a:extLst>
                <a:ext uri="{63B3BB69-23CF-44E3-9099-C40C66FF867C}">
                  <a14:compatExt spid="_x0000_s1640460"/>
                </a:ext>
                <a:ext uri="{FF2B5EF4-FFF2-40B4-BE49-F238E27FC236}">
                  <a16:creationId xmlns:a16="http://schemas.microsoft.com/office/drawing/2014/main" id="{00000000-0008-0000-1600-00000C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40461" name="Button 13" hidden="1">
              <a:extLst>
                <a:ext uri="{63B3BB69-23CF-44E3-9099-C40C66FF867C}">
                  <a14:compatExt spid="_x0000_s1640461"/>
                </a:ext>
                <a:ext uri="{FF2B5EF4-FFF2-40B4-BE49-F238E27FC236}">
                  <a16:creationId xmlns:a16="http://schemas.microsoft.com/office/drawing/2014/main" id="{00000000-0008-0000-1600-00000D0819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18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18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18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18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18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18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18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18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18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18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18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18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18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18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18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18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11777" name="Button 1" hidden="1">
              <a:extLst>
                <a:ext uri="{63B3BB69-23CF-44E3-9099-C40C66FF867C}">
                  <a14:compatExt spid="_x0000_s1611777"/>
                </a:ext>
                <a:ext uri="{FF2B5EF4-FFF2-40B4-BE49-F238E27FC236}">
                  <a16:creationId xmlns:a16="http://schemas.microsoft.com/office/drawing/2014/main" id="{00000000-0008-0000-1800-000001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11778" name="Button 2" hidden="1">
              <a:extLst>
                <a:ext uri="{63B3BB69-23CF-44E3-9099-C40C66FF867C}">
                  <a14:compatExt spid="_x0000_s1611778"/>
                </a:ext>
                <a:ext uri="{FF2B5EF4-FFF2-40B4-BE49-F238E27FC236}">
                  <a16:creationId xmlns:a16="http://schemas.microsoft.com/office/drawing/2014/main" id="{00000000-0008-0000-1800-000002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11779" name="Button 3" hidden="1">
              <a:extLst>
                <a:ext uri="{63B3BB69-23CF-44E3-9099-C40C66FF867C}">
                  <a14:compatExt spid="_x0000_s1611779"/>
                </a:ext>
                <a:ext uri="{FF2B5EF4-FFF2-40B4-BE49-F238E27FC236}">
                  <a16:creationId xmlns:a16="http://schemas.microsoft.com/office/drawing/2014/main" id="{00000000-0008-0000-1800-000003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11780" name="Button 4" hidden="1">
              <a:extLst>
                <a:ext uri="{63B3BB69-23CF-44E3-9099-C40C66FF867C}">
                  <a14:compatExt spid="_x0000_s1611780"/>
                </a:ext>
                <a:ext uri="{FF2B5EF4-FFF2-40B4-BE49-F238E27FC236}">
                  <a16:creationId xmlns:a16="http://schemas.microsoft.com/office/drawing/2014/main" id="{00000000-0008-0000-1800-000004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11781" name="Button 5" hidden="1">
              <a:extLst>
                <a:ext uri="{63B3BB69-23CF-44E3-9099-C40C66FF867C}">
                  <a14:compatExt spid="_x0000_s1611781"/>
                </a:ext>
                <a:ext uri="{FF2B5EF4-FFF2-40B4-BE49-F238E27FC236}">
                  <a16:creationId xmlns:a16="http://schemas.microsoft.com/office/drawing/2014/main" id="{00000000-0008-0000-1800-000005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11782" name="Button 6" hidden="1">
              <a:extLst>
                <a:ext uri="{63B3BB69-23CF-44E3-9099-C40C66FF867C}">
                  <a14:compatExt spid="_x0000_s1611782"/>
                </a:ext>
                <a:ext uri="{FF2B5EF4-FFF2-40B4-BE49-F238E27FC236}">
                  <a16:creationId xmlns:a16="http://schemas.microsoft.com/office/drawing/2014/main" id="{00000000-0008-0000-1800-000006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11783" name="Button 7" hidden="1">
              <a:extLst>
                <a:ext uri="{63B3BB69-23CF-44E3-9099-C40C66FF867C}">
                  <a14:compatExt spid="_x0000_s1611783"/>
                </a:ext>
                <a:ext uri="{FF2B5EF4-FFF2-40B4-BE49-F238E27FC236}">
                  <a16:creationId xmlns:a16="http://schemas.microsoft.com/office/drawing/2014/main" id="{00000000-0008-0000-1800-000007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11784" name="Button 8" hidden="1">
              <a:extLst>
                <a:ext uri="{63B3BB69-23CF-44E3-9099-C40C66FF867C}">
                  <a14:compatExt spid="_x0000_s1611784"/>
                </a:ext>
                <a:ext uri="{FF2B5EF4-FFF2-40B4-BE49-F238E27FC236}">
                  <a16:creationId xmlns:a16="http://schemas.microsoft.com/office/drawing/2014/main" id="{00000000-0008-0000-1800-000008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11785" name="Button 9" hidden="1">
              <a:extLst>
                <a:ext uri="{63B3BB69-23CF-44E3-9099-C40C66FF867C}">
                  <a14:compatExt spid="_x0000_s1611785"/>
                </a:ext>
                <a:ext uri="{FF2B5EF4-FFF2-40B4-BE49-F238E27FC236}">
                  <a16:creationId xmlns:a16="http://schemas.microsoft.com/office/drawing/2014/main" id="{00000000-0008-0000-1800-000009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11786" name="Button 10" hidden="1">
              <a:extLst>
                <a:ext uri="{63B3BB69-23CF-44E3-9099-C40C66FF867C}">
                  <a14:compatExt spid="_x0000_s1611786"/>
                </a:ext>
                <a:ext uri="{FF2B5EF4-FFF2-40B4-BE49-F238E27FC236}">
                  <a16:creationId xmlns:a16="http://schemas.microsoft.com/office/drawing/2014/main" id="{00000000-0008-0000-1800-00000A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11787" name="Button 11" hidden="1">
              <a:extLst>
                <a:ext uri="{63B3BB69-23CF-44E3-9099-C40C66FF867C}">
                  <a14:compatExt spid="_x0000_s1611787"/>
                </a:ext>
                <a:ext uri="{FF2B5EF4-FFF2-40B4-BE49-F238E27FC236}">
                  <a16:creationId xmlns:a16="http://schemas.microsoft.com/office/drawing/2014/main" id="{00000000-0008-0000-1800-00000B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11788" name="Button 12" hidden="1">
              <a:extLst>
                <a:ext uri="{63B3BB69-23CF-44E3-9099-C40C66FF867C}">
                  <a14:compatExt spid="_x0000_s1611788"/>
                </a:ext>
                <a:ext uri="{FF2B5EF4-FFF2-40B4-BE49-F238E27FC236}">
                  <a16:creationId xmlns:a16="http://schemas.microsoft.com/office/drawing/2014/main" id="{00000000-0008-0000-1800-00000C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11789" name="Button 13" hidden="1">
              <a:extLst>
                <a:ext uri="{63B3BB69-23CF-44E3-9099-C40C66FF867C}">
                  <a14:compatExt spid="_x0000_s1611789"/>
                </a:ext>
                <a:ext uri="{FF2B5EF4-FFF2-40B4-BE49-F238E27FC236}">
                  <a16:creationId xmlns:a16="http://schemas.microsoft.com/office/drawing/2014/main" id="{00000000-0008-0000-1800-00000D9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22</xdr:col>
      <xdr:colOff>863620</xdr:colOff>
      <xdr:row>15</xdr:row>
      <xdr:rowOff>105169</xdr:rowOff>
    </xdr:from>
    <xdr:to>
      <xdr:col>23</xdr:col>
      <xdr:colOff>761125</xdr:colOff>
      <xdr:row>16</xdr:row>
      <xdr:rowOff>51826</xdr:rowOff>
    </xdr:to>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stretch>
          <a:fillRect/>
        </a:stretch>
      </xdr:blipFill>
      <xdr:spPr>
        <a:xfrm>
          <a:off x="17446645" y="3391294"/>
          <a:ext cx="878580" cy="308607"/>
        </a:xfrm>
        <a:prstGeom prst="rect">
          <a:avLst/>
        </a:prstGeom>
        <a:ln>
          <a:prstDash val="soli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22</xdr:col>
      <xdr:colOff>863620</xdr:colOff>
      <xdr:row>0</xdr:row>
      <xdr:rowOff>0</xdr:rowOff>
    </xdr:from>
    <xdr:to>
      <xdr:col>23</xdr:col>
      <xdr:colOff>589675</xdr:colOff>
      <xdr:row>1</xdr:row>
      <xdr:rowOff>118107</xdr:rowOff>
    </xdr:to>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stretch>
          <a:fillRect/>
        </a:stretch>
      </xdr:blipFill>
      <xdr:spPr>
        <a:xfrm>
          <a:off x="17446645" y="3391294"/>
          <a:ext cx="878580" cy="308607"/>
        </a:xfrm>
        <a:prstGeom prst="rect">
          <a:avLst/>
        </a:prstGeom>
        <a:ln>
          <a:prstDash val="soli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21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21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21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21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21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21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21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21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21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21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21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21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21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21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21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21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21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21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21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21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21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14849" name="Button 1" hidden="1">
              <a:extLst>
                <a:ext uri="{63B3BB69-23CF-44E3-9099-C40C66FF867C}">
                  <a14:compatExt spid="_x0000_s1614849"/>
                </a:ext>
                <a:ext uri="{FF2B5EF4-FFF2-40B4-BE49-F238E27FC236}">
                  <a16:creationId xmlns:a16="http://schemas.microsoft.com/office/drawing/2014/main" id="{00000000-0008-0000-2100-000001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14850" name="Button 2" hidden="1">
              <a:extLst>
                <a:ext uri="{63B3BB69-23CF-44E3-9099-C40C66FF867C}">
                  <a14:compatExt spid="_x0000_s1614850"/>
                </a:ext>
                <a:ext uri="{FF2B5EF4-FFF2-40B4-BE49-F238E27FC236}">
                  <a16:creationId xmlns:a16="http://schemas.microsoft.com/office/drawing/2014/main" id="{00000000-0008-0000-2100-000002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14851" name="Button 3" hidden="1">
              <a:extLst>
                <a:ext uri="{63B3BB69-23CF-44E3-9099-C40C66FF867C}">
                  <a14:compatExt spid="_x0000_s1614851"/>
                </a:ext>
                <a:ext uri="{FF2B5EF4-FFF2-40B4-BE49-F238E27FC236}">
                  <a16:creationId xmlns:a16="http://schemas.microsoft.com/office/drawing/2014/main" id="{00000000-0008-0000-2100-000003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14852" name="Button 4" hidden="1">
              <a:extLst>
                <a:ext uri="{63B3BB69-23CF-44E3-9099-C40C66FF867C}">
                  <a14:compatExt spid="_x0000_s1614852"/>
                </a:ext>
                <a:ext uri="{FF2B5EF4-FFF2-40B4-BE49-F238E27FC236}">
                  <a16:creationId xmlns:a16="http://schemas.microsoft.com/office/drawing/2014/main" id="{00000000-0008-0000-2100-000004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14853" name="Button 5" hidden="1">
              <a:extLst>
                <a:ext uri="{63B3BB69-23CF-44E3-9099-C40C66FF867C}">
                  <a14:compatExt spid="_x0000_s1614853"/>
                </a:ext>
                <a:ext uri="{FF2B5EF4-FFF2-40B4-BE49-F238E27FC236}">
                  <a16:creationId xmlns:a16="http://schemas.microsoft.com/office/drawing/2014/main" id="{00000000-0008-0000-2100-000005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14854" name="Button 6" hidden="1">
              <a:extLst>
                <a:ext uri="{63B3BB69-23CF-44E3-9099-C40C66FF867C}">
                  <a14:compatExt spid="_x0000_s1614854"/>
                </a:ext>
                <a:ext uri="{FF2B5EF4-FFF2-40B4-BE49-F238E27FC236}">
                  <a16:creationId xmlns:a16="http://schemas.microsoft.com/office/drawing/2014/main" id="{00000000-0008-0000-2100-000006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14855" name="Button 7" hidden="1">
              <a:extLst>
                <a:ext uri="{63B3BB69-23CF-44E3-9099-C40C66FF867C}">
                  <a14:compatExt spid="_x0000_s1614855"/>
                </a:ext>
                <a:ext uri="{FF2B5EF4-FFF2-40B4-BE49-F238E27FC236}">
                  <a16:creationId xmlns:a16="http://schemas.microsoft.com/office/drawing/2014/main" id="{00000000-0008-0000-2100-000007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14856" name="Button 8" hidden="1">
              <a:extLst>
                <a:ext uri="{63B3BB69-23CF-44E3-9099-C40C66FF867C}">
                  <a14:compatExt spid="_x0000_s1614856"/>
                </a:ext>
                <a:ext uri="{FF2B5EF4-FFF2-40B4-BE49-F238E27FC236}">
                  <a16:creationId xmlns:a16="http://schemas.microsoft.com/office/drawing/2014/main" id="{00000000-0008-0000-2100-000008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14857" name="Button 9" hidden="1">
              <a:extLst>
                <a:ext uri="{63B3BB69-23CF-44E3-9099-C40C66FF867C}">
                  <a14:compatExt spid="_x0000_s1614857"/>
                </a:ext>
                <a:ext uri="{FF2B5EF4-FFF2-40B4-BE49-F238E27FC236}">
                  <a16:creationId xmlns:a16="http://schemas.microsoft.com/office/drawing/2014/main" id="{00000000-0008-0000-2100-000009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14858" name="Button 10" hidden="1">
              <a:extLst>
                <a:ext uri="{63B3BB69-23CF-44E3-9099-C40C66FF867C}">
                  <a14:compatExt spid="_x0000_s1614858"/>
                </a:ext>
                <a:ext uri="{FF2B5EF4-FFF2-40B4-BE49-F238E27FC236}">
                  <a16:creationId xmlns:a16="http://schemas.microsoft.com/office/drawing/2014/main" id="{00000000-0008-0000-2100-00000A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14859" name="Button 11" hidden="1">
              <a:extLst>
                <a:ext uri="{63B3BB69-23CF-44E3-9099-C40C66FF867C}">
                  <a14:compatExt spid="_x0000_s1614859"/>
                </a:ext>
                <a:ext uri="{FF2B5EF4-FFF2-40B4-BE49-F238E27FC236}">
                  <a16:creationId xmlns:a16="http://schemas.microsoft.com/office/drawing/2014/main" id="{00000000-0008-0000-2100-00000B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14860" name="Button 12" hidden="1">
              <a:extLst>
                <a:ext uri="{63B3BB69-23CF-44E3-9099-C40C66FF867C}">
                  <a14:compatExt spid="_x0000_s1614860"/>
                </a:ext>
                <a:ext uri="{FF2B5EF4-FFF2-40B4-BE49-F238E27FC236}">
                  <a16:creationId xmlns:a16="http://schemas.microsoft.com/office/drawing/2014/main" id="{00000000-0008-0000-2100-00000C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14861" name="Button 13" hidden="1">
              <a:extLst>
                <a:ext uri="{63B3BB69-23CF-44E3-9099-C40C66FF867C}">
                  <a14:compatExt spid="_x0000_s1614861"/>
                </a:ext>
                <a:ext uri="{FF2B5EF4-FFF2-40B4-BE49-F238E27FC236}">
                  <a16:creationId xmlns:a16="http://schemas.microsoft.com/office/drawing/2014/main" id="{00000000-0008-0000-2100-00000DA4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22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22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22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22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22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22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22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22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22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22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22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22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22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22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22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22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22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22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22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22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22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15873" name="Button 1" hidden="1">
              <a:extLst>
                <a:ext uri="{63B3BB69-23CF-44E3-9099-C40C66FF867C}">
                  <a14:compatExt spid="_x0000_s1615873"/>
                </a:ext>
                <a:ext uri="{FF2B5EF4-FFF2-40B4-BE49-F238E27FC236}">
                  <a16:creationId xmlns:a16="http://schemas.microsoft.com/office/drawing/2014/main" id="{00000000-0008-0000-2200-000001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15874" name="Button 2" hidden="1">
              <a:extLst>
                <a:ext uri="{63B3BB69-23CF-44E3-9099-C40C66FF867C}">
                  <a14:compatExt spid="_x0000_s1615874"/>
                </a:ext>
                <a:ext uri="{FF2B5EF4-FFF2-40B4-BE49-F238E27FC236}">
                  <a16:creationId xmlns:a16="http://schemas.microsoft.com/office/drawing/2014/main" id="{00000000-0008-0000-2200-000002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15875" name="Button 3" hidden="1">
              <a:extLst>
                <a:ext uri="{63B3BB69-23CF-44E3-9099-C40C66FF867C}">
                  <a14:compatExt spid="_x0000_s1615875"/>
                </a:ext>
                <a:ext uri="{FF2B5EF4-FFF2-40B4-BE49-F238E27FC236}">
                  <a16:creationId xmlns:a16="http://schemas.microsoft.com/office/drawing/2014/main" id="{00000000-0008-0000-2200-000003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15876" name="Button 4" hidden="1">
              <a:extLst>
                <a:ext uri="{63B3BB69-23CF-44E3-9099-C40C66FF867C}">
                  <a14:compatExt spid="_x0000_s1615876"/>
                </a:ext>
                <a:ext uri="{FF2B5EF4-FFF2-40B4-BE49-F238E27FC236}">
                  <a16:creationId xmlns:a16="http://schemas.microsoft.com/office/drawing/2014/main" id="{00000000-0008-0000-2200-000004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15877" name="Button 5" hidden="1">
              <a:extLst>
                <a:ext uri="{63B3BB69-23CF-44E3-9099-C40C66FF867C}">
                  <a14:compatExt spid="_x0000_s1615877"/>
                </a:ext>
                <a:ext uri="{FF2B5EF4-FFF2-40B4-BE49-F238E27FC236}">
                  <a16:creationId xmlns:a16="http://schemas.microsoft.com/office/drawing/2014/main" id="{00000000-0008-0000-2200-000005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15878" name="Button 6" hidden="1">
              <a:extLst>
                <a:ext uri="{63B3BB69-23CF-44E3-9099-C40C66FF867C}">
                  <a14:compatExt spid="_x0000_s1615878"/>
                </a:ext>
                <a:ext uri="{FF2B5EF4-FFF2-40B4-BE49-F238E27FC236}">
                  <a16:creationId xmlns:a16="http://schemas.microsoft.com/office/drawing/2014/main" id="{00000000-0008-0000-2200-000006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15879" name="Button 7" hidden="1">
              <a:extLst>
                <a:ext uri="{63B3BB69-23CF-44E3-9099-C40C66FF867C}">
                  <a14:compatExt spid="_x0000_s1615879"/>
                </a:ext>
                <a:ext uri="{FF2B5EF4-FFF2-40B4-BE49-F238E27FC236}">
                  <a16:creationId xmlns:a16="http://schemas.microsoft.com/office/drawing/2014/main" id="{00000000-0008-0000-2200-000007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15880" name="Button 8" hidden="1">
              <a:extLst>
                <a:ext uri="{63B3BB69-23CF-44E3-9099-C40C66FF867C}">
                  <a14:compatExt spid="_x0000_s1615880"/>
                </a:ext>
                <a:ext uri="{FF2B5EF4-FFF2-40B4-BE49-F238E27FC236}">
                  <a16:creationId xmlns:a16="http://schemas.microsoft.com/office/drawing/2014/main" id="{00000000-0008-0000-2200-000008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15881" name="Button 9" hidden="1">
              <a:extLst>
                <a:ext uri="{63B3BB69-23CF-44E3-9099-C40C66FF867C}">
                  <a14:compatExt spid="_x0000_s1615881"/>
                </a:ext>
                <a:ext uri="{FF2B5EF4-FFF2-40B4-BE49-F238E27FC236}">
                  <a16:creationId xmlns:a16="http://schemas.microsoft.com/office/drawing/2014/main" id="{00000000-0008-0000-2200-000009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15882" name="Button 10" hidden="1">
              <a:extLst>
                <a:ext uri="{63B3BB69-23CF-44E3-9099-C40C66FF867C}">
                  <a14:compatExt spid="_x0000_s1615882"/>
                </a:ext>
                <a:ext uri="{FF2B5EF4-FFF2-40B4-BE49-F238E27FC236}">
                  <a16:creationId xmlns:a16="http://schemas.microsoft.com/office/drawing/2014/main" id="{00000000-0008-0000-2200-00000A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15883" name="Button 11" hidden="1">
              <a:extLst>
                <a:ext uri="{63B3BB69-23CF-44E3-9099-C40C66FF867C}">
                  <a14:compatExt spid="_x0000_s1615883"/>
                </a:ext>
                <a:ext uri="{FF2B5EF4-FFF2-40B4-BE49-F238E27FC236}">
                  <a16:creationId xmlns:a16="http://schemas.microsoft.com/office/drawing/2014/main" id="{00000000-0008-0000-2200-00000B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15884" name="Button 12" hidden="1">
              <a:extLst>
                <a:ext uri="{63B3BB69-23CF-44E3-9099-C40C66FF867C}">
                  <a14:compatExt spid="_x0000_s1615884"/>
                </a:ext>
                <a:ext uri="{FF2B5EF4-FFF2-40B4-BE49-F238E27FC236}">
                  <a16:creationId xmlns:a16="http://schemas.microsoft.com/office/drawing/2014/main" id="{00000000-0008-0000-2200-00000C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15885" name="Button 13" hidden="1">
              <a:extLst>
                <a:ext uri="{63B3BB69-23CF-44E3-9099-C40C66FF867C}">
                  <a14:compatExt spid="_x0000_s1615885"/>
                </a:ext>
                <a:ext uri="{FF2B5EF4-FFF2-40B4-BE49-F238E27FC236}">
                  <a16:creationId xmlns:a16="http://schemas.microsoft.com/office/drawing/2014/main" id="{00000000-0008-0000-2200-00000DA8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23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23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23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23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23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23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23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23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23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16897" name="Button 1" hidden="1">
              <a:extLst>
                <a:ext uri="{63B3BB69-23CF-44E3-9099-C40C66FF867C}">
                  <a14:compatExt spid="_x0000_s1616897"/>
                </a:ext>
                <a:ext uri="{FF2B5EF4-FFF2-40B4-BE49-F238E27FC236}">
                  <a16:creationId xmlns:a16="http://schemas.microsoft.com/office/drawing/2014/main" id="{00000000-0008-0000-2300-000001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16898" name="Button 2" hidden="1">
              <a:extLst>
                <a:ext uri="{63B3BB69-23CF-44E3-9099-C40C66FF867C}">
                  <a14:compatExt spid="_x0000_s1616898"/>
                </a:ext>
                <a:ext uri="{FF2B5EF4-FFF2-40B4-BE49-F238E27FC236}">
                  <a16:creationId xmlns:a16="http://schemas.microsoft.com/office/drawing/2014/main" id="{00000000-0008-0000-2300-000002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16899" name="Button 3" hidden="1">
              <a:extLst>
                <a:ext uri="{63B3BB69-23CF-44E3-9099-C40C66FF867C}">
                  <a14:compatExt spid="_x0000_s1616899"/>
                </a:ext>
                <a:ext uri="{FF2B5EF4-FFF2-40B4-BE49-F238E27FC236}">
                  <a16:creationId xmlns:a16="http://schemas.microsoft.com/office/drawing/2014/main" id="{00000000-0008-0000-2300-000003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16900" name="Button 4" hidden="1">
              <a:extLst>
                <a:ext uri="{63B3BB69-23CF-44E3-9099-C40C66FF867C}">
                  <a14:compatExt spid="_x0000_s1616900"/>
                </a:ext>
                <a:ext uri="{FF2B5EF4-FFF2-40B4-BE49-F238E27FC236}">
                  <a16:creationId xmlns:a16="http://schemas.microsoft.com/office/drawing/2014/main" id="{00000000-0008-0000-2300-000004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16901" name="Button 5" hidden="1">
              <a:extLst>
                <a:ext uri="{63B3BB69-23CF-44E3-9099-C40C66FF867C}">
                  <a14:compatExt spid="_x0000_s1616901"/>
                </a:ext>
                <a:ext uri="{FF2B5EF4-FFF2-40B4-BE49-F238E27FC236}">
                  <a16:creationId xmlns:a16="http://schemas.microsoft.com/office/drawing/2014/main" id="{00000000-0008-0000-2300-000005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16902" name="Button 6" hidden="1">
              <a:extLst>
                <a:ext uri="{63B3BB69-23CF-44E3-9099-C40C66FF867C}">
                  <a14:compatExt spid="_x0000_s1616902"/>
                </a:ext>
                <a:ext uri="{FF2B5EF4-FFF2-40B4-BE49-F238E27FC236}">
                  <a16:creationId xmlns:a16="http://schemas.microsoft.com/office/drawing/2014/main" id="{00000000-0008-0000-2300-000006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16903" name="Button 7" hidden="1">
              <a:extLst>
                <a:ext uri="{63B3BB69-23CF-44E3-9099-C40C66FF867C}">
                  <a14:compatExt spid="_x0000_s1616903"/>
                </a:ext>
                <a:ext uri="{FF2B5EF4-FFF2-40B4-BE49-F238E27FC236}">
                  <a16:creationId xmlns:a16="http://schemas.microsoft.com/office/drawing/2014/main" id="{00000000-0008-0000-2300-000007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16904" name="Button 8" hidden="1">
              <a:extLst>
                <a:ext uri="{63B3BB69-23CF-44E3-9099-C40C66FF867C}">
                  <a14:compatExt spid="_x0000_s1616904"/>
                </a:ext>
                <a:ext uri="{FF2B5EF4-FFF2-40B4-BE49-F238E27FC236}">
                  <a16:creationId xmlns:a16="http://schemas.microsoft.com/office/drawing/2014/main" id="{00000000-0008-0000-2300-000008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16905" name="Button 9" hidden="1">
              <a:extLst>
                <a:ext uri="{63B3BB69-23CF-44E3-9099-C40C66FF867C}">
                  <a14:compatExt spid="_x0000_s1616905"/>
                </a:ext>
                <a:ext uri="{FF2B5EF4-FFF2-40B4-BE49-F238E27FC236}">
                  <a16:creationId xmlns:a16="http://schemas.microsoft.com/office/drawing/2014/main" id="{00000000-0008-0000-2300-000009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16906" name="Button 10" hidden="1">
              <a:extLst>
                <a:ext uri="{63B3BB69-23CF-44E3-9099-C40C66FF867C}">
                  <a14:compatExt spid="_x0000_s1616906"/>
                </a:ext>
                <a:ext uri="{FF2B5EF4-FFF2-40B4-BE49-F238E27FC236}">
                  <a16:creationId xmlns:a16="http://schemas.microsoft.com/office/drawing/2014/main" id="{00000000-0008-0000-2300-00000A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16907" name="Button 11" hidden="1">
              <a:extLst>
                <a:ext uri="{63B3BB69-23CF-44E3-9099-C40C66FF867C}">
                  <a14:compatExt spid="_x0000_s1616907"/>
                </a:ext>
                <a:ext uri="{FF2B5EF4-FFF2-40B4-BE49-F238E27FC236}">
                  <a16:creationId xmlns:a16="http://schemas.microsoft.com/office/drawing/2014/main" id="{00000000-0008-0000-2300-00000B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16908" name="Button 12" hidden="1">
              <a:extLst>
                <a:ext uri="{63B3BB69-23CF-44E3-9099-C40C66FF867C}">
                  <a14:compatExt spid="_x0000_s1616908"/>
                </a:ext>
                <a:ext uri="{FF2B5EF4-FFF2-40B4-BE49-F238E27FC236}">
                  <a16:creationId xmlns:a16="http://schemas.microsoft.com/office/drawing/2014/main" id="{00000000-0008-0000-2300-00000C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16909" name="Button 13" hidden="1">
              <a:extLst>
                <a:ext uri="{63B3BB69-23CF-44E3-9099-C40C66FF867C}">
                  <a14:compatExt spid="_x0000_s1616909"/>
                </a:ext>
                <a:ext uri="{FF2B5EF4-FFF2-40B4-BE49-F238E27FC236}">
                  <a16:creationId xmlns:a16="http://schemas.microsoft.com/office/drawing/2014/main" id="{00000000-0008-0000-2300-00000DAC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a:stretch>
          <a:fillRect/>
        </a:stretch>
      </xdr:blipFill>
      <xdr:spPr>
        <a:xfrm>
          <a:off x="17935150"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2500-000004000000}"/>
            </a:ext>
          </a:extLst>
        </xdr:cNvPr>
        <xdr:cNvPicPr>
          <a:picLocks noChangeAspect="1"/>
        </xdr:cNvPicPr>
      </xdr:nvPicPr>
      <xdr:blipFill>
        <a:blip xmlns:r="http://schemas.openxmlformats.org/officeDocument/2006/relationships" r:embed="rId2"/>
        <a:stretch>
          <a:fillRect/>
        </a:stretch>
      </xdr:blipFill>
      <xdr:spPr>
        <a:xfrm rot="16200000">
          <a:off x="9718090"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stretch>
          <a:fillRect/>
        </a:stretch>
      </xdr:blipFill>
      <xdr:spPr>
        <a:xfrm>
          <a:off x="17917127"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2500-000006000000}"/>
            </a:ext>
          </a:extLst>
        </xdr:cNvPr>
        <xdr:cNvPicPr>
          <a:picLocks noChangeAspect="1"/>
        </xdr:cNvPicPr>
      </xdr:nvPicPr>
      <xdr:blipFill>
        <a:blip xmlns:r="http://schemas.openxmlformats.org/officeDocument/2006/relationships" r:embed="rId1"/>
        <a:stretch>
          <a:fillRect/>
        </a:stretch>
      </xdr:blipFill>
      <xdr:spPr>
        <a:xfrm>
          <a:off x="17849343"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2500-000007000000}"/>
            </a:ext>
          </a:extLst>
        </xdr:cNvPr>
        <xdr:cNvPicPr>
          <a:picLocks noChangeAspect="1"/>
        </xdr:cNvPicPr>
      </xdr:nvPicPr>
      <xdr:blipFill>
        <a:blip xmlns:r="http://schemas.openxmlformats.org/officeDocument/2006/relationships" r:embed="rId1"/>
        <a:stretch>
          <a:fillRect/>
        </a:stretch>
      </xdr:blipFill>
      <xdr:spPr>
        <a:xfrm>
          <a:off x="17798019"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2500-000008000000}"/>
            </a:ext>
          </a:extLst>
        </xdr:cNvPr>
        <xdr:cNvPicPr>
          <a:picLocks noChangeAspect="1"/>
        </xdr:cNvPicPr>
      </xdr:nvPicPr>
      <xdr:blipFill>
        <a:blip xmlns:r="http://schemas.openxmlformats.org/officeDocument/2006/relationships" r:embed="rId1"/>
        <a:stretch>
          <a:fillRect/>
        </a:stretch>
      </xdr:blipFill>
      <xdr:spPr>
        <a:xfrm>
          <a:off x="17916851"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2500-000009000000}"/>
            </a:ext>
          </a:extLst>
        </xdr:cNvPr>
        <xdr:cNvPicPr>
          <a:picLocks noChangeAspect="1"/>
        </xdr:cNvPicPr>
      </xdr:nvPicPr>
      <xdr:blipFill>
        <a:blip xmlns:r="http://schemas.openxmlformats.org/officeDocument/2006/relationships" r:embed="rId1"/>
        <a:stretch>
          <a:fillRect/>
        </a:stretch>
      </xdr:blipFill>
      <xdr:spPr>
        <a:xfrm>
          <a:off x="17871167"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2500-00000A000000}"/>
            </a:ext>
          </a:extLst>
        </xdr:cNvPr>
        <xdr:cNvPicPr>
          <a:picLocks noChangeAspect="1"/>
        </xdr:cNvPicPr>
      </xdr:nvPicPr>
      <xdr:blipFill>
        <a:blip xmlns:r="http://schemas.openxmlformats.org/officeDocument/2006/relationships" r:embed="rId1"/>
        <a:stretch>
          <a:fillRect/>
        </a:stretch>
      </xdr:blipFill>
      <xdr:spPr>
        <a:xfrm>
          <a:off x="17930167"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2500-00000B000000}"/>
            </a:ext>
          </a:extLst>
        </xdr:cNvPr>
        <xdr:cNvPicPr>
          <a:picLocks noChangeAspect="1"/>
        </xdr:cNvPicPr>
      </xdr:nvPicPr>
      <xdr:blipFill>
        <a:blip xmlns:r="http://schemas.openxmlformats.org/officeDocument/2006/relationships" r:embed="rId1"/>
        <a:stretch>
          <a:fillRect/>
        </a:stretch>
      </xdr:blipFill>
      <xdr:spPr>
        <a:xfrm>
          <a:off x="17882542"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2500-00000C000000}"/>
            </a:ext>
          </a:extLst>
        </xdr:cNvPr>
        <xdr:cNvPicPr>
          <a:picLocks noChangeAspect="1"/>
        </xdr:cNvPicPr>
      </xdr:nvPicPr>
      <xdr:blipFill>
        <a:blip xmlns:r="http://schemas.openxmlformats.org/officeDocument/2006/relationships" r:embed="rId1"/>
        <a:stretch>
          <a:fillRect/>
        </a:stretch>
      </xdr:blipFill>
      <xdr:spPr>
        <a:xfrm>
          <a:off x="17853967"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2500-00000D000000}"/>
            </a:ext>
          </a:extLst>
        </xdr:cNvPr>
        <xdr:cNvPicPr>
          <a:picLocks noChangeAspect="1"/>
        </xdr:cNvPicPr>
      </xdr:nvPicPr>
      <xdr:blipFill>
        <a:blip xmlns:r="http://schemas.openxmlformats.org/officeDocument/2006/relationships" r:embed="rId1"/>
        <a:stretch>
          <a:fillRect/>
        </a:stretch>
      </xdr:blipFill>
      <xdr:spPr>
        <a:xfrm>
          <a:off x="18006367"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2500-00000E000000}"/>
            </a:ext>
          </a:extLst>
        </xdr:cNvPr>
        <xdr:cNvPicPr>
          <a:picLocks noChangeAspect="1"/>
        </xdr:cNvPicPr>
      </xdr:nvPicPr>
      <xdr:blipFill>
        <a:blip xmlns:r="http://schemas.openxmlformats.org/officeDocument/2006/relationships" r:embed="rId1"/>
        <a:stretch>
          <a:fillRect/>
        </a:stretch>
      </xdr:blipFill>
      <xdr:spPr>
        <a:xfrm>
          <a:off x="17682517"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2500-00000F000000}"/>
            </a:ext>
          </a:extLst>
        </xdr:cNvPr>
        <xdr:cNvPicPr>
          <a:picLocks noChangeAspect="1"/>
        </xdr:cNvPicPr>
      </xdr:nvPicPr>
      <xdr:blipFill>
        <a:blip xmlns:r="http://schemas.openxmlformats.org/officeDocument/2006/relationships" r:embed="rId1"/>
        <a:stretch>
          <a:fillRect/>
        </a:stretch>
      </xdr:blipFill>
      <xdr:spPr>
        <a:xfrm>
          <a:off x="17882542"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2500-000010000000}"/>
            </a:ext>
          </a:extLst>
        </xdr:cNvPr>
        <xdr:cNvPicPr>
          <a:picLocks noChangeAspect="1"/>
        </xdr:cNvPicPr>
      </xdr:nvPicPr>
      <xdr:blipFill>
        <a:blip xmlns:r="http://schemas.openxmlformats.org/officeDocument/2006/relationships" r:embed="rId2"/>
        <a:stretch>
          <a:fillRect/>
        </a:stretch>
      </xdr:blipFill>
      <xdr:spPr>
        <a:xfrm rot="16200000">
          <a:off x="9636387"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2500-000011000000}"/>
            </a:ext>
          </a:extLst>
        </xdr:cNvPr>
        <xdr:cNvPicPr>
          <a:picLocks noChangeAspect="1"/>
        </xdr:cNvPicPr>
      </xdr:nvPicPr>
      <xdr:blipFill>
        <a:blip xmlns:r="http://schemas.openxmlformats.org/officeDocument/2006/relationships" r:embed="rId2"/>
        <a:stretch>
          <a:fillRect/>
        </a:stretch>
      </xdr:blipFill>
      <xdr:spPr>
        <a:xfrm rot="16200000">
          <a:off x="9626862"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2500-000012000000}"/>
            </a:ext>
          </a:extLst>
        </xdr:cNvPr>
        <xdr:cNvPicPr>
          <a:picLocks noChangeAspect="1"/>
        </xdr:cNvPicPr>
      </xdr:nvPicPr>
      <xdr:blipFill>
        <a:blip xmlns:r="http://schemas.openxmlformats.org/officeDocument/2006/relationships" r:embed="rId2"/>
        <a:stretch>
          <a:fillRect/>
        </a:stretch>
      </xdr:blipFill>
      <xdr:spPr>
        <a:xfrm rot="16200000">
          <a:off x="9626862"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2500-000013000000}"/>
            </a:ext>
          </a:extLst>
        </xdr:cNvPr>
        <xdr:cNvPicPr>
          <a:picLocks noChangeAspect="1"/>
        </xdr:cNvPicPr>
      </xdr:nvPicPr>
      <xdr:blipFill>
        <a:blip xmlns:r="http://schemas.openxmlformats.org/officeDocument/2006/relationships" r:embed="rId2"/>
        <a:stretch>
          <a:fillRect/>
        </a:stretch>
      </xdr:blipFill>
      <xdr:spPr>
        <a:xfrm rot="16200000">
          <a:off x="9645912"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2500-000014000000}"/>
            </a:ext>
          </a:extLst>
        </xdr:cNvPr>
        <xdr:cNvPicPr>
          <a:picLocks noChangeAspect="1"/>
        </xdr:cNvPicPr>
      </xdr:nvPicPr>
      <xdr:blipFill>
        <a:blip xmlns:r="http://schemas.openxmlformats.org/officeDocument/2006/relationships" r:embed="rId2"/>
        <a:stretch>
          <a:fillRect/>
        </a:stretch>
      </xdr:blipFill>
      <xdr:spPr>
        <a:xfrm rot="16200000">
          <a:off x="9636387"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2500-000015000000}"/>
            </a:ext>
          </a:extLst>
        </xdr:cNvPr>
        <xdr:cNvPicPr>
          <a:picLocks noChangeAspect="1"/>
        </xdr:cNvPicPr>
      </xdr:nvPicPr>
      <xdr:blipFill>
        <a:blip xmlns:r="http://schemas.openxmlformats.org/officeDocument/2006/relationships" r:embed="rId2"/>
        <a:stretch>
          <a:fillRect/>
        </a:stretch>
      </xdr:blipFill>
      <xdr:spPr>
        <a:xfrm rot="16200000">
          <a:off x="9636387"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2500-000016000000}"/>
            </a:ext>
          </a:extLst>
        </xdr:cNvPr>
        <xdr:cNvPicPr>
          <a:picLocks noChangeAspect="1"/>
        </xdr:cNvPicPr>
      </xdr:nvPicPr>
      <xdr:blipFill>
        <a:blip xmlns:r="http://schemas.openxmlformats.org/officeDocument/2006/relationships" r:embed="rId2"/>
        <a:stretch>
          <a:fillRect/>
        </a:stretch>
      </xdr:blipFill>
      <xdr:spPr>
        <a:xfrm rot="16200000">
          <a:off x="9636387"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2500-000017000000}"/>
            </a:ext>
          </a:extLst>
        </xdr:cNvPr>
        <xdr:cNvPicPr>
          <a:picLocks noChangeAspect="1"/>
        </xdr:cNvPicPr>
      </xdr:nvPicPr>
      <xdr:blipFill>
        <a:blip xmlns:r="http://schemas.openxmlformats.org/officeDocument/2006/relationships" r:embed="rId2"/>
        <a:stretch>
          <a:fillRect/>
        </a:stretch>
      </xdr:blipFill>
      <xdr:spPr>
        <a:xfrm rot="16200000">
          <a:off x="9617337"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2500-000018000000}"/>
            </a:ext>
          </a:extLst>
        </xdr:cNvPr>
        <xdr:cNvPicPr>
          <a:picLocks noChangeAspect="1"/>
        </xdr:cNvPicPr>
      </xdr:nvPicPr>
      <xdr:blipFill>
        <a:blip xmlns:r="http://schemas.openxmlformats.org/officeDocument/2006/relationships" r:embed="rId2"/>
        <a:stretch>
          <a:fillRect/>
        </a:stretch>
      </xdr:blipFill>
      <xdr:spPr>
        <a:xfrm rot="16200000">
          <a:off x="9617337"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2500-000019000000}"/>
            </a:ext>
          </a:extLst>
        </xdr:cNvPr>
        <xdr:cNvPicPr>
          <a:picLocks noChangeAspect="1"/>
        </xdr:cNvPicPr>
      </xdr:nvPicPr>
      <xdr:blipFill>
        <a:blip xmlns:r="http://schemas.openxmlformats.org/officeDocument/2006/relationships" r:embed="rId2"/>
        <a:stretch>
          <a:fillRect/>
        </a:stretch>
      </xdr:blipFill>
      <xdr:spPr>
        <a:xfrm rot="16200000">
          <a:off x="9645912"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2500-00001A000000}"/>
            </a:ext>
          </a:extLst>
        </xdr:cNvPr>
        <xdr:cNvPicPr>
          <a:picLocks noChangeAspect="1"/>
        </xdr:cNvPicPr>
      </xdr:nvPicPr>
      <xdr:blipFill>
        <a:blip xmlns:r="http://schemas.openxmlformats.org/officeDocument/2006/relationships" r:embed="rId2"/>
        <a:stretch>
          <a:fillRect/>
        </a:stretch>
      </xdr:blipFill>
      <xdr:spPr>
        <a:xfrm rot="16200000">
          <a:off x="9645912"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2500-00001B000000}"/>
            </a:ext>
          </a:extLst>
        </xdr:cNvPr>
        <xdr:cNvPicPr>
          <a:picLocks noChangeAspect="1"/>
        </xdr:cNvPicPr>
      </xdr:nvPicPr>
      <xdr:blipFill>
        <a:blip xmlns:r="http://schemas.openxmlformats.org/officeDocument/2006/relationships" r:embed="rId2"/>
        <a:stretch>
          <a:fillRect/>
        </a:stretch>
      </xdr:blipFill>
      <xdr:spPr>
        <a:xfrm>
          <a:off x="5588261"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613825" name="Button 1" hidden="1">
              <a:extLst>
                <a:ext uri="{63B3BB69-23CF-44E3-9099-C40C66FF867C}">
                  <a14:compatExt spid="_x0000_s1613825"/>
                </a:ext>
                <a:ext uri="{FF2B5EF4-FFF2-40B4-BE49-F238E27FC236}">
                  <a16:creationId xmlns:a16="http://schemas.microsoft.com/office/drawing/2014/main" id="{00000000-0008-0000-2500-000001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613826" name="Button 2" hidden="1">
              <a:extLst>
                <a:ext uri="{63B3BB69-23CF-44E3-9099-C40C66FF867C}">
                  <a14:compatExt spid="_x0000_s1613826"/>
                </a:ext>
                <a:ext uri="{FF2B5EF4-FFF2-40B4-BE49-F238E27FC236}">
                  <a16:creationId xmlns:a16="http://schemas.microsoft.com/office/drawing/2014/main" id="{00000000-0008-0000-2500-000002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613827" name="Button 3" hidden="1">
              <a:extLst>
                <a:ext uri="{63B3BB69-23CF-44E3-9099-C40C66FF867C}">
                  <a14:compatExt spid="_x0000_s1613827"/>
                </a:ext>
                <a:ext uri="{FF2B5EF4-FFF2-40B4-BE49-F238E27FC236}">
                  <a16:creationId xmlns:a16="http://schemas.microsoft.com/office/drawing/2014/main" id="{00000000-0008-0000-2500-000003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613828" name="Button 4" hidden="1">
              <a:extLst>
                <a:ext uri="{63B3BB69-23CF-44E3-9099-C40C66FF867C}">
                  <a14:compatExt spid="_x0000_s1613828"/>
                </a:ext>
                <a:ext uri="{FF2B5EF4-FFF2-40B4-BE49-F238E27FC236}">
                  <a16:creationId xmlns:a16="http://schemas.microsoft.com/office/drawing/2014/main" id="{00000000-0008-0000-2500-000004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613829" name="Button 5" hidden="1">
              <a:extLst>
                <a:ext uri="{63B3BB69-23CF-44E3-9099-C40C66FF867C}">
                  <a14:compatExt spid="_x0000_s1613829"/>
                </a:ext>
                <a:ext uri="{FF2B5EF4-FFF2-40B4-BE49-F238E27FC236}">
                  <a16:creationId xmlns:a16="http://schemas.microsoft.com/office/drawing/2014/main" id="{00000000-0008-0000-2500-000005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613830" name="Button 6" hidden="1">
              <a:extLst>
                <a:ext uri="{63B3BB69-23CF-44E3-9099-C40C66FF867C}">
                  <a14:compatExt spid="_x0000_s1613830"/>
                </a:ext>
                <a:ext uri="{FF2B5EF4-FFF2-40B4-BE49-F238E27FC236}">
                  <a16:creationId xmlns:a16="http://schemas.microsoft.com/office/drawing/2014/main" id="{00000000-0008-0000-2500-000006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613831" name="Button 7" hidden="1">
              <a:extLst>
                <a:ext uri="{63B3BB69-23CF-44E3-9099-C40C66FF867C}">
                  <a14:compatExt spid="_x0000_s1613831"/>
                </a:ext>
                <a:ext uri="{FF2B5EF4-FFF2-40B4-BE49-F238E27FC236}">
                  <a16:creationId xmlns:a16="http://schemas.microsoft.com/office/drawing/2014/main" id="{00000000-0008-0000-2500-000007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613832" name="Button 8" hidden="1">
              <a:extLst>
                <a:ext uri="{63B3BB69-23CF-44E3-9099-C40C66FF867C}">
                  <a14:compatExt spid="_x0000_s1613832"/>
                </a:ext>
                <a:ext uri="{FF2B5EF4-FFF2-40B4-BE49-F238E27FC236}">
                  <a16:creationId xmlns:a16="http://schemas.microsoft.com/office/drawing/2014/main" id="{00000000-0008-0000-2500-000008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613833" name="Button 9" hidden="1">
              <a:extLst>
                <a:ext uri="{63B3BB69-23CF-44E3-9099-C40C66FF867C}">
                  <a14:compatExt spid="_x0000_s1613833"/>
                </a:ext>
                <a:ext uri="{FF2B5EF4-FFF2-40B4-BE49-F238E27FC236}">
                  <a16:creationId xmlns:a16="http://schemas.microsoft.com/office/drawing/2014/main" id="{00000000-0008-0000-2500-000009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613834" name="Button 10" hidden="1">
              <a:extLst>
                <a:ext uri="{63B3BB69-23CF-44E3-9099-C40C66FF867C}">
                  <a14:compatExt spid="_x0000_s1613834"/>
                </a:ext>
                <a:ext uri="{FF2B5EF4-FFF2-40B4-BE49-F238E27FC236}">
                  <a16:creationId xmlns:a16="http://schemas.microsoft.com/office/drawing/2014/main" id="{00000000-0008-0000-2500-00000A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613835" name="Button 11" hidden="1">
              <a:extLst>
                <a:ext uri="{63B3BB69-23CF-44E3-9099-C40C66FF867C}">
                  <a14:compatExt spid="_x0000_s1613835"/>
                </a:ext>
                <a:ext uri="{FF2B5EF4-FFF2-40B4-BE49-F238E27FC236}">
                  <a16:creationId xmlns:a16="http://schemas.microsoft.com/office/drawing/2014/main" id="{00000000-0008-0000-2500-00000B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613836" name="Button 12" hidden="1">
              <a:extLst>
                <a:ext uri="{63B3BB69-23CF-44E3-9099-C40C66FF867C}">
                  <a14:compatExt spid="_x0000_s1613836"/>
                </a:ext>
                <a:ext uri="{FF2B5EF4-FFF2-40B4-BE49-F238E27FC236}">
                  <a16:creationId xmlns:a16="http://schemas.microsoft.com/office/drawing/2014/main" id="{00000000-0008-0000-2500-00000C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613837" name="Button 13" hidden="1">
              <a:extLst>
                <a:ext uri="{63B3BB69-23CF-44E3-9099-C40C66FF867C}">
                  <a14:compatExt spid="_x0000_s1613837"/>
                </a:ext>
                <a:ext uri="{FF2B5EF4-FFF2-40B4-BE49-F238E27FC236}">
                  <a16:creationId xmlns:a16="http://schemas.microsoft.com/office/drawing/2014/main" id="{00000000-0008-0000-2500-00000DA01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6</xdr:col>
      <xdr:colOff>70616</xdr:colOff>
      <xdr:row>42</xdr:row>
      <xdr:rowOff>62874</xdr:rowOff>
    </xdr:from>
    <xdr:ext cx="1130989" cy="273929"/>
    <xdr:pic>
      <xdr:nvPicPr>
        <xdr:cNvPr id="2" name="Picture 1">
          <a:extLst>
            <a:ext uri="{FF2B5EF4-FFF2-40B4-BE49-F238E27FC236}">
              <a16:creationId xmlns:a16="http://schemas.microsoft.com/office/drawing/2014/main" id="{00000000-0008-0000-2C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592920" y="8287504"/>
          <a:ext cx="1130989" cy="273929"/>
        </a:xfrm>
        <a:prstGeom prst="rect">
          <a:avLst/>
        </a:prstGeom>
        <a:ln>
          <a:prstDash val="solid"/>
        </a:ln>
      </xdr:spPr>
    </xdr:pic>
    <xdr:clientData/>
  </xdr:oneCellAnchor>
</xdr:wsDr>
</file>

<file path=xl/drawings/drawing25.xml><?xml version="1.0" encoding="utf-8"?>
<xdr:wsDr xmlns:xdr="http://schemas.openxmlformats.org/drawingml/2006/spreadsheetDrawing" xmlns:a="http://schemas.openxmlformats.org/drawingml/2006/main">
  <xdr:oneCellAnchor>
    <xdr:from>
      <xdr:col>5</xdr:col>
      <xdr:colOff>55388</xdr:colOff>
      <xdr:row>42</xdr:row>
      <xdr:rowOff>72331</xdr:rowOff>
    </xdr:from>
    <xdr:ext cx="1137801" cy="289426"/>
    <xdr:pic>
      <xdr:nvPicPr>
        <xdr:cNvPr id="2" name="Picture 1">
          <a:extLst>
            <a:ext uri="{FF2B5EF4-FFF2-40B4-BE49-F238E27FC236}">
              <a16:creationId xmlns:a16="http://schemas.microsoft.com/office/drawing/2014/main" id="{00000000-0008-0000-2D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332113" y="8197156"/>
          <a:ext cx="1137801" cy="289426"/>
        </a:xfrm>
        <a:prstGeom prst="rect">
          <a:avLst/>
        </a:prstGeom>
        <a:ln>
          <a:prstDash val="solid"/>
        </a:ln>
      </xdr:spPr>
    </xdr:pic>
    <xdr:clientData/>
  </xdr:oneCellAnchor>
</xdr:wsDr>
</file>

<file path=xl/drawings/drawing26.xml><?xml version="1.0" encoding="utf-8"?>
<xdr:wsDr xmlns:xdr="http://schemas.openxmlformats.org/drawingml/2006/spreadsheetDrawing" xmlns:a="http://schemas.openxmlformats.org/drawingml/2006/main">
  <xdr:oneCellAnchor>
    <xdr:from>
      <xdr:col>6</xdr:col>
      <xdr:colOff>27933</xdr:colOff>
      <xdr:row>42</xdr:row>
      <xdr:rowOff>58264</xdr:rowOff>
    </xdr:from>
    <xdr:ext cx="1143549" cy="285824"/>
    <xdr:pic>
      <xdr:nvPicPr>
        <xdr:cNvPr id="2" name="Picture 1">
          <a:extLst>
            <a:ext uri="{FF2B5EF4-FFF2-40B4-BE49-F238E27FC236}">
              <a16:creationId xmlns:a16="http://schemas.microsoft.com/office/drawing/2014/main" id="{00000000-0008-0000-2E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542783" y="8516464"/>
          <a:ext cx="1143549" cy="285824"/>
        </a:xfrm>
        <a:prstGeom prst="rect">
          <a:avLst/>
        </a:prstGeom>
        <a:ln>
          <a:prstDash val="solid"/>
        </a:ln>
      </xdr:spPr>
    </xdr:pic>
    <xdr:clientData/>
  </xdr:oneCellAnchor>
</xdr:wsDr>
</file>

<file path=xl/drawings/drawing27.xml><?xml version="1.0" encoding="utf-8"?>
<xdr:wsDr xmlns:xdr="http://schemas.openxmlformats.org/drawingml/2006/spreadsheetDrawing" xmlns:a="http://schemas.openxmlformats.org/drawingml/2006/main">
  <xdr:oneCellAnchor>
    <xdr:from>
      <xdr:col>4</xdr:col>
      <xdr:colOff>680513</xdr:colOff>
      <xdr:row>42</xdr:row>
      <xdr:rowOff>49990</xdr:rowOff>
    </xdr:from>
    <xdr:ext cx="1116099" cy="300438"/>
    <xdr:pic>
      <xdr:nvPicPr>
        <xdr:cNvPr id="2" name="Picture 1">
          <a:extLst>
            <a:ext uri="{FF2B5EF4-FFF2-40B4-BE49-F238E27FC236}">
              <a16:creationId xmlns:a16="http://schemas.microsoft.com/office/drawing/2014/main" id="{00000000-0008-0000-2F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033313" y="8241490"/>
          <a:ext cx="1116099" cy="300438"/>
        </a:xfrm>
        <a:prstGeom prst="rect">
          <a:avLst/>
        </a:prstGeom>
        <a:ln>
          <a:prstDash val="solid"/>
        </a:ln>
      </xdr:spPr>
    </xdr:pic>
    <xdr:clientData/>
  </xdr:oneCellAnchor>
</xdr:wsDr>
</file>

<file path=xl/drawings/drawing28.xml><?xml version="1.0" encoding="utf-8"?>
<xdr:wsDr xmlns:xdr="http://schemas.openxmlformats.org/drawingml/2006/spreadsheetDrawing" xmlns:a="http://schemas.openxmlformats.org/drawingml/2006/main">
  <xdr:oneCellAnchor>
    <xdr:from>
      <xdr:col>6</xdr:col>
      <xdr:colOff>349603</xdr:colOff>
      <xdr:row>42</xdr:row>
      <xdr:rowOff>77390</xdr:rowOff>
    </xdr:from>
    <xdr:ext cx="1169171" cy="293338"/>
    <xdr:pic>
      <xdr:nvPicPr>
        <xdr:cNvPr id="2" name="Picture 1">
          <a:extLst>
            <a:ext uri="{FF2B5EF4-FFF2-40B4-BE49-F238E27FC236}">
              <a16:creationId xmlns:a16="http://schemas.microsoft.com/office/drawing/2014/main" id="{00000000-0008-0000-30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731103" y="8564165"/>
          <a:ext cx="1169171" cy="293338"/>
        </a:xfrm>
        <a:prstGeom prst="rect">
          <a:avLst/>
        </a:prstGeom>
        <a:ln>
          <a:prstDash val="solid"/>
        </a:ln>
      </xdr:spPr>
    </xdr:pic>
    <xdr:clientData/>
  </xdr:oneCellAnchor>
</xdr:wsDr>
</file>

<file path=xl/drawings/drawing29.xml><?xml version="1.0" encoding="utf-8"?>
<xdr:wsDr xmlns:xdr="http://schemas.openxmlformats.org/drawingml/2006/spreadsheetDrawing" xmlns:a="http://schemas.openxmlformats.org/drawingml/2006/main">
  <xdr:oneCellAnchor>
    <xdr:from>
      <xdr:col>6</xdr:col>
      <xdr:colOff>58613</xdr:colOff>
      <xdr:row>42</xdr:row>
      <xdr:rowOff>39745</xdr:rowOff>
    </xdr:from>
    <xdr:ext cx="1133970" cy="288076"/>
    <xdr:pic>
      <xdr:nvPicPr>
        <xdr:cNvPr id="2" name="Picture 1">
          <a:extLst>
            <a:ext uri="{FF2B5EF4-FFF2-40B4-BE49-F238E27FC236}">
              <a16:creationId xmlns:a16="http://schemas.microsoft.com/office/drawing/2014/main" id="{00000000-0008-0000-31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259138" y="8897995"/>
          <a:ext cx="1133970" cy="288076"/>
        </a:xfrm>
        <a:prstGeom prst="rect">
          <a:avLst/>
        </a:prstGeom>
        <a:ln>
          <a:prstDash val="solid"/>
        </a:ln>
      </xdr:spPr>
    </xdr:pic>
    <xdr:clientData/>
  </xdr:oneCellAnchor>
</xdr:wsDr>
</file>

<file path=xl/drawings/drawing30.xml><?xml version="1.0" encoding="utf-8"?>
<xdr:wsDr xmlns:xdr="http://schemas.openxmlformats.org/drawingml/2006/spreadsheetDrawing" xmlns:a="http://schemas.openxmlformats.org/drawingml/2006/main">
  <xdr:oneCellAnchor>
    <xdr:from>
      <xdr:col>6</xdr:col>
      <xdr:colOff>130073</xdr:colOff>
      <xdr:row>42</xdr:row>
      <xdr:rowOff>27143</xdr:rowOff>
    </xdr:from>
    <xdr:ext cx="1173861" cy="272720"/>
    <xdr:pic>
      <xdr:nvPicPr>
        <xdr:cNvPr id="2" name="Picture 1">
          <a:extLst>
            <a:ext uri="{FF2B5EF4-FFF2-40B4-BE49-F238E27FC236}">
              <a16:creationId xmlns:a16="http://schemas.microsoft.com/office/drawing/2014/main" id="{00000000-0008-0000-32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140098" y="8323418"/>
          <a:ext cx="1173861" cy="272720"/>
        </a:xfrm>
        <a:prstGeom prst="rect">
          <a:avLst/>
        </a:prstGeom>
        <a:ln>
          <a:prstDash val="solid"/>
        </a:ln>
      </xdr:spPr>
    </xdr:pic>
    <xdr:clientData/>
  </xdr:oneCellAnchor>
</xdr:wsDr>
</file>

<file path=xl/drawings/drawing31.xml><?xml version="1.0" encoding="utf-8"?>
<xdr:wsDr xmlns:xdr="http://schemas.openxmlformats.org/drawingml/2006/spreadsheetDrawing" xmlns:a="http://schemas.openxmlformats.org/drawingml/2006/main">
  <xdr:oneCellAnchor>
    <xdr:from>
      <xdr:col>6</xdr:col>
      <xdr:colOff>76884</xdr:colOff>
      <xdr:row>42</xdr:row>
      <xdr:rowOff>42379</xdr:rowOff>
    </xdr:from>
    <xdr:ext cx="1154921" cy="309037"/>
    <xdr:pic>
      <xdr:nvPicPr>
        <xdr:cNvPr id="2" name="Picture 1">
          <a:extLst>
            <a:ext uri="{FF2B5EF4-FFF2-40B4-BE49-F238E27FC236}">
              <a16:creationId xmlns:a16="http://schemas.microsoft.com/office/drawing/2014/main" id="{00000000-0008-0000-33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086909" y="8595829"/>
          <a:ext cx="1154921" cy="309037"/>
        </a:xfrm>
        <a:prstGeom prst="rect">
          <a:avLst/>
        </a:prstGeom>
        <a:ln>
          <a:prstDash val="solid"/>
        </a:ln>
      </xdr:spPr>
    </xdr:pic>
    <xdr:clientData/>
  </xdr:oneCellAnchor>
</xdr:wsDr>
</file>

<file path=xl/drawings/drawing32.xml><?xml version="1.0" encoding="utf-8"?>
<xdr:wsDr xmlns:xdr="http://schemas.openxmlformats.org/drawingml/2006/spreadsheetDrawing" xmlns:a="http://schemas.openxmlformats.org/drawingml/2006/main">
  <xdr:oneCellAnchor>
    <xdr:from>
      <xdr:col>6</xdr:col>
      <xdr:colOff>158437</xdr:colOff>
      <xdr:row>42</xdr:row>
      <xdr:rowOff>19856</xdr:rowOff>
    </xdr:from>
    <xdr:ext cx="1154921" cy="309037"/>
    <xdr:pic>
      <xdr:nvPicPr>
        <xdr:cNvPr id="5" name="Picture 4">
          <a:extLst>
            <a:ext uri="{FF2B5EF4-FFF2-40B4-BE49-F238E27FC236}">
              <a16:creationId xmlns:a16="http://schemas.microsoft.com/office/drawing/2014/main" id="{00000000-0008-0000-3400-000005000000}"/>
            </a:ext>
          </a:extLst>
        </xdr:cNvPr>
        <xdr:cNvPicPr>
          <a:picLocks noChangeAspect="1"/>
        </xdr:cNvPicPr>
      </xdr:nvPicPr>
      <xdr:blipFill rotWithShape="1">
        <a:blip xmlns:r="http://schemas.openxmlformats.org/officeDocument/2006/relationships" r:embed="rId1"/>
        <a:srcRect t="5" b="5"/>
        <a:stretch>
          <a:fillRect/>
        </a:stretch>
      </xdr:blipFill>
      <xdr:spPr>
        <a:xfrm>
          <a:off x="4168462" y="8592356"/>
          <a:ext cx="1154921" cy="309037"/>
        </a:xfrm>
        <a:prstGeom prst="rect">
          <a:avLst/>
        </a:prstGeom>
        <a:ln>
          <a:prstDash val="solid"/>
        </a:ln>
      </xdr:spPr>
    </xdr:pic>
    <xdr:clientData/>
  </xdr:oneCellAnchor>
</xdr:wsDr>
</file>

<file path=xl/drawings/drawing33.xml><?xml version="1.0" encoding="utf-8"?>
<xdr:wsDr xmlns:xdr="http://schemas.openxmlformats.org/drawingml/2006/spreadsheetDrawing" xmlns:a="http://schemas.openxmlformats.org/drawingml/2006/main">
  <xdr:oneCellAnchor>
    <xdr:from>
      <xdr:col>6</xdr:col>
      <xdr:colOff>254176</xdr:colOff>
      <xdr:row>42</xdr:row>
      <xdr:rowOff>70992</xdr:rowOff>
    </xdr:from>
    <xdr:ext cx="1174128" cy="275932"/>
    <xdr:pic>
      <xdr:nvPicPr>
        <xdr:cNvPr id="2" name="Picture 1">
          <a:extLst>
            <a:ext uri="{FF2B5EF4-FFF2-40B4-BE49-F238E27FC236}">
              <a16:creationId xmlns:a16="http://schemas.microsoft.com/office/drawing/2014/main" id="{00000000-0008-0000-35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264201" y="8929242"/>
          <a:ext cx="1174128" cy="275932"/>
        </a:xfrm>
        <a:prstGeom prst="rect">
          <a:avLst/>
        </a:prstGeom>
        <a:ln>
          <a:prstDash val="solid"/>
        </a:ln>
      </xdr:spPr>
    </xdr:pic>
    <xdr:clientData/>
  </xdr:oneCellAnchor>
</xdr:wsDr>
</file>

<file path=xl/drawings/drawing34.xml><?xml version="1.0" encoding="utf-8"?>
<xdr:wsDr xmlns:xdr="http://schemas.openxmlformats.org/drawingml/2006/spreadsheetDrawing" xmlns:a="http://schemas.openxmlformats.org/drawingml/2006/main">
  <xdr:oneCellAnchor>
    <xdr:from>
      <xdr:col>6</xdr:col>
      <xdr:colOff>146461</xdr:colOff>
      <xdr:row>42</xdr:row>
      <xdr:rowOff>54797</xdr:rowOff>
    </xdr:from>
    <xdr:ext cx="1162164" cy="285156"/>
    <xdr:pic>
      <xdr:nvPicPr>
        <xdr:cNvPr id="2" name="Picture 1">
          <a:extLst>
            <a:ext uri="{FF2B5EF4-FFF2-40B4-BE49-F238E27FC236}">
              <a16:creationId xmlns:a16="http://schemas.microsoft.com/office/drawing/2014/main" id="{00000000-0008-0000-36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156486" y="8541572"/>
          <a:ext cx="1162164" cy="285156"/>
        </a:xfrm>
        <a:prstGeom prst="rect">
          <a:avLst/>
        </a:prstGeom>
        <a:ln>
          <a:prstDash val="solid"/>
        </a:ln>
      </xdr:spPr>
    </xdr:pic>
    <xdr:clientData/>
  </xdr:oneCellAnchor>
</xdr:wsDr>
</file>

<file path=xl/drawings/drawing35.xml><?xml version="1.0" encoding="utf-8"?>
<xdr:wsDr xmlns:xdr="http://schemas.openxmlformats.org/drawingml/2006/spreadsheetDrawing" xmlns:a="http://schemas.openxmlformats.org/drawingml/2006/main">
  <xdr:oneCellAnchor>
    <xdr:from>
      <xdr:col>6</xdr:col>
      <xdr:colOff>219075</xdr:colOff>
      <xdr:row>42</xdr:row>
      <xdr:rowOff>85725</xdr:rowOff>
    </xdr:from>
    <xdr:ext cx="1161943" cy="286838"/>
    <xdr:pic>
      <xdr:nvPicPr>
        <xdr:cNvPr id="2" name="Picture 1">
          <a:extLst>
            <a:ext uri="{FF2B5EF4-FFF2-40B4-BE49-F238E27FC236}">
              <a16:creationId xmlns:a16="http://schemas.microsoft.com/office/drawing/2014/main" id="{00000000-0008-0000-3700-000002000000}"/>
            </a:ext>
          </a:extLst>
        </xdr:cNvPr>
        <xdr:cNvPicPr>
          <a:picLocks noChangeAspect="1"/>
        </xdr:cNvPicPr>
      </xdr:nvPicPr>
      <xdr:blipFill rotWithShape="1">
        <a:blip xmlns:r="http://schemas.openxmlformats.org/officeDocument/2006/relationships" r:embed="rId1"/>
        <a:srcRect t="5" b="5"/>
        <a:stretch>
          <a:fillRect/>
        </a:stretch>
      </xdr:blipFill>
      <xdr:spPr>
        <a:xfrm>
          <a:off x="4229100" y="8382000"/>
          <a:ext cx="1161943" cy="286838"/>
        </a:xfrm>
        <a:prstGeom prst="rect">
          <a:avLst/>
        </a:prstGeom>
        <a:ln>
          <a:prstDash val="solid"/>
        </a:ln>
      </xdr:spPr>
    </xdr:pic>
    <xdr:clientData/>
  </xdr:oneCellAnchor>
</xdr:wsDr>
</file>

<file path=xl/drawings/drawing36.xml><?xml version="1.0" encoding="utf-8"?>
<xdr:wsDr xmlns:xdr="http://schemas.openxmlformats.org/drawingml/2006/spreadsheetDrawing" xmlns:a="http://schemas.openxmlformats.org/drawingml/2006/main">
  <xdr:twoCellAnchor editAs="oneCell">
    <xdr:from>
      <xdr:col>17</xdr:col>
      <xdr:colOff>228600</xdr:colOff>
      <xdr:row>25</xdr:row>
      <xdr:rowOff>116204</xdr:rowOff>
    </xdr:from>
    <xdr:to>
      <xdr:col>19</xdr:col>
      <xdr:colOff>418459</xdr:colOff>
      <xdr:row>27</xdr:row>
      <xdr:rowOff>114300</xdr:rowOff>
    </xdr:to>
    <xdr:pic>
      <xdr:nvPicPr>
        <xdr:cNvPr id="3" name="Picture 2">
          <a:extLst>
            <a:ext uri="{FF2B5EF4-FFF2-40B4-BE49-F238E27FC236}">
              <a16:creationId xmlns:a16="http://schemas.microsoft.com/office/drawing/2014/main" id="{00000000-0008-0000-3800-000003000000}"/>
            </a:ext>
          </a:extLst>
        </xdr:cNvPr>
        <xdr:cNvPicPr>
          <a:picLocks noChangeAspect="1"/>
        </xdr:cNvPicPr>
      </xdr:nvPicPr>
      <xdr:blipFill rotWithShape="1">
        <a:blip xmlns:r="http://schemas.openxmlformats.org/officeDocument/2006/relationships" r:embed="rId1"/>
        <a:srcRect t="5" b="5"/>
        <a:stretch>
          <a:fillRect/>
        </a:stretch>
      </xdr:blipFill>
      <xdr:spPr>
        <a:xfrm>
          <a:off x="14001750" y="5069204"/>
          <a:ext cx="1609084" cy="388621"/>
        </a:xfrm>
        <a:prstGeom prst="rect">
          <a:avLst/>
        </a:prstGeom>
        <a:ln>
          <a:prstDash val="solid"/>
        </a:ln>
      </xdr:spPr>
    </xdr:pic>
    <xdr:clientData/>
  </xdr:twoCellAnchor>
  <xdr:twoCellAnchor editAs="oneCell">
    <xdr:from>
      <xdr:col>18</xdr:col>
      <xdr:colOff>114301</xdr:colOff>
      <xdr:row>27</xdr:row>
      <xdr:rowOff>133350</xdr:rowOff>
    </xdr:from>
    <xdr:to>
      <xdr:col>19</xdr:col>
      <xdr:colOff>453391</xdr:colOff>
      <xdr:row>28</xdr:row>
      <xdr:rowOff>263683</xdr:rowOff>
    </xdr:to>
    <xdr:pic>
      <xdr:nvPicPr>
        <xdr:cNvPr id="4" name="Picture 3">
          <a:extLst>
            <a:ext uri="{FF2B5EF4-FFF2-40B4-BE49-F238E27FC236}">
              <a16:creationId xmlns:a16="http://schemas.microsoft.com/office/drawing/2014/main" id="{00000000-0008-0000-3800-000004000000}"/>
            </a:ext>
          </a:extLst>
        </xdr:cNvPr>
        <xdr:cNvPicPr>
          <a:picLocks noChangeAspect="1"/>
        </xdr:cNvPicPr>
      </xdr:nvPicPr>
      <xdr:blipFill>
        <a:blip xmlns:r="http://schemas.openxmlformats.org/officeDocument/2006/relationships" r:embed="rId2" cstate="print"/>
        <a:stretch>
          <a:fillRect/>
        </a:stretch>
      </xdr:blipFill>
      <xdr:spPr>
        <a:xfrm>
          <a:off x="14478001" y="5476875"/>
          <a:ext cx="1082040" cy="320833"/>
        </a:xfrm>
        <a:prstGeom prst="rect">
          <a:avLst/>
        </a:prstGeom>
        <a:ln>
          <a:prstDash val="solid"/>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4</xdr:col>
      <xdr:colOff>19050</xdr:colOff>
      <xdr:row>51</xdr:row>
      <xdr:rowOff>95250</xdr:rowOff>
    </xdr:from>
    <xdr:to>
      <xdr:col>5</xdr:col>
      <xdr:colOff>8198</xdr:colOff>
      <xdr:row>52</xdr:row>
      <xdr:rowOff>152970</xdr:rowOff>
    </xdr:to>
    <xdr:pic>
      <xdr:nvPicPr>
        <xdr:cNvPr id="2" name="Picture 1">
          <a:extLst>
            <a:ext uri="{FF2B5EF4-FFF2-40B4-BE49-F238E27FC236}">
              <a16:creationId xmlns:a16="http://schemas.microsoft.com/office/drawing/2014/main" id="{00000000-0008-0000-3B00-000002000000}"/>
            </a:ext>
          </a:extLst>
        </xdr:cNvPr>
        <xdr:cNvPicPr>
          <a:picLocks noChangeAspect="1"/>
        </xdr:cNvPicPr>
      </xdr:nvPicPr>
      <xdr:blipFill>
        <a:blip xmlns:r="http://schemas.openxmlformats.org/officeDocument/2006/relationships" r:embed="rId1"/>
        <a:stretch>
          <a:fillRect/>
        </a:stretch>
      </xdr:blipFill>
      <xdr:spPr>
        <a:xfrm>
          <a:off x="2105025" y="13858875"/>
          <a:ext cx="874973" cy="314895"/>
        </a:xfrm>
        <a:prstGeom prst="rect">
          <a:avLst/>
        </a:prstGeom>
        <a:ln>
          <a:prstDash val="solid"/>
        </a:ln>
      </xdr:spPr>
    </xdr:pic>
    <xdr:clientData/>
  </xdr:twoCellAnchor>
  <xdr:twoCellAnchor editAs="oneCell">
    <xdr:from>
      <xdr:col>21</xdr:col>
      <xdr:colOff>313900</xdr:colOff>
      <xdr:row>27</xdr:row>
      <xdr:rowOff>74021</xdr:rowOff>
    </xdr:from>
    <xdr:to>
      <xdr:col>21</xdr:col>
      <xdr:colOff>1188873</xdr:colOff>
      <xdr:row>27</xdr:row>
      <xdr:rowOff>382628</xdr:rowOff>
    </xdr:to>
    <xdr:pic>
      <xdr:nvPicPr>
        <xdr:cNvPr id="3" name="Picture 2">
          <a:extLst>
            <a:ext uri="{FF2B5EF4-FFF2-40B4-BE49-F238E27FC236}">
              <a16:creationId xmlns:a16="http://schemas.microsoft.com/office/drawing/2014/main" id="{00000000-0008-0000-3B00-000003000000}"/>
            </a:ext>
          </a:extLst>
        </xdr:cNvPr>
        <xdr:cNvPicPr>
          <a:picLocks noChangeAspect="1"/>
        </xdr:cNvPicPr>
      </xdr:nvPicPr>
      <xdr:blipFill>
        <a:blip xmlns:r="http://schemas.openxmlformats.org/officeDocument/2006/relationships" r:embed="rId1"/>
        <a:stretch>
          <a:fillRect/>
        </a:stretch>
      </xdr:blipFill>
      <xdr:spPr>
        <a:xfrm>
          <a:off x="17106475" y="7103471"/>
          <a:ext cx="874973" cy="308607"/>
        </a:xfrm>
        <a:prstGeom prst="rect">
          <a:avLst/>
        </a:prstGeom>
        <a:ln>
          <a:prstDash val="solid"/>
        </a:ln>
      </xdr:spPr>
    </xdr:pic>
    <xdr:clientData/>
  </xdr:twoCellAnchor>
  <xdr:twoCellAnchor editAs="oneCell">
    <xdr:from>
      <xdr:col>13</xdr:col>
      <xdr:colOff>70808</xdr:colOff>
      <xdr:row>18</xdr:row>
      <xdr:rowOff>47625</xdr:rowOff>
    </xdr:from>
    <xdr:to>
      <xdr:col>13</xdr:col>
      <xdr:colOff>572824</xdr:colOff>
      <xdr:row>24</xdr:row>
      <xdr:rowOff>76476</xdr:rowOff>
    </xdr:to>
    <xdr:pic>
      <xdr:nvPicPr>
        <xdr:cNvPr id="4" name="Picture 3">
          <a:extLst>
            <a:ext uri="{FF2B5EF4-FFF2-40B4-BE49-F238E27FC236}">
              <a16:creationId xmlns:a16="http://schemas.microsoft.com/office/drawing/2014/main" id="{00000000-0008-0000-3B00-000004000000}"/>
            </a:ext>
          </a:extLst>
        </xdr:cNvPr>
        <xdr:cNvPicPr>
          <a:picLocks noChangeAspect="1"/>
        </xdr:cNvPicPr>
      </xdr:nvPicPr>
      <xdr:blipFill>
        <a:blip xmlns:r="http://schemas.openxmlformats.org/officeDocument/2006/relationships" r:embed="rId2"/>
        <a:stretch>
          <a:fillRect/>
        </a:stretch>
      </xdr:blipFill>
      <xdr:spPr>
        <a:xfrm rot="16200000">
          <a:off x="8889415" y="5335543"/>
          <a:ext cx="1667151" cy="502016"/>
        </a:xfrm>
        <a:prstGeom prst="rect">
          <a:avLst/>
        </a:prstGeom>
        <a:ln>
          <a:prstDash val="solid"/>
        </a:ln>
      </xdr:spPr>
    </xdr:pic>
    <xdr:clientData/>
  </xdr:twoCellAnchor>
  <xdr:twoCellAnchor editAs="oneCell">
    <xdr:from>
      <xdr:col>21</xdr:col>
      <xdr:colOff>295877</xdr:colOff>
      <xdr:row>37</xdr:row>
      <xdr:rowOff>53190</xdr:rowOff>
    </xdr:from>
    <xdr:to>
      <xdr:col>21</xdr:col>
      <xdr:colOff>1170850</xdr:colOff>
      <xdr:row>37</xdr:row>
      <xdr:rowOff>361797</xdr:rowOff>
    </xdr:to>
    <xdr:pic>
      <xdr:nvPicPr>
        <xdr:cNvPr id="5" name="Picture 4">
          <a:extLst>
            <a:ext uri="{FF2B5EF4-FFF2-40B4-BE49-F238E27FC236}">
              <a16:creationId xmlns:a16="http://schemas.microsoft.com/office/drawing/2014/main" id="{00000000-0008-0000-3B00-000005000000}"/>
            </a:ext>
          </a:extLst>
        </xdr:cNvPr>
        <xdr:cNvPicPr>
          <a:picLocks noChangeAspect="1"/>
        </xdr:cNvPicPr>
      </xdr:nvPicPr>
      <xdr:blipFill>
        <a:blip xmlns:r="http://schemas.openxmlformats.org/officeDocument/2006/relationships" r:embed="rId1"/>
        <a:stretch>
          <a:fillRect/>
        </a:stretch>
      </xdr:blipFill>
      <xdr:spPr>
        <a:xfrm>
          <a:off x="17088452" y="9835365"/>
          <a:ext cx="874973" cy="308607"/>
        </a:xfrm>
        <a:prstGeom prst="rect">
          <a:avLst/>
        </a:prstGeom>
        <a:ln>
          <a:prstDash val="solid"/>
        </a:ln>
      </xdr:spPr>
    </xdr:pic>
    <xdr:clientData/>
  </xdr:twoCellAnchor>
  <xdr:twoCellAnchor editAs="oneCell">
    <xdr:from>
      <xdr:col>21</xdr:col>
      <xdr:colOff>228093</xdr:colOff>
      <xdr:row>57</xdr:row>
      <xdr:rowOff>117831</xdr:rowOff>
    </xdr:from>
    <xdr:to>
      <xdr:col>21</xdr:col>
      <xdr:colOff>1103066</xdr:colOff>
      <xdr:row>57</xdr:row>
      <xdr:rowOff>432726</xdr:rowOff>
    </xdr:to>
    <xdr:pic>
      <xdr:nvPicPr>
        <xdr:cNvPr id="6" name="Picture 5">
          <a:extLst>
            <a:ext uri="{FF2B5EF4-FFF2-40B4-BE49-F238E27FC236}">
              <a16:creationId xmlns:a16="http://schemas.microsoft.com/office/drawing/2014/main" id="{00000000-0008-0000-3B00-000006000000}"/>
            </a:ext>
          </a:extLst>
        </xdr:cNvPr>
        <xdr:cNvPicPr>
          <a:picLocks noChangeAspect="1"/>
        </xdr:cNvPicPr>
      </xdr:nvPicPr>
      <xdr:blipFill>
        <a:blip xmlns:r="http://schemas.openxmlformats.org/officeDocument/2006/relationships" r:embed="rId1"/>
        <a:stretch>
          <a:fillRect/>
        </a:stretch>
      </xdr:blipFill>
      <xdr:spPr>
        <a:xfrm>
          <a:off x="17020668" y="15338781"/>
          <a:ext cx="874973" cy="314895"/>
        </a:xfrm>
        <a:prstGeom prst="rect">
          <a:avLst/>
        </a:prstGeom>
        <a:ln>
          <a:prstDash val="solid"/>
        </a:ln>
      </xdr:spPr>
    </xdr:pic>
    <xdr:clientData/>
  </xdr:twoCellAnchor>
  <xdr:twoCellAnchor editAs="oneCell">
    <xdr:from>
      <xdr:col>21</xdr:col>
      <xdr:colOff>176769</xdr:colOff>
      <xdr:row>67</xdr:row>
      <xdr:rowOff>48935</xdr:rowOff>
    </xdr:from>
    <xdr:to>
      <xdr:col>21</xdr:col>
      <xdr:colOff>1051742</xdr:colOff>
      <xdr:row>67</xdr:row>
      <xdr:rowOff>360686</xdr:rowOff>
    </xdr:to>
    <xdr:pic>
      <xdr:nvPicPr>
        <xdr:cNvPr id="7" name="Picture 6">
          <a:extLst>
            <a:ext uri="{FF2B5EF4-FFF2-40B4-BE49-F238E27FC236}">
              <a16:creationId xmlns:a16="http://schemas.microsoft.com/office/drawing/2014/main" id="{00000000-0008-0000-3B00-000007000000}"/>
            </a:ext>
          </a:extLst>
        </xdr:cNvPr>
        <xdr:cNvPicPr>
          <a:picLocks noChangeAspect="1"/>
        </xdr:cNvPicPr>
      </xdr:nvPicPr>
      <xdr:blipFill>
        <a:blip xmlns:r="http://schemas.openxmlformats.org/officeDocument/2006/relationships" r:embed="rId1"/>
        <a:stretch>
          <a:fillRect/>
        </a:stretch>
      </xdr:blipFill>
      <xdr:spPr>
        <a:xfrm>
          <a:off x="16969344" y="18051185"/>
          <a:ext cx="874973" cy="311751"/>
        </a:xfrm>
        <a:prstGeom prst="rect">
          <a:avLst/>
        </a:prstGeom>
        <a:ln>
          <a:prstDash val="solid"/>
        </a:ln>
      </xdr:spPr>
    </xdr:pic>
    <xdr:clientData/>
  </xdr:twoCellAnchor>
  <xdr:oneCellAnchor>
    <xdr:from>
      <xdr:col>21</xdr:col>
      <xdr:colOff>295601</xdr:colOff>
      <xdr:row>47</xdr:row>
      <xdr:rowOff>119587</xdr:rowOff>
    </xdr:from>
    <xdr:ext cx="878580" cy="303896"/>
    <xdr:pic>
      <xdr:nvPicPr>
        <xdr:cNvPr id="8" name="Picture 7">
          <a:extLst>
            <a:ext uri="{FF2B5EF4-FFF2-40B4-BE49-F238E27FC236}">
              <a16:creationId xmlns:a16="http://schemas.microsoft.com/office/drawing/2014/main" id="{00000000-0008-0000-3B00-000008000000}"/>
            </a:ext>
          </a:extLst>
        </xdr:cNvPr>
        <xdr:cNvPicPr>
          <a:picLocks noChangeAspect="1"/>
        </xdr:cNvPicPr>
      </xdr:nvPicPr>
      <xdr:blipFill>
        <a:blip xmlns:r="http://schemas.openxmlformats.org/officeDocument/2006/relationships" r:embed="rId1"/>
        <a:stretch>
          <a:fillRect/>
        </a:stretch>
      </xdr:blipFill>
      <xdr:spPr>
        <a:xfrm>
          <a:off x="17088176" y="12549712"/>
          <a:ext cx="878580" cy="303896"/>
        </a:xfrm>
        <a:prstGeom prst="rect">
          <a:avLst/>
        </a:prstGeom>
        <a:ln>
          <a:prstDash val="solid"/>
        </a:ln>
      </xdr:spPr>
    </xdr:pic>
    <xdr:clientData/>
  </xdr:oneCellAnchor>
  <xdr:oneCellAnchor>
    <xdr:from>
      <xdr:col>21</xdr:col>
      <xdr:colOff>249917</xdr:colOff>
      <xdr:row>77</xdr:row>
      <xdr:rowOff>112282</xdr:rowOff>
    </xdr:from>
    <xdr:ext cx="878580" cy="303896"/>
    <xdr:pic>
      <xdr:nvPicPr>
        <xdr:cNvPr id="9" name="Picture 8">
          <a:extLst>
            <a:ext uri="{FF2B5EF4-FFF2-40B4-BE49-F238E27FC236}">
              <a16:creationId xmlns:a16="http://schemas.microsoft.com/office/drawing/2014/main" id="{00000000-0008-0000-3B00-000009000000}"/>
            </a:ext>
          </a:extLst>
        </xdr:cNvPr>
        <xdr:cNvPicPr>
          <a:picLocks noChangeAspect="1"/>
        </xdr:cNvPicPr>
      </xdr:nvPicPr>
      <xdr:blipFill>
        <a:blip xmlns:r="http://schemas.openxmlformats.org/officeDocument/2006/relationships" r:embed="rId1"/>
        <a:stretch>
          <a:fillRect/>
        </a:stretch>
      </xdr:blipFill>
      <xdr:spPr>
        <a:xfrm>
          <a:off x="17042492" y="20857732"/>
          <a:ext cx="878580" cy="303896"/>
        </a:xfrm>
        <a:prstGeom prst="rect">
          <a:avLst/>
        </a:prstGeom>
        <a:ln>
          <a:prstDash val="solid"/>
        </a:ln>
      </xdr:spPr>
    </xdr:pic>
    <xdr:clientData/>
  </xdr:oneCellAnchor>
  <xdr:oneCellAnchor>
    <xdr:from>
      <xdr:col>21</xdr:col>
      <xdr:colOff>308917</xdr:colOff>
      <xdr:row>87</xdr:row>
      <xdr:rowOff>123194</xdr:rowOff>
    </xdr:from>
    <xdr:ext cx="878580" cy="303896"/>
    <xdr:pic>
      <xdr:nvPicPr>
        <xdr:cNvPr id="10" name="Picture 9">
          <a:extLst>
            <a:ext uri="{FF2B5EF4-FFF2-40B4-BE49-F238E27FC236}">
              <a16:creationId xmlns:a16="http://schemas.microsoft.com/office/drawing/2014/main" id="{00000000-0008-0000-3B00-00000A000000}"/>
            </a:ext>
          </a:extLst>
        </xdr:cNvPr>
        <xdr:cNvPicPr>
          <a:picLocks noChangeAspect="1"/>
        </xdr:cNvPicPr>
      </xdr:nvPicPr>
      <xdr:blipFill>
        <a:blip xmlns:r="http://schemas.openxmlformats.org/officeDocument/2006/relationships" r:embed="rId1"/>
        <a:stretch>
          <a:fillRect/>
        </a:stretch>
      </xdr:blipFill>
      <xdr:spPr>
        <a:xfrm>
          <a:off x="17101492" y="23602319"/>
          <a:ext cx="878580" cy="303896"/>
        </a:xfrm>
        <a:prstGeom prst="rect">
          <a:avLst/>
        </a:prstGeom>
        <a:ln>
          <a:prstDash val="solid"/>
        </a:ln>
      </xdr:spPr>
    </xdr:pic>
    <xdr:clientData/>
  </xdr:oneCellAnchor>
  <xdr:oneCellAnchor>
    <xdr:from>
      <xdr:col>21</xdr:col>
      <xdr:colOff>261292</xdr:colOff>
      <xdr:row>97</xdr:row>
      <xdr:rowOff>123194</xdr:rowOff>
    </xdr:from>
    <xdr:ext cx="878580" cy="303896"/>
    <xdr:pic>
      <xdr:nvPicPr>
        <xdr:cNvPr id="11" name="Picture 10">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1"/>
        <a:stretch>
          <a:fillRect/>
        </a:stretch>
      </xdr:blipFill>
      <xdr:spPr>
        <a:xfrm>
          <a:off x="17053867" y="26345519"/>
          <a:ext cx="878580" cy="303896"/>
        </a:xfrm>
        <a:prstGeom prst="rect">
          <a:avLst/>
        </a:prstGeom>
        <a:ln>
          <a:prstDash val="solid"/>
        </a:ln>
      </xdr:spPr>
    </xdr:pic>
    <xdr:clientData/>
  </xdr:oneCellAnchor>
  <xdr:oneCellAnchor>
    <xdr:from>
      <xdr:col>21</xdr:col>
      <xdr:colOff>232717</xdr:colOff>
      <xdr:row>107</xdr:row>
      <xdr:rowOff>94619</xdr:rowOff>
    </xdr:from>
    <xdr:ext cx="878580" cy="303896"/>
    <xdr:pic>
      <xdr:nvPicPr>
        <xdr:cNvPr id="12" name="Picture 11">
          <a:extLst>
            <a:ext uri="{FF2B5EF4-FFF2-40B4-BE49-F238E27FC236}">
              <a16:creationId xmlns:a16="http://schemas.microsoft.com/office/drawing/2014/main" id="{00000000-0008-0000-3B00-00000C000000}"/>
            </a:ext>
          </a:extLst>
        </xdr:cNvPr>
        <xdr:cNvPicPr>
          <a:picLocks noChangeAspect="1"/>
        </xdr:cNvPicPr>
      </xdr:nvPicPr>
      <xdr:blipFill>
        <a:blip xmlns:r="http://schemas.openxmlformats.org/officeDocument/2006/relationships" r:embed="rId1"/>
        <a:stretch>
          <a:fillRect/>
        </a:stretch>
      </xdr:blipFill>
      <xdr:spPr>
        <a:xfrm>
          <a:off x="17025292" y="29088719"/>
          <a:ext cx="878580" cy="303896"/>
        </a:xfrm>
        <a:prstGeom prst="rect">
          <a:avLst/>
        </a:prstGeom>
        <a:ln>
          <a:prstDash val="solid"/>
        </a:ln>
      </xdr:spPr>
    </xdr:pic>
    <xdr:clientData/>
  </xdr:oneCellAnchor>
  <xdr:oneCellAnchor>
    <xdr:from>
      <xdr:col>21</xdr:col>
      <xdr:colOff>385117</xdr:colOff>
      <xdr:row>117</xdr:row>
      <xdr:rowOff>94619</xdr:rowOff>
    </xdr:from>
    <xdr:ext cx="878580" cy="303896"/>
    <xdr:pic>
      <xdr:nvPicPr>
        <xdr:cNvPr id="13" name="Picture 12">
          <a:extLst>
            <a:ext uri="{FF2B5EF4-FFF2-40B4-BE49-F238E27FC236}">
              <a16:creationId xmlns:a16="http://schemas.microsoft.com/office/drawing/2014/main" id="{00000000-0008-0000-3B00-00000D000000}"/>
            </a:ext>
          </a:extLst>
        </xdr:cNvPr>
        <xdr:cNvPicPr>
          <a:picLocks noChangeAspect="1"/>
        </xdr:cNvPicPr>
      </xdr:nvPicPr>
      <xdr:blipFill>
        <a:blip xmlns:r="http://schemas.openxmlformats.org/officeDocument/2006/relationships" r:embed="rId1"/>
        <a:stretch>
          <a:fillRect/>
        </a:stretch>
      </xdr:blipFill>
      <xdr:spPr>
        <a:xfrm>
          <a:off x="17177692" y="31727144"/>
          <a:ext cx="878580" cy="303896"/>
        </a:xfrm>
        <a:prstGeom prst="rect">
          <a:avLst/>
        </a:prstGeom>
        <a:ln>
          <a:prstDash val="solid"/>
        </a:ln>
      </xdr:spPr>
    </xdr:pic>
    <xdr:clientData/>
  </xdr:oneCellAnchor>
  <xdr:oneCellAnchor>
    <xdr:from>
      <xdr:col>21</xdr:col>
      <xdr:colOff>61267</xdr:colOff>
      <xdr:row>127</xdr:row>
      <xdr:rowOff>123194</xdr:rowOff>
    </xdr:from>
    <xdr:ext cx="878580" cy="303896"/>
    <xdr:pic>
      <xdr:nvPicPr>
        <xdr:cNvPr id="14" name="Picture 13">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1"/>
        <a:stretch>
          <a:fillRect/>
        </a:stretch>
      </xdr:blipFill>
      <xdr:spPr>
        <a:xfrm>
          <a:off x="16853842" y="34394144"/>
          <a:ext cx="878580" cy="303896"/>
        </a:xfrm>
        <a:prstGeom prst="rect">
          <a:avLst/>
        </a:prstGeom>
        <a:ln>
          <a:prstDash val="solid"/>
        </a:ln>
      </xdr:spPr>
    </xdr:pic>
    <xdr:clientData/>
  </xdr:oneCellAnchor>
  <xdr:oneCellAnchor>
    <xdr:from>
      <xdr:col>21</xdr:col>
      <xdr:colOff>261292</xdr:colOff>
      <xdr:row>137</xdr:row>
      <xdr:rowOff>189869</xdr:rowOff>
    </xdr:from>
    <xdr:ext cx="878580" cy="303896"/>
    <xdr:pic>
      <xdr:nvPicPr>
        <xdr:cNvPr id="15" name="Picture 14">
          <a:extLst>
            <a:ext uri="{FF2B5EF4-FFF2-40B4-BE49-F238E27FC236}">
              <a16:creationId xmlns:a16="http://schemas.microsoft.com/office/drawing/2014/main" id="{00000000-0008-0000-3B00-00000F000000}"/>
            </a:ext>
          </a:extLst>
        </xdr:cNvPr>
        <xdr:cNvPicPr>
          <a:picLocks noChangeAspect="1"/>
        </xdr:cNvPicPr>
      </xdr:nvPicPr>
      <xdr:blipFill>
        <a:blip xmlns:r="http://schemas.openxmlformats.org/officeDocument/2006/relationships" r:embed="rId1"/>
        <a:stretch>
          <a:fillRect/>
        </a:stretch>
      </xdr:blipFill>
      <xdr:spPr>
        <a:xfrm>
          <a:off x="17053867" y="37175444"/>
          <a:ext cx="878580" cy="303896"/>
        </a:xfrm>
        <a:prstGeom prst="rect">
          <a:avLst/>
        </a:prstGeom>
        <a:ln>
          <a:prstDash val="solid"/>
        </a:ln>
      </xdr:spPr>
    </xdr:pic>
    <xdr:clientData/>
  </xdr:oneCellAnchor>
  <xdr:oneCellAnchor>
    <xdr:from>
      <xdr:col>13</xdr:col>
      <xdr:colOff>47626</xdr:colOff>
      <xdr:row>28</xdr:row>
      <xdr:rowOff>66676</xdr:rowOff>
    </xdr:from>
    <xdr:ext cx="542923" cy="1825101"/>
    <xdr:pic>
      <xdr:nvPicPr>
        <xdr:cNvPr id="16" name="Picture 15">
          <a:extLst>
            <a:ext uri="{FF2B5EF4-FFF2-40B4-BE49-F238E27FC236}">
              <a16:creationId xmlns:a16="http://schemas.microsoft.com/office/drawing/2014/main" id="{00000000-0008-0000-3B00-000010000000}"/>
            </a:ext>
          </a:extLst>
        </xdr:cNvPr>
        <xdr:cNvPicPr>
          <a:picLocks noChangeAspect="1"/>
        </xdr:cNvPicPr>
      </xdr:nvPicPr>
      <xdr:blipFill>
        <a:blip xmlns:r="http://schemas.openxmlformats.org/officeDocument/2006/relationships" r:embed="rId2"/>
        <a:stretch>
          <a:fillRect/>
        </a:stretch>
      </xdr:blipFill>
      <xdr:spPr>
        <a:xfrm rot="16200000">
          <a:off x="8807712" y="8137265"/>
          <a:ext cx="1825101" cy="542923"/>
        </a:xfrm>
        <a:prstGeom prst="rect">
          <a:avLst/>
        </a:prstGeom>
        <a:ln>
          <a:prstDash val="solid"/>
        </a:ln>
      </xdr:spPr>
    </xdr:pic>
    <xdr:clientData/>
  </xdr:oneCellAnchor>
  <xdr:oneCellAnchor>
    <xdr:from>
      <xdr:col>13</xdr:col>
      <xdr:colOff>38101</xdr:colOff>
      <xdr:row>38</xdr:row>
      <xdr:rowOff>1</xdr:rowOff>
    </xdr:from>
    <xdr:ext cx="542923" cy="1825101"/>
    <xdr:pic>
      <xdr:nvPicPr>
        <xdr:cNvPr id="17" name="Picture 16">
          <a:extLst>
            <a:ext uri="{FF2B5EF4-FFF2-40B4-BE49-F238E27FC236}">
              <a16:creationId xmlns:a16="http://schemas.microsoft.com/office/drawing/2014/main" id="{00000000-0008-0000-3B00-000011000000}"/>
            </a:ext>
          </a:extLst>
        </xdr:cNvPr>
        <xdr:cNvPicPr>
          <a:picLocks noChangeAspect="1"/>
        </xdr:cNvPicPr>
      </xdr:nvPicPr>
      <xdr:blipFill>
        <a:blip xmlns:r="http://schemas.openxmlformats.org/officeDocument/2006/relationships" r:embed="rId2"/>
        <a:stretch>
          <a:fillRect/>
        </a:stretch>
      </xdr:blipFill>
      <xdr:spPr>
        <a:xfrm rot="16200000">
          <a:off x="8798187" y="10832840"/>
          <a:ext cx="1825101" cy="542923"/>
        </a:xfrm>
        <a:prstGeom prst="rect">
          <a:avLst/>
        </a:prstGeom>
        <a:ln>
          <a:prstDash val="solid"/>
        </a:ln>
      </xdr:spPr>
    </xdr:pic>
    <xdr:clientData/>
  </xdr:oneCellAnchor>
  <xdr:oneCellAnchor>
    <xdr:from>
      <xdr:col>13</xdr:col>
      <xdr:colOff>38101</xdr:colOff>
      <xdr:row>48</xdr:row>
      <xdr:rowOff>38101</xdr:rowOff>
    </xdr:from>
    <xdr:ext cx="542923" cy="1825101"/>
    <xdr:pic>
      <xdr:nvPicPr>
        <xdr:cNvPr id="18" name="Picture 17">
          <a:extLst>
            <a:ext uri="{FF2B5EF4-FFF2-40B4-BE49-F238E27FC236}">
              <a16:creationId xmlns:a16="http://schemas.microsoft.com/office/drawing/2014/main" id="{00000000-0008-0000-3B00-000012000000}"/>
            </a:ext>
          </a:extLst>
        </xdr:cNvPr>
        <xdr:cNvPicPr>
          <a:picLocks noChangeAspect="1"/>
        </xdr:cNvPicPr>
      </xdr:nvPicPr>
      <xdr:blipFill>
        <a:blip xmlns:r="http://schemas.openxmlformats.org/officeDocument/2006/relationships" r:embed="rId2"/>
        <a:stretch>
          <a:fillRect/>
        </a:stretch>
      </xdr:blipFill>
      <xdr:spPr>
        <a:xfrm rot="16200000">
          <a:off x="8798187" y="13566515"/>
          <a:ext cx="1825101" cy="542923"/>
        </a:xfrm>
        <a:prstGeom prst="rect">
          <a:avLst/>
        </a:prstGeom>
        <a:ln>
          <a:prstDash val="solid"/>
        </a:ln>
      </xdr:spPr>
    </xdr:pic>
    <xdr:clientData/>
  </xdr:oneCellAnchor>
  <xdr:oneCellAnchor>
    <xdr:from>
      <xdr:col>13</xdr:col>
      <xdr:colOff>57151</xdr:colOff>
      <xdr:row>58</xdr:row>
      <xdr:rowOff>1</xdr:rowOff>
    </xdr:from>
    <xdr:ext cx="542923" cy="1825101"/>
    <xdr:pic>
      <xdr:nvPicPr>
        <xdr:cNvPr id="19" name="Picture 18">
          <a:extLst>
            <a:ext uri="{FF2B5EF4-FFF2-40B4-BE49-F238E27FC236}">
              <a16:creationId xmlns:a16="http://schemas.microsoft.com/office/drawing/2014/main" id="{00000000-0008-0000-3B00-000013000000}"/>
            </a:ext>
          </a:extLst>
        </xdr:cNvPr>
        <xdr:cNvPicPr>
          <a:picLocks noChangeAspect="1"/>
        </xdr:cNvPicPr>
      </xdr:nvPicPr>
      <xdr:blipFill>
        <a:blip xmlns:r="http://schemas.openxmlformats.org/officeDocument/2006/relationships" r:embed="rId2"/>
        <a:stretch>
          <a:fillRect/>
        </a:stretch>
      </xdr:blipFill>
      <xdr:spPr>
        <a:xfrm rot="16200000">
          <a:off x="8817237" y="16347815"/>
          <a:ext cx="1825101" cy="542923"/>
        </a:xfrm>
        <a:prstGeom prst="rect">
          <a:avLst/>
        </a:prstGeom>
        <a:ln>
          <a:prstDash val="solid"/>
        </a:ln>
      </xdr:spPr>
    </xdr:pic>
    <xdr:clientData/>
  </xdr:oneCellAnchor>
  <xdr:oneCellAnchor>
    <xdr:from>
      <xdr:col>13</xdr:col>
      <xdr:colOff>47626</xdr:colOff>
      <xdr:row>68</xdr:row>
      <xdr:rowOff>19051</xdr:rowOff>
    </xdr:from>
    <xdr:ext cx="542923" cy="1825101"/>
    <xdr:pic>
      <xdr:nvPicPr>
        <xdr:cNvPr id="20" name="Picture 19">
          <a:extLst>
            <a:ext uri="{FF2B5EF4-FFF2-40B4-BE49-F238E27FC236}">
              <a16:creationId xmlns:a16="http://schemas.microsoft.com/office/drawing/2014/main" id="{00000000-0008-0000-3B00-000014000000}"/>
            </a:ext>
          </a:extLst>
        </xdr:cNvPr>
        <xdr:cNvPicPr>
          <a:picLocks noChangeAspect="1"/>
        </xdr:cNvPicPr>
      </xdr:nvPicPr>
      <xdr:blipFill>
        <a:blip xmlns:r="http://schemas.openxmlformats.org/officeDocument/2006/relationships" r:embed="rId2"/>
        <a:stretch>
          <a:fillRect/>
        </a:stretch>
      </xdr:blipFill>
      <xdr:spPr>
        <a:xfrm rot="16200000">
          <a:off x="8807712" y="19148165"/>
          <a:ext cx="1825101" cy="542923"/>
        </a:xfrm>
        <a:prstGeom prst="rect">
          <a:avLst/>
        </a:prstGeom>
        <a:ln>
          <a:prstDash val="solid"/>
        </a:ln>
      </xdr:spPr>
    </xdr:pic>
    <xdr:clientData/>
  </xdr:oneCellAnchor>
  <xdr:oneCellAnchor>
    <xdr:from>
      <xdr:col>13</xdr:col>
      <xdr:colOff>47626</xdr:colOff>
      <xdr:row>78</xdr:row>
      <xdr:rowOff>9526</xdr:rowOff>
    </xdr:from>
    <xdr:ext cx="542923" cy="1825101"/>
    <xdr:pic>
      <xdr:nvPicPr>
        <xdr:cNvPr id="21" name="Picture 20">
          <a:extLst>
            <a:ext uri="{FF2B5EF4-FFF2-40B4-BE49-F238E27FC236}">
              <a16:creationId xmlns:a16="http://schemas.microsoft.com/office/drawing/2014/main" id="{00000000-0008-0000-3B00-000015000000}"/>
            </a:ext>
          </a:extLst>
        </xdr:cNvPr>
        <xdr:cNvPicPr>
          <a:picLocks noChangeAspect="1"/>
        </xdr:cNvPicPr>
      </xdr:nvPicPr>
      <xdr:blipFill>
        <a:blip xmlns:r="http://schemas.openxmlformats.org/officeDocument/2006/relationships" r:embed="rId2"/>
        <a:stretch>
          <a:fillRect/>
        </a:stretch>
      </xdr:blipFill>
      <xdr:spPr>
        <a:xfrm rot="16200000">
          <a:off x="8807712" y="21881840"/>
          <a:ext cx="1825101" cy="542923"/>
        </a:xfrm>
        <a:prstGeom prst="rect">
          <a:avLst/>
        </a:prstGeom>
        <a:ln>
          <a:prstDash val="solid"/>
        </a:ln>
      </xdr:spPr>
    </xdr:pic>
    <xdr:clientData/>
  </xdr:oneCellAnchor>
  <xdr:oneCellAnchor>
    <xdr:from>
      <xdr:col>13</xdr:col>
      <xdr:colOff>47626</xdr:colOff>
      <xdr:row>88</xdr:row>
      <xdr:rowOff>47626</xdr:rowOff>
    </xdr:from>
    <xdr:ext cx="542923" cy="1825101"/>
    <xdr:pic>
      <xdr:nvPicPr>
        <xdr:cNvPr id="22" name="Picture 21">
          <a:extLst>
            <a:ext uri="{FF2B5EF4-FFF2-40B4-BE49-F238E27FC236}">
              <a16:creationId xmlns:a16="http://schemas.microsoft.com/office/drawing/2014/main" id="{00000000-0008-0000-3B00-000016000000}"/>
            </a:ext>
          </a:extLst>
        </xdr:cNvPr>
        <xdr:cNvPicPr>
          <a:picLocks noChangeAspect="1"/>
        </xdr:cNvPicPr>
      </xdr:nvPicPr>
      <xdr:blipFill>
        <a:blip xmlns:r="http://schemas.openxmlformats.org/officeDocument/2006/relationships" r:embed="rId2"/>
        <a:stretch>
          <a:fillRect/>
        </a:stretch>
      </xdr:blipFill>
      <xdr:spPr>
        <a:xfrm rot="16200000">
          <a:off x="8807712" y="24653615"/>
          <a:ext cx="1825101" cy="542923"/>
        </a:xfrm>
        <a:prstGeom prst="rect">
          <a:avLst/>
        </a:prstGeom>
        <a:ln>
          <a:prstDash val="solid"/>
        </a:ln>
      </xdr:spPr>
    </xdr:pic>
    <xdr:clientData/>
  </xdr:oneCellAnchor>
  <xdr:oneCellAnchor>
    <xdr:from>
      <xdr:col>13</xdr:col>
      <xdr:colOff>28576</xdr:colOff>
      <xdr:row>98</xdr:row>
      <xdr:rowOff>38101</xdr:rowOff>
    </xdr:from>
    <xdr:ext cx="542923" cy="1825101"/>
    <xdr:pic>
      <xdr:nvPicPr>
        <xdr:cNvPr id="23" name="Picture 22">
          <a:extLst>
            <a:ext uri="{FF2B5EF4-FFF2-40B4-BE49-F238E27FC236}">
              <a16:creationId xmlns:a16="http://schemas.microsoft.com/office/drawing/2014/main" id="{00000000-0008-0000-3B00-000017000000}"/>
            </a:ext>
          </a:extLst>
        </xdr:cNvPr>
        <xdr:cNvPicPr>
          <a:picLocks noChangeAspect="1"/>
        </xdr:cNvPicPr>
      </xdr:nvPicPr>
      <xdr:blipFill>
        <a:blip xmlns:r="http://schemas.openxmlformats.org/officeDocument/2006/relationships" r:embed="rId2"/>
        <a:stretch>
          <a:fillRect/>
        </a:stretch>
      </xdr:blipFill>
      <xdr:spPr>
        <a:xfrm rot="16200000">
          <a:off x="8788662" y="27387290"/>
          <a:ext cx="1825101" cy="542923"/>
        </a:xfrm>
        <a:prstGeom prst="rect">
          <a:avLst/>
        </a:prstGeom>
        <a:ln>
          <a:prstDash val="solid"/>
        </a:ln>
      </xdr:spPr>
    </xdr:pic>
    <xdr:clientData/>
  </xdr:oneCellAnchor>
  <xdr:oneCellAnchor>
    <xdr:from>
      <xdr:col>13</xdr:col>
      <xdr:colOff>28576</xdr:colOff>
      <xdr:row>108</xdr:row>
      <xdr:rowOff>28576</xdr:rowOff>
    </xdr:from>
    <xdr:ext cx="542923" cy="1825101"/>
    <xdr:pic>
      <xdr:nvPicPr>
        <xdr:cNvPr id="24" name="Picture 23">
          <a:extLst>
            <a:ext uri="{FF2B5EF4-FFF2-40B4-BE49-F238E27FC236}">
              <a16:creationId xmlns:a16="http://schemas.microsoft.com/office/drawing/2014/main" id="{00000000-0008-0000-3B00-000018000000}"/>
            </a:ext>
          </a:extLst>
        </xdr:cNvPr>
        <xdr:cNvPicPr>
          <a:picLocks noChangeAspect="1"/>
        </xdr:cNvPicPr>
      </xdr:nvPicPr>
      <xdr:blipFill>
        <a:blip xmlns:r="http://schemas.openxmlformats.org/officeDocument/2006/relationships" r:embed="rId2"/>
        <a:stretch>
          <a:fillRect/>
        </a:stretch>
      </xdr:blipFill>
      <xdr:spPr>
        <a:xfrm rot="16200000">
          <a:off x="8788662" y="30149540"/>
          <a:ext cx="1825101" cy="542923"/>
        </a:xfrm>
        <a:prstGeom prst="rect">
          <a:avLst/>
        </a:prstGeom>
        <a:ln>
          <a:prstDash val="solid"/>
        </a:ln>
      </xdr:spPr>
    </xdr:pic>
    <xdr:clientData/>
  </xdr:oneCellAnchor>
  <xdr:oneCellAnchor>
    <xdr:from>
      <xdr:col>13</xdr:col>
      <xdr:colOff>57151</xdr:colOff>
      <xdr:row>118</xdr:row>
      <xdr:rowOff>38101</xdr:rowOff>
    </xdr:from>
    <xdr:ext cx="542923" cy="1825101"/>
    <xdr:pic>
      <xdr:nvPicPr>
        <xdr:cNvPr id="25" name="Picture 24">
          <a:extLst>
            <a:ext uri="{FF2B5EF4-FFF2-40B4-BE49-F238E27FC236}">
              <a16:creationId xmlns:a16="http://schemas.microsoft.com/office/drawing/2014/main" id="{00000000-0008-0000-3B00-000019000000}"/>
            </a:ext>
          </a:extLst>
        </xdr:cNvPr>
        <xdr:cNvPicPr>
          <a:picLocks noChangeAspect="1"/>
        </xdr:cNvPicPr>
      </xdr:nvPicPr>
      <xdr:blipFill>
        <a:blip xmlns:r="http://schemas.openxmlformats.org/officeDocument/2006/relationships" r:embed="rId2"/>
        <a:stretch>
          <a:fillRect/>
        </a:stretch>
      </xdr:blipFill>
      <xdr:spPr>
        <a:xfrm rot="16200000">
          <a:off x="8817237" y="32797490"/>
          <a:ext cx="1825101" cy="542923"/>
        </a:xfrm>
        <a:prstGeom prst="rect">
          <a:avLst/>
        </a:prstGeom>
        <a:ln>
          <a:prstDash val="solid"/>
        </a:ln>
      </xdr:spPr>
    </xdr:pic>
    <xdr:clientData/>
  </xdr:oneCellAnchor>
  <xdr:oneCellAnchor>
    <xdr:from>
      <xdr:col>13</xdr:col>
      <xdr:colOff>57151</xdr:colOff>
      <xdr:row>128</xdr:row>
      <xdr:rowOff>38101</xdr:rowOff>
    </xdr:from>
    <xdr:ext cx="542923" cy="1825101"/>
    <xdr:pic>
      <xdr:nvPicPr>
        <xdr:cNvPr id="26" name="Picture 25">
          <a:extLst>
            <a:ext uri="{FF2B5EF4-FFF2-40B4-BE49-F238E27FC236}">
              <a16:creationId xmlns:a16="http://schemas.microsoft.com/office/drawing/2014/main" id="{00000000-0008-0000-3B00-00001A000000}"/>
            </a:ext>
          </a:extLst>
        </xdr:cNvPr>
        <xdr:cNvPicPr>
          <a:picLocks noChangeAspect="1"/>
        </xdr:cNvPicPr>
      </xdr:nvPicPr>
      <xdr:blipFill>
        <a:blip xmlns:r="http://schemas.openxmlformats.org/officeDocument/2006/relationships" r:embed="rId2"/>
        <a:stretch>
          <a:fillRect/>
        </a:stretch>
      </xdr:blipFill>
      <xdr:spPr>
        <a:xfrm rot="16200000">
          <a:off x="8817237" y="35435915"/>
          <a:ext cx="1825101" cy="542923"/>
        </a:xfrm>
        <a:prstGeom prst="rect">
          <a:avLst/>
        </a:prstGeom>
        <a:ln>
          <a:prstDash val="solid"/>
        </a:ln>
      </xdr:spPr>
    </xdr:pic>
    <xdr:clientData/>
  </xdr:oneCellAnchor>
  <xdr:oneCellAnchor>
    <xdr:from>
      <xdr:col>7</xdr:col>
      <xdr:colOff>501911</xdr:colOff>
      <xdr:row>47</xdr:row>
      <xdr:rowOff>57151</xdr:rowOff>
    </xdr:from>
    <xdr:ext cx="3083655" cy="917312"/>
    <xdr:pic>
      <xdr:nvPicPr>
        <xdr:cNvPr id="27" name="Picture 26">
          <a:extLst>
            <a:ext uri="{FF2B5EF4-FFF2-40B4-BE49-F238E27FC236}">
              <a16:creationId xmlns:a16="http://schemas.microsoft.com/office/drawing/2014/main" id="{00000000-0008-0000-3B00-00001B000000}"/>
            </a:ext>
          </a:extLst>
        </xdr:cNvPr>
        <xdr:cNvPicPr>
          <a:picLocks noChangeAspect="1"/>
        </xdr:cNvPicPr>
      </xdr:nvPicPr>
      <xdr:blipFill>
        <a:blip xmlns:r="http://schemas.openxmlformats.org/officeDocument/2006/relationships" r:embed="rId2"/>
        <a:stretch>
          <a:fillRect/>
        </a:stretch>
      </xdr:blipFill>
      <xdr:spPr>
        <a:xfrm>
          <a:off x="4988186" y="12487276"/>
          <a:ext cx="3083655" cy="917312"/>
        </a:xfrm>
        <a:prstGeom prst="rect">
          <a:avLst/>
        </a:prstGeom>
        <a:ln>
          <a:prstDash val="solid"/>
        </a:ln>
      </xdr:spPr>
    </xdr:pic>
    <xdr:clientData/>
  </xdr:oneCellAnchor>
  <mc:AlternateContent xmlns:mc="http://schemas.openxmlformats.org/markup-compatibility/2006">
    <mc:Choice xmlns:a14="http://schemas.microsoft.com/office/drawing/2010/main" Requires="a14">
      <xdr:twoCellAnchor editAs="oneCell">
        <xdr:from>
          <xdr:col>22</xdr:col>
          <xdr:colOff>1057275</xdr:colOff>
          <xdr:row>20</xdr:row>
          <xdr:rowOff>9525</xdr:rowOff>
        </xdr:from>
        <xdr:to>
          <xdr:col>23</xdr:col>
          <xdr:colOff>990600</xdr:colOff>
          <xdr:row>21</xdr:row>
          <xdr:rowOff>190500</xdr:rowOff>
        </xdr:to>
        <xdr:sp macro="" textlink="">
          <xdr:nvSpPr>
            <xdr:cNvPr id="1087489" name="Button 1" hidden="1">
              <a:extLst>
                <a:ext uri="{63B3BB69-23CF-44E3-9099-C40C66FF867C}">
                  <a14:compatExt spid="_x0000_s1087489"/>
                </a:ext>
                <a:ext uri="{FF2B5EF4-FFF2-40B4-BE49-F238E27FC236}">
                  <a16:creationId xmlns:a16="http://schemas.microsoft.com/office/drawing/2014/main" id="{00000000-0008-0000-3B00-000001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Genreate JANUARY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1085850</xdr:colOff>
          <xdr:row>29</xdr:row>
          <xdr:rowOff>228600</xdr:rowOff>
        </xdr:from>
        <xdr:to>
          <xdr:col>24</xdr:col>
          <xdr:colOff>133350</xdr:colOff>
          <xdr:row>31</xdr:row>
          <xdr:rowOff>228600</xdr:rowOff>
        </xdr:to>
        <xdr:sp macro="" textlink="">
          <xdr:nvSpPr>
            <xdr:cNvPr id="1087490" name="Button 2" hidden="1">
              <a:extLst>
                <a:ext uri="{63B3BB69-23CF-44E3-9099-C40C66FF867C}">
                  <a14:compatExt spid="_x0000_s1087490"/>
                </a:ext>
                <a:ext uri="{FF2B5EF4-FFF2-40B4-BE49-F238E27FC236}">
                  <a16:creationId xmlns:a16="http://schemas.microsoft.com/office/drawing/2014/main" id="{00000000-0008-0000-3B00-000002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FEBRUARY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39</xdr:row>
          <xdr:rowOff>104775</xdr:rowOff>
        </xdr:from>
        <xdr:to>
          <xdr:col>24</xdr:col>
          <xdr:colOff>76200</xdr:colOff>
          <xdr:row>41</xdr:row>
          <xdr:rowOff>180975</xdr:rowOff>
        </xdr:to>
        <xdr:sp macro="" textlink="">
          <xdr:nvSpPr>
            <xdr:cNvPr id="1087491" name="Button 3" hidden="1">
              <a:extLst>
                <a:ext uri="{63B3BB69-23CF-44E3-9099-C40C66FF867C}">
                  <a14:compatExt spid="_x0000_s1087491"/>
                </a:ext>
                <a:ext uri="{FF2B5EF4-FFF2-40B4-BE49-F238E27FC236}">
                  <a16:creationId xmlns:a16="http://schemas.microsoft.com/office/drawing/2014/main" id="{00000000-0008-0000-3B00-000003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MARCH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49</xdr:row>
          <xdr:rowOff>180975</xdr:rowOff>
        </xdr:from>
        <xdr:to>
          <xdr:col>24</xdr:col>
          <xdr:colOff>95250</xdr:colOff>
          <xdr:row>51</xdr:row>
          <xdr:rowOff>114300</xdr:rowOff>
        </xdr:to>
        <xdr:sp macro="" textlink="">
          <xdr:nvSpPr>
            <xdr:cNvPr id="1087492" name="Button 4" hidden="1">
              <a:extLst>
                <a:ext uri="{63B3BB69-23CF-44E3-9099-C40C66FF867C}">
                  <a14:compatExt spid="_x0000_s1087492"/>
                </a:ext>
                <a:ext uri="{FF2B5EF4-FFF2-40B4-BE49-F238E27FC236}">
                  <a16:creationId xmlns:a16="http://schemas.microsoft.com/office/drawing/2014/main" id="{00000000-0008-0000-3B00-000004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APRIL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1028700</xdr:colOff>
          <xdr:row>59</xdr:row>
          <xdr:rowOff>161925</xdr:rowOff>
        </xdr:from>
        <xdr:to>
          <xdr:col>24</xdr:col>
          <xdr:colOff>76200</xdr:colOff>
          <xdr:row>61</xdr:row>
          <xdr:rowOff>171450</xdr:rowOff>
        </xdr:to>
        <xdr:sp macro="" textlink="">
          <xdr:nvSpPr>
            <xdr:cNvPr id="1087493" name="Button 5" hidden="1">
              <a:extLst>
                <a:ext uri="{63B3BB69-23CF-44E3-9099-C40C66FF867C}">
                  <a14:compatExt spid="_x0000_s1087493"/>
                </a:ext>
                <a:ext uri="{FF2B5EF4-FFF2-40B4-BE49-F238E27FC236}">
                  <a16:creationId xmlns:a16="http://schemas.microsoft.com/office/drawing/2014/main" id="{00000000-0008-0000-3B00-000005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MAY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1009650</xdr:colOff>
          <xdr:row>69</xdr:row>
          <xdr:rowOff>152400</xdr:rowOff>
        </xdr:from>
        <xdr:to>
          <xdr:col>24</xdr:col>
          <xdr:colOff>57150</xdr:colOff>
          <xdr:row>71</xdr:row>
          <xdr:rowOff>161925</xdr:rowOff>
        </xdr:to>
        <xdr:sp macro="" textlink="">
          <xdr:nvSpPr>
            <xdr:cNvPr id="1087494" name="Button 6" hidden="1">
              <a:extLst>
                <a:ext uri="{63B3BB69-23CF-44E3-9099-C40C66FF867C}">
                  <a14:compatExt spid="_x0000_s1087494"/>
                </a:ext>
                <a:ext uri="{FF2B5EF4-FFF2-40B4-BE49-F238E27FC236}">
                  <a16:creationId xmlns:a16="http://schemas.microsoft.com/office/drawing/2014/main" id="{00000000-0008-0000-3B00-000006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JUNE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79</xdr:row>
          <xdr:rowOff>142875</xdr:rowOff>
        </xdr:from>
        <xdr:to>
          <xdr:col>24</xdr:col>
          <xdr:colOff>95250</xdr:colOff>
          <xdr:row>81</xdr:row>
          <xdr:rowOff>152400</xdr:rowOff>
        </xdr:to>
        <xdr:sp macro="" textlink="">
          <xdr:nvSpPr>
            <xdr:cNvPr id="1087495" name="Button 7" hidden="1">
              <a:extLst>
                <a:ext uri="{63B3BB69-23CF-44E3-9099-C40C66FF867C}">
                  <a14:compatExt spid="_x0000_s1087495"/>
                </a:ext>
                <a:ext uri="{FF2B5EF4-FFF2-40B4-BE49-F238E27FC236}">
                  <a16:creationId xmlns:a16="http://schemas.microsoft.com/office/drawing/2014/main" id="{00000000-0008-0000-3B00-000007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JULY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1066800</xdr:colOff>
          <xdr:row>89</xdr:row>
          <xdr:rowOff>133350</xdr:rowOff>
        </xdr:from>
        <xdr:to>
          <xdr:col>24</xdr:col>
          <xdr:colOff>114300</xdr:colOff>
          <xdr:row>91</xdr:row>
          <xdr:rowOff>142875</xdr:rowOff>
        </xdr:to>
        <xdr:sp macro="" textlink="">
          <xdr:nvSpPr>
            <xdr:cNvPr id="1087496" name="Button 8" hidden="1">
              <a:extLst>
                <a:ext uri="{63B3BB69-23CF-44E3-9099-C40C66FF867C}">
                  <a14:compatExt spid="_x0000_s1087496"/>
                </a:ext>
                <a:ext uri="{FF2B5EF4-FFF2-40B4-BE49-F238E27FC236}">
                  <a16:creationId xmlns:a16="http://schemas.microsoft.com/office/drawing/2014/main" id="{00000000-0008-0000-3B00-000008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AUGUST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1038225</xdr:colOff>
          <xdr:row>99</xdr:row>
          <xdr:rowOff>161925</xdr:rowOff>
        </xdr:from>
        <xdr:to>
          <xdr:col>24</xdr:col>
          <xdr:colOff>85725</xdr:colOff>
          <xdr:row>101</xdr:row>
          <xdr:rowOff>171450</xdr:rowOff>
        </xdr:to>
        <xdr:sp macro="" textlink="">
          <xdr:nvSpPr>
            <xdr:cNvPr id="1087497" name="Button 9" hidden="1">
              <a:extLst>
                <a:ext uri="{63B3BB69-23CF-44E3-9099-C40C66FF867C}">
                  <a14:compatExt spid="_x0000_s1087497"/>
                </a:ext>
                <a:ext uri="{FF2B5EF4-FFF2-40B4-BE49-F238E27FC236}">
                  <a16:creationId xmlns:a16="http://schemas.microsoft.com/office/drawing/2014/main" id="{00000000-0008-0000-3B00-000009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SEPTEMBER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109</xdr:row>
          <xdr:rowOff>104775</xdr:rowOff>
        </xdr:from>
        <xdr:to>
          <xdr:col>24</xdr:col>
          <xdr:colOff>66675</xdr:colOff>
          <xdr:row>111</xdr:row>
          <xdr:rowOff>114300</xdr:rowOff>
        </xdr:to>
        <xdr:sp macro="" textlink="">
          <xdr:nvSpPr>
            <xdr:cNvPr id="1087498" name="Button 10" hidden="1">
              <a:extLst>
                <a:ext uri="{63B3BB69-23CF-44E3-9099-C40C66FF867C}">
                  <a14:compatExt spid="_x0000_s1087498"/>
                </a:ext>
                <a:ext uri="{FF2B5EF4-FFF2-40B4-BE49-F238E27FC236}">
                  <a16:creationId xmlns:a16="http://schemas.microsoft.com/office/drawing/2014/main" id="{00000000-0008-0000-3B00-00000A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OCTOBER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1047750</xdr:colOff>
          <xdr:row>119</xdr:row>
          <xdr:rowOff>95250</xdr:rowOff>
        </xdr:from>
        <xdr:to>
          <xdr:col>24</xdr:col>
          <xdr:colOff>95250</xdr:colOff>
          <xdr:row>121</xdr:row>
          <xdr:rowOff>104775</xdr:rowOff>
        </xdr:to>
        <xdr:sp macro="" textlink="">
          <xdr:nvSpPr>
            <xdr:cNvPr id="1087499" name="Button 11" hidden="1">
              <a:extLst>
                <a:ext uri="{63B3BB69-23CF-44E3-9099-C40C66FF867C}">
                  <a14:compatExt spid="_x0000_s1087499"/>
                </a:ext>
                <a:ext uri="{FF2B5EF4-FFF2-40B4-BE49-F238E27FC236}">
                  <a16:creationId xmlns:a16="http://schemas.microsoft.com/office/drawing/2014/main" id="{00000000-0008-0000-3B00-00000B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NOVEMBER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1019175</xdr:colOff>
          <xdr:row>129</xdr:row>
          <xdr:rowOff>66675</xdr:rowOff>
        </xdr:from>
        <xdr:to>
          <xdr:col>24</xdr:col>
          <xdr:colOff>66675</xdr:colOff>
          <xdr:row>131</xdr:row>
          <xdr:rowOff>76200</xdr:rowOff>
        </xdr:to>
        <xdr:sp macro="" textlink="">
          <xdr:nvSpPr>
            <xdr:cNvPr id="1087500" name="Button 12" hidden="1">
              <a:extLst>
                <a:ext uri="{63B3BB69-23CF-44E3-9099-C40C66FF867C}">
                  <a14:compatExt spid="_x0000_s1087500"/>
                </a:ext>
                <a:ext uri="{FF2B5EF4-FFF2-40B4-BE49-F238E27FC236}">
                  <a16:creationId xmlns:a16="http://schemas.microsoft.com/office/drawing/2014/main" id="{00000000-0008-0000-3B00-00000C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DECEMBER Payslip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40</xdr:row>
          <xdr:rowOff>95250</xdr:rowOff>
        </xdr:from>
        <xdr:to>
          <xdr:col>11</xdr:col>
          <xdr:colOff>790575</xdr:colOff>
          <xdr:row>42</xdr:row>
          <xdr:rowOff>152400</xdr:rowOff>
        </xdr:to>
        <xdr:sp macro="" textlink="">
          <xdr:nvSpPr>
            <xdr:cNvPr id="1087501" name="Button 13" hidden="1">
              <a:extLst>
                <a:ext uri="{63B3BB69-23CF-44E3-9099-C40C66FF867C}">
                  <a14:compatExt spid="_x0000_s1087501"/>
                </a:ext>
                <a:ext uri="{FF2B5EF4-FFF2-40B4-BE49-F238E27FC236}">
                  <a16:creationId xmlns:a16="http://schemas.microsoft.com/office/drawing/2014/main" id="{00000000-0008-0000-3B00-00000D98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Generate social Security Info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rchr\Desktop\ZZZ%20DIRECTOR%20ONLY\2026\Backups\EMPINFO.xlsm" TargetMode="External"/><Relationship Id="rId1" Type="http://schemas.openxmlformats.org/officeDocument/2006/relationships/externalLinkPath" Target="Backups/EMPINF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mpIDs"/>
      <sheetName val="LCarini"/>
      <sheetName val="RGaldes"/>
      <sheetName val="KMizzi"/>
      <sheetName val="RCamilleri"/>
      <sheetName val="DMifsud_Ceci"/>
      <sheetName val="LBonnici"/>
      <sheetName val="MCamilleri"/>
      <sheetName val="RAttard"/>
      <sheetName val="NScerri_Esposito"/>
      <sheetName val="RSreejith"/>
      <sheetName val="RMallan_Albani"/>
      <sheetName val="AHaneena"/>
      <sheetName val="ELama"/>
      <sheetName val="MAcero_Garzon"/>
      <sheetName val="AKunnamkudath"/>
      <sheetName val="RAcharya"/>
      <sheetName val="MEllul"/>
      <sheetName val="ECurmi"/>
      <sheetName val="AFalzon"/>
      <sheetName val="ZMifsud"/>
      <sheetName val="SSpare"/>
      <sheetName val="DATA"/>
      <sheetName val="STATS"/>
    </sheetNames>
    <definedNames>
      <definedName name="empdata" refersTo="='EmpIDs'!$A$1:$AC$39"/>
      <definedName name="empid" refersTo="='EmpIDs'!$A$1:$A$39"/>
    </definedNames>
    <sheetDataSet>
      <sheetData sheetId="0">
        <row r="1">
          <cell r="A1" t="str">
            <v>EMP ID</v>
          </cell>
          <cell r="B1" t="str">
            <v>Record datae</v>
          </cell>
          <cell r="C1" t="str">
            <v>Surname</v>
          </cell>
          <cell r="D1" t="str">
            <v>Name</v>
          </cell>
          <cell r="E1" t="str">
            <v>datae first employed</v>
          </cell>
          <cell r="F1" t="str">
            <v>ID</v>
          </cell>
          <cell r="G1" t="str">
            <v>Spouse ID</v>
          </cell>
          <cell r="H1" t="str">
            <v>Position held</v>
          </cell>
          <cell r="I1" t="str">
            <v>Full time/Hours Per Week</v>
          </cell>
          <cell r="J1" t="str">
            <v>Telephone</v>
          </cell>
          <cell r="L1" t="str">
            <v>Email</v>
          </cell>
          <cell r="M1" t="str">
            <v>DOB</v>
          </cell>
          <cell r="N1" t="str">
            <v>SOC SEC No.</v>
          </cell>
          <cell r="O1" t="str">
            <v>Status</v>
          </cell>
          <cell r="Q1" t="str">
            <v>Bank Details for direct bank transfer</v>
          </cell>
          <cell r="S1" t="str">
            <v>Address2</v>
          </cell>
          <cell r="T1" t="str">
            <v>City</v>
          </cell>
          <cell r="U1" t="str">
            <v>Postcode</v>
          </cell>
          <cell r="V1" t="str">
            <v>Current/Terminated/Changed Designation</v>
          </cell>
          <cell r="W1" t="str">
            <v>New Record</v>
          </cell>
          <cell r="X1" t="str">
            <v>Pay Per Hour</v>
          </cell>
          <cell r="Y1" t="str">
            <v>FT/PT</v>
          </cell>
          <cell r="Z1" t="str">
            <v>Pay Monthly</v>
          </cell>
          <cell r="AA1" t="str">
            <v>Nationality</v>
          </cell>
          <cell r="AB1" t="str">
            <v>TAX Number for eU Citizens</v>
          </cell>
          <cell r="AC1" t="str">
            <v>TERM dataE</v>
          </cell>
        </row>
        <row r="2">
          <cell r="A2">
            <v>1</v>
          </cell>
          <cell r="B2">
            <v>2</v>
          </cell>
          <cell r="C2">
            <v>3</v>
          </cell>
          <cell r="D2">
            <v>4</v>
          </cell>
          <cell r="E2">
            <v>5</v>
          </cell>
          <cell r="F2">
            <v>6</v>
          </cell>
          <cell r="G2">
            <v>7</v>
          </cell>
          <cell r="H2">
            <v>8</v>
          </cell>
          <cell r="I2">
            <v>9</v>
          </cell>
          <cell r="J2">
            <v>10</v>
          </cell>
          <cell r="K2">
            <v>11</v>
          </cell>
          <cell r="L2">
            <v>12</v>
          </cell>
          <cell r="M2">
            <v>13</v>
          </cell>
          <cell r="N2">
            <v>14</v>
          </cell>
          <cell r="O2">
            <v>15</v>
          </cell>
          <cell r="P2">
            <v>16</v>
          </cell>
          <cell r="Q2">
            <v>17</v>
          </cell>
          <cell r="R2">
            <v>18</v>
          </cell>
          <cell r="S2">
            <v>19</v>
          </cell>
          <cell r="T2">
            <v>20</v>
          </cell>
          <cell r="U2">
            <v>21</v>
          </cell>
          <cell r="V2">
            <v>22</v>
          </cell>
          <cell r="W2">
            <v>23</v>
          </cell>
          <cell r="X2">
            <v>24</v>
          </cell>
          <cell r="Y2">
            <v>25</v>
          </cell>
          <cell r="Z2">
            <v>26</v>
          </cell>
          <cell r="AA2">
            <v>27</v>
          </cell>
          <cell r="AB2">
            <v>28</v>
          </cell>
          <cell r="AC2">
            <v>29</v>
          </cell>
        </row>
        <row r="3">
          <cell r="A3">
            <v>46023</v>
          </cell>
        </row>
        <row r="4">
          <cell r="A4">
            <v>2018001</v>
          </cell>
          <cell r="B4">
            <v>42614</v>
          </cell>
          <cell r="C4" t="str">
            <v>Galdes</v>
          </cell>
          <cell r="D4" t="str">
            <v>Ritienne</v>
          </cell>
          <cell r="E4">
            <v>42614</v>
          </cell>
          <cell r="F4" t="str">
            <v>256693M</v>
          </cell>
          <cell r="H4" t="str">
            <v>2. Dental Surgeon</v>
          </cell>
          <cell r="I4">
            <v>40</v>
          </cell>
          <cell r="J4">
            <v>77170064</v>
          </cell>
          <cell r="L4" t="str">
            <v>ritiennegaldes@mediatrixmalta.com</v>
          </cell>
          <cell r="M4">
            <v>34123</v>
          </cell>
          <cell r="N4" t="str">
            <v>D45912845</v>
          </cell>
          <cell r="O4" t="str">
            <v>SIN</v>
          </cell>
          <cell r="P4" t="str">
            <v>RGaldes</v>
          </cell>
          <cell r="Q4" t="str">
            <v>MT31VALL22013000000040024253042</v>
          </cell>
          <cell r="R4" t="str">
            <v>18, Orchedea,</v>
          </cell>
          <cell r="S4" t="str">
            <v>Pietru Felice str.</v>
          </cell>
          <cell r="T4" t="str">
            <v>Qormi</v>
          </cell>
          <cell r="U4" t="str">
            <v>QRM4562</v>
          </cell>
          <cell r="V4" t="str">
            <v>Current</v>
          </cell>
          <cell r="Y4" t="str">
            <v>FT</v>
          </cell>
          <cell r="AA4" t="str">
            <v>Maltese</v>
          </cell>
          <cell r="AC4">
            <v>46387</v>
          </cell>
        </row>
        <row r="5">
          <cell r="A5">
            <v>2018002</v>
          </cell>
          <cell r="B5">
            <v>42037</v>
          </cell>
          <cell r="C5" t="str">
            <v>Carini</v>
          </cell>
          <cell r="D5" t="str">
            <v>Lucia</v>
          </cell>
          <cell r="E5">
            <v>42037</v>
          </cell>
          <cell r="F5" t="str">
            <v>136555A</v>
          </cell>
          <cell r="G5" t="str">
            <v>0129604A</v>
          </cell>
          <cell r="H5" t="str">
            <v>2. Dental Surgeon</v>
          </cell>
          <cell r="I5">
            <v>21</v>
          </cell>
          <cell r="J5">
            <v>77022341</v>
          </cell>
          <cell r="L5" t="str">
            <v>luciacarini@mediatrixmalta.com</v>
          </cell>
          <cell r="M5">
            <v>32625</v>
          </cell>
          <cell r="N5" t="str">
            <v>B50772610</v>
          </cell>
          <cell r="O5" t="str">
            <v>PAR2</v>
          </cell>
          <cell r="P5" t="str">
            <v>LCarini</v>
          </cell>
          <cell r="Q5" t="str">
            <v>MT47VALL22013000000040023484029</v>
          </cell>
          <cell r="R5" t="str">
            <v>25th Anniversary Ent C, Flt 3</v>
          </cell>
          <cell r="S5" t="str">
            <v>Triq Luigi Pisani</v>
          </cell>
          <cell r="T5" t="str">
            <v>Kalkara</v>
          </cell>
          <cell r="U5" t="str">
            <v>KKR1331</v>
          </cell>
          <cell r="V5" t="str">
            <v>Current</v>
          </cell>
          <cell r="Y5" t="str">
            <v>FT_RED</v>
          </cell>
          <cell r="AA5" t="str">
            <v>Italian</v>
          </cell>
          <cell r="AB5">
            <v>620181226</v>
          </cell>
          <cell r="AC5">
            <v>46387</v>
          </cell>
        </row>
        <row r="6">
          <cell r="A6">
            <v>2024006</v>
          </cell>
          <cell r="B6">
            <v>45509</v>
          </cell>
          <cell r="C6" t="str">
            <v>Mizzi</v>
          </cell>
          <cell r="D6" t="str">
            <v>Katia</v>
          </cell>
          <cell r="E6">
            <v>45509</v>
          </cell>
          <cell r="F6" t="str">
            <v xml:space="preserve">2399G
</v>
          </cell>
          <cell r="H6" t="str">
            <v>2. Dental Surgeon</v>
          </cell>
          <cell r="I6">
            <v>40</v>
          </cell>
          <cell r="J6">
            <v>79081599</v>
          </cell>
          <cell r="K6">
            <v>21562339</v>
          </cell>
          <cell r="L6" t="str">
            <v>katiamizzi8@gmail.com</v>
          </cell>
          <cell r="M6">
            <v>36168</v>
          </cell>
          <cell r="O6" t="str">
            <v>SIN</v>
          </cell>
          <cell r="P6" t="str">
            <v>KMizzi</v>
          </cell>
          <cell r="Q6" t="str">
            <v>MT90VALL22013000000050021691422</v>
          </cell>
          <cell r="R6" t="str">
            <v xml:space="preserve"> ‘Peprina’</v>
          </cell>
          <cell r="S6" t="str">
            <v>Municipju Ruman Street</v>
          </cell>
          <cell r="T6" t="str">
            <v>Victoria Gozo,</v>
          </cell>
          <cell r="U6" t="str">
            <v>VCT2680</v>
          </cell>
          <cell r="V6" t="str">
            <v>Current</v>
          </cell>
          <cell r="Y6" t="str">
            <v>FT</v>
          </cell>
          <cell r="AA6" t="str">
            <v>Maltese</v>
          </cell>
          <cell r="AC6">
            <v>46387</v>
          </cell>
        </row>
        <row r="7">
          <cell r="A7">
            <v>2025008</v>
          </cell>
          <cell r="B7">
            <v>45871</v>
          </cell>
          <cell r="C7" t="str">
            <v>Camilleri</v>
          </cell>
          <cell r="D7" t="str">
            <v>Ryan</v>
          </cell>
          <cell r="E7">
            <v>45880</v>
          </cell>
          <cell r="F7" t="str">
            <v>4401H</v>
          </cell>
          <cell r="H7" t="str">
            <v>2. Dental Surgeon</v>
          </cell>
          <cell r="I7">
            <v>40</v>
          </cell>
          <cell r="J7">
            <v>79010204</v>
          </cell>
          <cell r="L7" t="str">
            <v>camilleri.ryan01@gmail.com</v>
          </cell>
          <cell r="M7">
            <v>4</v>
          </cell>
          <cell r="N7">
            <v>36926</v>
          </cell>
          <cell r="O7" t="str">
            <v>SIN</v>
          </cell>
          <cell r="P7" t="str">
            <v>RCamilleri</v>
          </cell>
          <cell r="R7" t="str">
            <v>Ta' Romeo</v>
          </cell>
          <cell r="S7" t="str">
            <v>Triq il-Knisja</v>
          </cell>
          <cell r="T7" t="str">
            <v>Ghasri</v>
          </cell>
          <cell r="U7" t="str">
            <v>GSR1101</v>
          </cell>
          <cell r="V7" t="str">
            <v>Current</v>
          </cell>
          <cell r="Y7" t="str">
            <v>FT</v>
          </cell>
          <cell r="AA7" t="str">
            <v>Maltese</v>
          </cell>
          <cell r="AC7">
            <v>46387</v>
          </cell>
        </row>
        <row r="8">
          <cell r="A8">
            <v>2025009</v>
          </cell>
          <cell r="B8">
            <v>45931</v>
          </cell>
          <cell r="C8" t="str">
            <v>Mifsud_Ceci</v>
          </cell>
          <cell r="D8" t="str">
            <v>Deborah</v>
          </cell>
          <cell r="E8">
            <v>45931</v>
          </cell>
          <cell r="F8" t="str">
            <v>396M</v>
          </cell>
          <cell r="G8" t="str">
            <v>383190M</v>
          </cell>
          <cell r="H8" t="str">
            <v>2. Dental Surgeon</v>
          </cell>
          <cell r="I8">
            <v>40</v>
          </cell>
          <cell r="J8">
            <v>79414279</v>
          </cell>
          <cell r="K8">
            <v>21414278</v>
          </cell>
          <cell r="L8" t="str">
            <v>deborahmifsud@mediatrixmalta.com</v>
          </cell>
          <cell r="M8">
            <v>35055</v>
          </cell>
          <cell r="O8" t="str">
            <v>SIN</v>
          </cell>
          <cell r="P8" t="str">
            <v>DMifsud_Ceci</v>
          </cell>
          <cell r="Q8" t="str">
            <v>MT17MMEB44587000000058206087001</v>
          </cell>
          <cell r="R8" t="str">
            <v>26, Desert Orchid</v>
          </cell>
          <cell r="S8" t="str">
            <v>Triq L-inhasa</v>
          </cell>
          <cell r="T8" t="str">
            <v>Attard</v>
          </cell>
          <cell r="U8" t="str">
            <v>ATD2105</v>
          </cell>
          <cell r="V8" t="str">
            <v>Current</v>
          </cell>
          <cell r="Y8" t="str">
            <v>FT</v>
          </cell>
          <cell r="AA8" t="str">
            <v>Maltese</v>
          </cell>
          <cell r="AC8">
            <v>46387</v>
          </cell>
        </row>
        <row r="9">
          <cell r="A9">
            <v>2018004</v>
          </cell>
          <cell r="B9">
            <v>42534</v>
          </cell>
          <cell r="C9" t="str">
            <v>Bonnici</v>
          </cell>
          <cell r="D9" t="str">
            <v>Louana</v>
          </cell>
          <cell r="E9">
            <v>42260</v>
          </cell>
          <cell r="F9" t="str">
            <v>182694M</v>
          </cell>
          <cell r="H9" t="str">
            <v>4. CLINICAL Manager</v>
          </cell>
          <cell r="I9">
            <v>40</v>
          </cell>
          <cell r="J9">
            <v>99550271</v>
          </cell>
          <cell r="L9" t="str">
            <v>luana_bonnici@hotmail.com</v>
          </cell>
          <cell r="M9">
            <v>34446</v>
          </cell>
          <cell r="N9" t="str">
            <v>C48636387</v>
          </cell>
          <cell r="O9" t="str">
            <v>PAR2</v>
          </cell>
          <cell r="P9" t="str">
            <v>LBonnici</v>
          </cell>
          <cell r="R9">
            <v>45</v>
          </cell>
          <cell r="S9" t="str">
            <v>Sqaq Lajri</v>
          </cell>
          <cell r="T9" t="str">
            <v>Zabbar</v>
          </cell>
          <cell r="V9" t="str">
            <v>Current</v>
          </cell>
          <cell r="Y9" t="str">
            <v>FT</v>
          </cell>
          <cell r="AA9" t="str">
            <v>Maltese</v>
          </cell>
          <cell r="AC9">
            <v>46387</v>
          </cell>
        </row>
        <row r="10">
          <cell r="A10">
            <v>2020005</v>
          </cell>
          <cell r="B10">
            <v>44025</v>
          </cell>
          <cell r="C10" t="str">
            <v>Camilleri</v>
          </cell>
          <cell r="D10" t="str">
            <v>Michaela</v>
          </cell>
          <cell r="E10">
            <v>44046</v>
          </cell>
          <cell r="F10" t="str">
            <v>333097M</v>
          </cell>
          <cell r="H10" t="str">
            <v>3. OFFICE Manager</v>
          </cell>
          <cell r="I10">
            <v>40</v>
          </cell>
          <cell r="J10">
            <v>79697405</v>
          </cell>
          <cell r="K10">
            <v>21697406</v>
          </cell>
          <cell r="L10" t="str">
            <v>michaela.camilleri@gmail.com</v>
          </cell>
          <cell r="M10">
            <v>35669</v>
          </cell>
          <cell r="N10" t="str">
            <v>A51087352</v>
          </cell>
          <cell r="O10" t="str">
            <v>SIN</v>
          </cell>
          <cell r="P10" t="str">
            <v>MCamilleri</v>
          </cell>
          <cell r="Q10" t="str">
            <v>MT71VALL22013000000040021666399</v>
          </cell>
          <cell r="R10" t="str">
            <v xml:space="preserve">6, </v>
          </cell>
          <cell r="S10" t="str">
            <v>Triq il-Hagar</v>
          </cell>
          <cell r="T10" t="str">
            <v>Tarxien</v>
          </cell>
          <cell r="U10" t="str">
            <v>TXN1232</v>
          </cell>
          <cell r="V10" t="str">
            <v>Current</v>
          </cell>
          <cell r="Y10" t="str">
            <v>FT</v>
          </cell>
          <cell r="AA10" t="str">
            <v>Maltese</v>
          </cell>
          <cell r="AC10">
            <v>46096</v>
          </cell>
        </row>
        <row r="11">
          <cell r="A11">
            <v>2021009</v>
          </cell>
          <cell r="B11">
            <v>44480</v>
          </cell>
          <cell r="C11" t="str">
            <v>Attard</v>
          </cell>
          <cell r="D11" t="str">
            <v>Raisa</v>
          </cell>
          <cell r="E11">
            <v>44480</v>
          </cell>
          <cell r="F11" t="str">
            <v>562091M</v>
          </cell>
          <cell r="H11" t="str">
            <v>9. Receptionist</v>
          </cell>
          <cell r="I11">
            <v>40</v>
          </cell>
          <cell r="J11">
            <v>99834966</v>
          </cell>
          <cell r="L11" t="str">
            <v>charsenraisa@gmail.com</v>
          </cell>
          <cell r="M11">
            <v>33550</v>
          </cell>
          <cell r="N11" t="str">
            <v>B43779068</v>
          </cell>
          <cell r="O11" t="str">
            <v>PAR2</v>
          </cell>
          <cell r="P11" t="str">
            <v>RAttard</v>
          </cell>
          <cell r="Q11" t="str">
            <v>MT33APSB77013000000044505220011</v>
          </cell>
          <cell r="R11" t="str">
            <v>16 Anfield</v>
          </cell>
          <cell r="S11" t="str">
            <v xml:space="preserve"> Triq il-Qronfol</v>
          </cell>
          <cell r="T11" t="str">
            <v>Fgura</v>
          </cell>
          <cell r="U11" t="str">
            <v>FGR1101</v>
          </cell>
          <cell r="V11" t="str">
            <v>Current</v>
          </cell>
          <cell r="Y11" t="str">
            <v>FT</v>
          </cell>
          <cell r="AA11" t="str">
            <v>Maltese</v>
          </cell>
          <cell r="AC11">
            <v>46387</v>
          </cell>
        </row>
        <row r="12">
          <cell r="A12">
            <v>2023005</v>
          </cell>
          <cell r="B12">
            <v>45164</v>
          </cell>
          <cell r="C12" t="str">
            <v>Sreejith</v>
          </cell>
          <cell r="D12" t="str">
            <v>Rethu</v>
          </cell>
          <cell r="E12">
            <v>45145</v>
          </cell>
          <cell r="F12" t="str">
            <v>335048A</v>
          </cell>
          <cell r="G12" t="str">
            <v>255101A</v>
          </cell>
          <cell r="H12" t="str">
            <v>10. Trainee  Dental Assistant</v>
          </cell>
          <cell r="I12">
            <v>40</v>
          </cell>
          <cell r="J12" t="str">
            <v>+356 9995 3865</v>
          </cell>
          <cell r="L12" t="str">
            <v>rethusree7@gmail.com</v>
          </cell>
          <cell r="M12">
            <v>34142</v>
          </cell>
          <cell r="N12" t="str">
            <v>A72592177</v>
          </cell>
          <cell r="O12" t="str">
            <v>MAR1</v>
          </cell>
          <cell r="P12" t="str">
            <v>RSreejith</v>
          </cell>
          <cell r="Q12" t="str">
            <v>LT913250041268993945</v>
          </cell>
          <cell r="R12" t="str">
            <v>12, FL2</v>
          </cell>
          <cell r="S12" t="str">
            <v>TRIQ L-GHOLJIET</v>
          </cell>
          <cell r="T12" t="str">
            <v>IL - MELLIEHA</v>
          </cell>
          <cell r="U12" t="str">
            <v>MLH2104</v>
          </cell>
          <cell r="V12" t="str">
            <v>current</v>
          </cell>
          <cell r="Y12" t="str">
            <v>FT</v>
          </cell>
          <cell r="AA12" t="str">
            <v>Indian</v>
          </cell>
          <cell r="AC12">
            <v>46387</v>
          </cell>
        </row>
        <row r="13">
          <cell r="A13">
            <v>2023006</v>
          </cell>
          <cell r="B13">
            <v>45187</v>
          </cell>
          <cell r="C13" t="str">
            <v>Mallan_Albani</v>
          </cell>
          <cell r="D13" t="str">
            <v>Rebecca</v>
          </cell>
          <cell r="E13">
            <v>45173</v>
          </cell>
          <cell r="F13" t="str">
            <v>57896M</v>
          </cell>
          <cell r="G13" t="str">
            <v>155392M</v>
          </cell>
          <cell r="H13" t="str">
            <v>8. Dental Assistant</v>
          </cell>
          <cell r="I13">
            <v>40</v>
          </cell>
          <cell r="J13">
            <v>79953563</v>
          </cell>
          <cell r="L13" t="str">
            <v>rebeccalbani@icloud.com</v>
          </cell>
          <cell r="M13">
            <v>35094</v>
          </cell>
          <cell r="N13" t="str">
            <v>C49311131</v>
          </cell>
          <cell r="O13" t="str">
            <v>PAR1</v>
          </cell>
          <cell r="P13" t="str">
            <v>RMallan_Albani</v>
          </cell>
          <cell r="Q13" t="str">
            <v>MT23VALL22013000000040019337517</v>
          </cell>
          <cell r="R13" t="str">
            <v xml:space="preserve">101A, Gnejna Mansions, Block G, Flat 2 </v>
          </cell>
          <cell r="S13" t="str">
            <v>Triq Sant Antnin</v>
          </cell>
          <cell r="T13" t="str">
            <v>Zabbar</v>
          </cell>
          <cell r="U13" t="str">
            <v>ZBR3472</v>
          </cell>
          <cell r="V13" t="str">
            <v>Current</v>
          </cell>
          <cell r="Y13" t="str">
            <v>FT</v>
          </cell>
          <cell r="AA13" t="str">
            <v>Maltese</v>
          </cell>
          <cell r="AC13">
            <v>46387</v>
          </cell>
        </row>
        <row r="14">
          <cell r="A14">
            <v>2023007</v>
          </cell>
          <cell r="B14">
            <v>45202</v>
          </cell>
          <cell r="C14" t="str">
            <v>Haneena</v>
          </cell>
          <cell r="D14" t="str">
            <v>Aishathul</v>
          </cell>
          <cell r="E14">
            <v>45201</v>
          </cell>
          <cell r="F14" t="str">
            <v>395389A</v>
          </cell>
          <cell r="G14" t="str">
            <v>218673A</v>
          </cell>
          <cell r="H14" t="str">
            <v>7. Sup. Dental Assistant</v>
          </cell>
          <cell r="I14">
            <v>40</v>
          </cell>
          <cell r="J14">
            <v>79522404</v>
          </cell>
          <cell r="L14" t="str">
            <v>hananaannu@gmail.com</v>
          </cell>
          <cell r="M14">
            <v>36248</v>
          </cell>
          <cell r="N14" t="str">
            <v>A75221384</v>
          </cell>
          <cell r="O14" t="str">
            <v>SIN</v>
          </cell>
          <cell r="P14" t="str">
            <v>AHaneena</v>
          </cell>
          <cell r="Q14" t="str">
            <v>MT37VALL22013000000050020334861</v>
          </cell>
          <cell r="R14" t="str">
            <v>Alagona Court, Flat 3,</v>
          </cell>
          <cell r="S14" t="str">
            <v>Triq Borg</v>
          </cell>
          <cell r="T14" t="str">
            <v>Fleur-De-Lys Birkirkara</v>
          </cell>
          <cell r="U14" t="str">
            <v>BKR4961</v>
          </cell>
          <cell r="V14" t="str">
            <v>Current</v>
          </cell>
          <cell r="Y14" t="str">
            <v>FT</v>
          </cell>
          <cell r="AA14" t="str">
            <v>Indian</v>
          </cell>
          <cell r="AC14">
            <v>46387</v>
          </cell>
        </row>
        <row r="15">
          <cell r="A15">
            <v>2023008</v>
          </cell>
          <cell r="B15">
            <v>45202</v>
          </cell>
          <cell r="C15" t="str">
            <v>Lama</v>
          </cell>
          <cell r="D15" t="str">
            <v>Elda</v>
          </cell>
          <cell r="E15">
            <v>45201</v>
          </cell>
          <cell r="F15" t="str">
            <v>293733A</v>
          </cell>
          <cell r="G15" t="str">
            <v>261247M</v>
          </cell>
          <cell r="H15" t="str">
            <v>7. Sup. Dental Assistant</v>
          </cell>
          <cell r="I15">
            <v>40</v>
          </cell>
          <cell r="J15">
            <v>99556467</v>
          </cell>
          <cell r="L15" t="str">
            <v>eldalama90@gmail.com</v>
          </cell>
          <cell r="M15">
            <v>32947</v>
          </cell>
          <cell r="N15" t="str">
            <v>C68076339</v>
          </cell>
          <cell r="O15" t="str">
            <v>PAR</v>
          </cell>
          <cell r="P15" t="str">
            <v>ELama</v>
          </cell>
          <cell r="Q15" t="str">
            <v>MT41APSB77013000000049071920018</v>
          </cell>
          <cell r="R15" t="str">
            <v>Nevada Court, Block A, Flat 5,</v>
          </cell>
          <cell r="S15" t="str">
            <v>Triq Apap Bologna</v>
          </cell>
          <cell r="T15" t="str">
            <v>Marsascala</v>
          </cell>
          <cell r="U15" t="str">
            <v>MSK2743</v>
          </cell>
          <cell r="V15" t="str">
            <v>Current</v>
          </cell>
          <cell r="Y15" t="str">
            <v>FT</v>
          </cell>
          <cell r="AA15" t="str">
            <v>Albanian</v>
          </cell>
          <cell r="AC15">
            <v>46387</v>
          </cell>
        </row>
        <row r="16">
          <cell r="A16">
            <v>2025001</v>
          </cell>
          <cell r="B16">
            <v>45736</v>
          </cell>
          <cell r="C16" t="str">
            <v>Acero_Garzon</v>
          </cell>
          <cell r="D16" t="str">
            <v>Maria_Cristina</v>
          </cell>
          <cell r="E16">
            <v>45719</v>
          </cell>
          <cell r="F16" t="str">
            <v>469971A</v>
          </cell>
          <cell r="H16" t="str">
            <v>7. Sup. Dental Assistant</v>
          </cell>
          <cell r="I16">
            <v>40</v>
          </cell>
          <cell r="J16">
            <v>77214425</v>
          </cell>
          <cell r="L16" t="str">
            <v>mcacerog@unal.edu.co</v>
          </cell>
          <cell r="M16">
            <v>32577</v>
          </cell>
          <cell r="O16" t="str">
            <v>SIN</v>
          </cell>
          <cell r="P16" t="str">
            <v>MAcero_Garzon</v>
          </cell>
          <cell r="Q16" t="str">
            <v>MT07VALL22013000000050022501702</v>
          </cell>
          <cell r="R16" t="str">
            <v>9, Central Court, Apt 4B</v>
          </cell>
          <cell r="S16" t="str">
            <v>Triq Carmen Mallia</v>
          </cell>
          <cell r="T16" t="str">
            <v>San Gwann</v>
          </cell>
          <cell r="U16" t="str">
            <v>SGN2201</v>
          </cell>
          <cell r="V16" t="str">
            <v>Current</v>
          </cell>
          <cell r="Y16" t="str">
            <v>FT</v>
          </cell>
          <cell r="AA16" t="str">
            <v>Colombian</v>
          </cell>
          <cell r="AC16">
            <v>46387</v>
          </cell>
        </row>
        <row r="17">
          <cell r="A17">
            <v>2025003</v>
          </cell>
          <cell r="B17">
            <v>45712</v>
          </cell>
          <cell r="C17" t="str">
            <v>Acharya</v>
          </cell>
          <cell r="D17" t="str">
            <v>Ramkrishna</v>
          </cell>
          <cell r="E17">
            <v>45691</v>
          </cell>
          <cell r="F17" t="str">
            <v>302663A</v>
          </cell>
          <cell r="H17" t="str">
            <v>13. Maintenance</v>
          </cell>
          <cell r="I17">
            <v>40</v>
          </cell>
          <cell r="J17">
            <v>99923286</v>
          </cell>
          <cell r="L17" t="str">
            <v>ramkrishnaacharya1997@gmail.com</v>
          </cell>
          <cell r="M17">
            <v>35641</v>
          </cell>
          <cell r="O17" t="str">
            <v>SIN</v>
          </cell>
          <cell r="P17" t="str">
            <v>RAcharya</v>
          </cell>
          <cell r="Q17" t="str">
            <v>MT77VALL22013000000050020972692</v>
          </cell>
          <cell r="R17" t="str">
            <v>2, Hacienda Court, Flat 1</v>
          </cell>
          <cell r="S17" t="str">
            <v>Triq id-Dulliegh</v>
          </cell>
          <cell r="T17" t="str">
            <v>Zejtun</v>
          </cell>
          <cell r="U17" t="str">
            <v>ZTN4371</v>
          </cell>
          <cell r="V17" t="str">
            <v>Current</v>
          </cell>
          <cell r="Y17" t="str">
            <v>FT</v>
          </cell>
          <cell r="AA17" t="str">
            <v>Nepalese</v>
          </cell>
          <cell r="AC17">
            <v>46387</v>
          </cell>
        </row>
        <row r="18">
          <cell r="A18">
            <v>2025005</v>
          </cell>
          <cell r="B18">
            <v>45961</v>
          </cell>
          <cell r="C18" t="str">
            <v>Kunnamkudath</v>
          </cell>
          <cell r="D18" t="str">
            <v>Anitta Simon</v>
          </cell>
          <cell r="E18">
            <v>45964</v>
          </cell>
          <cell r="F18" t="str">
            <v>453147A</v>
          </cell>
          <cell r="G18" t="str">
            <v>219213A</v>
          </cell>
          <cell r="H18" t="str">
            <v>10. Trainee  Dental Assistant</v>
          </cell>
          <cell r="I18">
            <v>40</v>
          </cell>
          <cell r="J18">
            <v>77781700</v>
          </cell>
          <cell r="L18" t="str">
            <v>anittasimon261998@gmail.com</v>
          </cell>
          <cell r="M18">
            <v>35948</v>
          </cell>
          <cell r="O18" t="str">
            <v>SIN</v>
          </cell>
          <cell r="P18" t="str">
            <v>AKunnamkudath</v>
          </cell>
          <cell r="Q18" t="str">
            <v>MT70VALL22013000000050022916504</v>
          </cell>
          <cell r="R18" t="str">
            <v>148, Flat 2A</v>
          </cell>
          <cell r="S18" t="str">
            <v>Triq Hal Qormi</v>
          </cell>
          <cell r="T18" t="str">
            <v>Marsa</v>
          </cell>
          <cell r="U18" t="str">
            <v>MRS9040</v>
          </cell>
          <cell r="V18" t="str">
            <v>Current</v>
          </cell>
          <cell r="Y18" t="str">
            <v>FT</v>
          </cell>
          <cell r="AA18" t="str">
            <v>Indian</v>
          </cell>
          <cell r="AC18">
            <v>46387</v>
          </cell>
        </row>
        <row r="19">
          <cell r="A19">
            <v>2024002</v>
          </cell>
          <cell r="B19">
            <v>45418</v>
          </cell>
          <cell r="C19" t="str">
            <v>Ellul</v>
          </cell>
          <cell r="D19" t="str">
            <v>Maria</v>
          </cell>
          <cell r="E19">
            <v>45383</v>
          </cell>
          <cell r="F19" t="str">
            <v>302481M</v>
          </cell>
          <cell r="H19" t="str">
            <v>9. Receptionist</v>
          </cell>
          <cell r="J19">
            <v>79705790</v>
          </cell>
          <cell r="K19">
            <v>27631118</v>
          </cell>
          <cell r="L19" t="str">
            <v>mariaellul18@yahoo.co.uk</v>
          </cell>
          <cell r="M19">
            <v>29755</v>
          </cell>
          <cell r="N19" t="str">
            <v>A36848548</v>
          </cell>
          <cell r="P19" t="str">
            <v>MEllul</v>
          </cell>
          <cell r="Q19" t="str">
            <v>MT97VALL22013000000017316123017</v>
          </cell>
          <cell r="R19" t="str">
            <v>79, Qalb ta` Gesu</v>
          </cell>
          <cell r="S19" t="str">
            <v>Triq Frans Grech</v>
          </cell>
          <cell r="T19" t="str">
            <v>Marsascala</v>
          </cell>
          <cell r="U19" t="str">
            <v>MSK1245</v>
          </cell>
          <cell r="V19" t="str">
            <v>Current</v>
          </cell>
          <cell r="Y19" t="str">
            <v>PT_CASUAL</v>
          </cell>
          <cell r="AA19" t="str">
            <v>Maltese</v>
          </cell>
          <cell r="AC19">
            <v>46387</v>
          </cell>
        </row>
        <row r="20">
          <cell r="A20">
            <v>2025006</v>
          </cell>
          <cell r="B20">
            <v>45813</v>
          </cell>
          <cell r="C20" t="str">
            <v>Curmi</v>
          </cell>
          <cell r="D20" t="str">
            <v>Emma</v>
          </cell>
          <cell r="E20">
            <v>45810</v>
          </cell>
          <cell r="F20" t="str">
            <v>10506L</v>
          </cell>
          <cell r="H20" t="str">
            <v>10. Trainee  Dental Assistant</v>
          </cell>
          <cell r="J20">
            <v>99702533</v>
          </cell>
          <cell r="L20" t="str">
            <v>emmacurmi06@gmail.com</v>
          </cell>
          <cell r="M20">
            <v>38718</v>
          </cell>
          <cell r="N20" t="str">
            <v>D67754097</v>
          </cell>
          <cell r="P20" t="str">
            <v>ECurmi</v>
          </cell>
          <cell r="Q20" t="str">
            <v>MT46VALL22013000000050017560693</v>
          </cell>
          <cell r="R20" t="str">
            <v>St. Mary's Flats, Flat 1</v>
          </cell>
          <cell r="S20" t="str">
            <v>Triq Nicolo Baldacchino</v>
          </cell>
          <cell r="T20" t="str">
            <v>Siggiewi</v>
          </cell>
          <cell r="U20" t="str">
            <v>SGW2111</v>
          </cell>
          <cell r="V20" t="str">
            <v>Current</v>
          </cell>
          <cell r="Y20" t="str">
            <v>PT_CASUAL</v>
          </cell>
          <cell r="AA20" t="str">
            <v>Maltese</v>
          </cell>
          <cell r="AC20">
            <v>46387</v>
          </cell>
        </row>
        <row r="21">
          <cell r="A21">
            <v>2025007</v>
          </cell>
          <cell r="B21">
            <v>45838</v>
          </cell>
          <cell r="C21" t="str">
            <v>Falzon</v>
          </cell>
          <cell r="D21" t="str">
            <v>Andae</v>
          </cell>
          <cell r="E21">
            <v>45840</v>
          </cell>
          <cell r="F21" t="str">
            <v>229506L</v>
          </cell>
          <cell r="H21" t="str">
            <v>10. Trainee  Dental Assistant</v>
          </cell>
          <cell r="J21">
            <v>79352476</v>
          </cell>
          <cell r="L21" t="str">
            <v>afalzon986@gmail.com</v>
          </cell>
          <cell r="M21">
            <v>38910</v>
          </cell>
          <cell r="P21" t="str">
            <v>AFalzon</v>
          </cell>
          <cell r="Q21" t="str">
            <v>MT17VALL22013000000050017709140</v>
          </cell>
          <cell r="R21" t="str">
            <v>BLK I, Ent A, Flat 7</v>
          </cell>
          <cell r="S21" t="str">
            <v>Triq Wied in-Noqor</v>
          </cell>
          <cell r="T21" t="str">
            <v>Hal-Farrug, Luqa</v>
          </cell>
          <cell r="U21" t="str">
            <v>LQA3092</v>
          </cell>
          <cell r="V21" t="str">
            <v>Current</v>
          </cell>
          <cell r="Y21" t="str">
            <v>PT_CASUAL</v>
          </cell>
          <cell r="AA21" t="str">
            <v>Maltese</v>
          </cell>
          <cell r="AC21">
            <v>46387</v>
          </cell>
        </row>
        <row r="22">
          <cell r="A22">
            <v>2025011</v>
          </cell>
          <cell r="B22">
            <v>45964</v>
          </cell>
          <cell r="C22" t="str">
            <v>Mifsud</v>
          </cell>
          <cell r="D22" t="str">
            <v>Zaira</v>
          </cell>
          <cell r="E22">
            <v>45964</v>
          </cell>
          <cell r="F22" t="str">
            <v>138207L</v>
          </cell>
          <cell r="H22" t="str">
            <v>10. Trainee  Dental Assistant</v>
          </cell>
          <cell r="J22">
            <v>77109529</v>
          </cell>
          <cell r="L22" t="str">
            <v>mifsudzaira@icloud.com</v>
          </cell>
          <cell r="M22">
            <v>39203</v>
          </cell>
          <cell r="P22" t="str">
            <v>ZMifsud</v>
          </cell>
          <cell r="Q22" t="str">
            <v>MT66VALL22013000000050019180233</v>
          </cell>
          <cell r="R22" t="str">
            <v>53, Flat 2</v>
          </cell>
          <cell r="S22" t="str">
            <v>Triq il-Gross</v>
          </cell>
          <cell r="T22" t="str">
            <v>Marsascala</v>
          </cell>
          <cell r="U22" t="str">
            <v>MSK2259</v>
          </cell>
          <cell r="V22" t="str">
            <v>Current</v>
          </cell>
          <cell r="Y22" t="str">
            <v>PT_CASUAL</v>
          </cell>
          <cell r="AA22" t="str">
            <v>Maltese</v>
          </cell>
          <cell r="AC22">
            <v>46387</v>
          </cell>
        </row>
        <row r="23">
          <cell r="A23">
            <v>2026001</v>
          </cell>
          <cell r="B23">
            <v>46065</v>
          </cell>
          <cell r="C23" t="str">
            <v>Gouder</v>
          </cell>
          <cell r="D23" t="str">
            <v>Michaela</v>
          </cell>
          <cell r="E23">
            <v>46097</v>
          </cell>
          <cell r="F23" t="str">
            <v>333097M</v>
          </cell>
          <cell r="G23" t="str">
            <v>68298M</v>
          </cell>
          <cell r="H23" t="str">
            <v>3. OFFICE Manager</v>
          </cell>
          <cell r="I23">
            <v>40</v>
          </cell>
          <cell r="J23">
            <v>79697405</v>
          </cell>
          <cell r="L23" t="str">
            <v>michaela.camilleri@gmail.com</v>
          </cell>
          <cell r="M23">
            <v>35669</v>
          </cell>
          <cell r="N23" t="str">
            <v>A51087352</v>
          </cell>
          <cell r="O23" t="str">
            <v>SIN</v>
          </cell>
          <cell r="P23" t="str">
            <v>MGouder</v>
          </cell>
          <cell r="Q23" t="str">
            <v>MT71VALL22013000000040021666399</v>
          </cell>
          <cell r="R23" t="str">
            <v>49B, Parklane Court, Flat 4</v>
          </cell>
          <cell r="S23" t="str">
            <v>Triq il-Fieres</v>
          </cell>
          <cell r="T23" t="str">
            <v>Tarxien</v>
          </cell>
          <cell r="U23" t="str">
            <v>TXN1354</v>
          </cell>
          <cell r="V23" t="str">
            <v>Current</v>
          </cell>
          <cell r="Y23" t="str">
            <v>FT</v>
          </cell>
          <cell r="AA23" t="str">
            <v>Maltese</v>
          </cell>
          <cell r="AC23">
            <v>46387</v>
          </cell>
        </row>
        <row r="24">
          <cell r="A24">
            <v>2026002</v>
          </cell>
          <cell r="C24" t="str">
            <v>Nixon</v>
          </cell>
          <cell r="D24" t="str">
            <v>Danila</v>
          </cell>
          <cell r="H24" t="str">
            <v>10. Trainee  Dental Assistant</v>
          </cell>
          <cell r="J24">
            <v>99962118</v>
          </cell>
          <cell r="L24" t="str">
            <v>danilanixon21@gmail.com</v>
          </cell>
          <cell r="M24">
            <v>36108</v>
          </cell>
          <cell r="P24" t="str">
            <v>DNixon</v>
          </cell>
          <cell r="R24" t="str">
            <v>110, Marvin Ville</v>
          </cell>
          <cell r="S24" t="str">
            <v>Triq Hompesch</v>
          </cell>
          <cell r="T24" t="str">
            <v>Fgura</v>
          </cell>
          <cell r="U24" t="str">
            <v>FGR2015</v>
          </cell>
          <cell r="AA24" t="str">
            <v>Indian</v>
          </cell>
        </row>
        <row r="25">
          <cell r="A25">
            <v>2026003</v>
          </cell>
          <cell r="C25" t="str">
            <v>Bonavia</v>
          </cell>
          <cell r="D25" t="str">
            <v>Katrina</v>
          </cell>
          <cell r="F25" t="str">
            <v>215402L</v>
          </cell>
          <cell r="J25">
            <v>79061302</v>
          </cell>
          <cell r="L25" t="str">
            <v>bonaviakatrina@gmail.com</v>
          </cell>
          <cell r="M25">
            <v>44725</v>
          </cell>
          <cell r="O25" t="str">
            <v>SIN</v>
          </cell>
          <cell r="P25" t="str">
            <v>KBonavia</v>
          </cell>
          <cell r="R25">
            <v>1</v>
          </cell>
          <cell r="S25" t="str">
            <v>Triq il-Katakombi</v>
          </cell>
          <cell r="T25" t="str">
            <v>Marsaskala</v>
          </cell>
          <cell r="U25" t="str">
            <v>MSK3101</v>
          </cell>
          <cell r="AA25" t="str">
            <v>Maltese</v>
          </cell>
        </row>
        <row r="26">
          <cell r="A26">
            <v>2026004</v>
          </cell>
          <cell r="B26">
            <v>46070</v>
          </cell>
          <cell r="C26" t="str">
            <v>Scerri_Esposito</v>
          </cell>
          <cell r="D26" t="str">
            <v>Natasha</v>
          </cell>
          <cell r="E26">
            <v>46069</v>
          </cell>
          <cell r="F26" t="str">
            <v>pears briefly</v>
          </cell>
          <cell r="G26" t="str">
            <v>176780M</v>
          </cell>
          <cell r="H26" t="str">
            <v>11. Trainee Receptionist</v>
          </cell>
          <cell r="I26">
            <v>40</v>
          </cell>
          <cell r="J26">
            <v>99367693</v>
          </cell>
          <cell r="L26" t="str">
            <v>nscerriesposito@gmail.com</v>
          </cell>
          <cell r="M26">
            <v>30144</v>
          </cell>
          <cell r="N26" t="str">
            <v>C36445508</v>
          </cell>
          <cell r="O26" t="str">
            <v>SIN</v>
          </cell>
          <cell r="P26" t="str">
            <v>NScerri_Esposito</v>
          </cell>
          <cell r="Q26" t="str">
            <v>MT44VALL22013000000040022723312</v>
          </cell>
          <cell r="R26" t="str">
            <v>59, Madonna tal-Karmnu</v>
          </cell>
          <cell r="S26" t="str">
            <v>Triq Strickland</v>
          </cell>
          <cell r="T26" t="str">
            <v>Zabbar</v>
          </cell>
          <cell r="U26" t="str">
            <v>ZBR1395</v>
          </cell>
          <cell r="V26" t="str">
            <v>Current</v>
          </cell>
          <cell r="Y26" t="str">
            <v>FT</v>
          </cell>
          <cell r="AA26" t="str">
            <v>Maltese</v>
          </cell>
          <cell r="AC26">
            <v>46076</v>
          </cell>
        </row>
        <row r="27">
          <cell r="A27">
            <v>2024005</v>
          </cell>
          <cell r="B27">
            <v>45474</v>
          </cell>
          <cell r="C27" t="str">
            <v>Gauci</v>
          </cell>
          <cell r="D27" t="str">
            <v>Andreya</v>
          </cell>
          <cell r="E27">
            <v>45474</v>
          </cell>
          <cell r="F27" t="str">
            <v>75106L</v>
          </cell>
          <cell r="H27" t="str">
            <v>8. Dental Assistant</v>
          </cell>
          <cell r="J27">
            <v>77772431</v>
          </cell>
          <cell r="L27" t="str">
            <v>andreya.gauci@gmail.com</v>
          </cell>
          <cell r="M27">
            <v>38779</v>
          </cell>
          <cell r="N27" t="str">
            <v>75106L</v>
          </cell>
          <cell r="O27" t="str">
            <v>SIN</v>
          </cell>
          <cell r="P27" t="str">
            <v>AGauci</v>
          </cell>
          <cell r="Q27" t="str">
            <v>MT78VALL22013000000017667884</v>
          </cell>
          <cell r="R27" t="str">
            <v>302 Warda</v>
          </cell>
          <cell r="S27" t="str">
            <v>Triq Wied Il-Ghajn</v>
          </cell>
          <cell r="T27" t="str">
            <v>Zabbar</v>
          </cell>
          <cell r="U27" t="str">
            <v>ZBR2707</v>
          </cell>
          <cell r="V27" t="str">
            <v>TERM</v>
          </cell>
          <cell r="Y27" t="str">
            <v>PT_CASUAL</v>
          </cell>
          <cell r="AA27" t="str">
            <v>Maltese</v>
          </cell>
        </row>
        <row r="29">
          <cell r="A29">
            <v>2019011</v>
          </cell>
          <cell r="B29">
            <v>43831</v>
          </cell>
          <cell r="C29" t="str">
            <v>Azzopardi</v>
          </cell>
          <cell r="D29" t="str">
            <v>Roderick</v>
          </cell>
          <cell r="E29">
            <v>43466</v>
          </cell>
          <cell r="F29" t="str">
            <v>105184M</v>
          </cell>
          <cell r="H29" t="str">
            <v>5. Dental Hygenist</v>
          </cell>
          <cell r="J29">
            <v>79261615</v>
          </cell>
          <cell r="L29" t="str">
            <v>roderickazzopardi@yahoo.co.uk</v>
          </cell>
          <cell r="M29">
            <v>30718</v>
          </cell>
          <cell r="O29" t="str">
            <v>PAR</v>
          </cell>
          <cell r="P29" t="str">
            <v>RAzzopardi</v>
          </cell>
          <cell r="Q29" t="str">
            <v>MT08VALL22013000000015114894016</v>
          </cell>
          <cell r="R29" t="str">
            <v>21, Manava</v>
          </cell>
          <cell r="S29" t="str">
            <v>Triq Toni Zahra</v>
          </cell>
          <cell r="T29" t="str">
            <v>Zejtun</v>
          </cell>
          <cell r="U29" t="str">
            <v>ZTN1503</v>
          </cell>
          <cell r="V29" t="str">
            <v>Current</v>
          </cell>
          <cell r="Y29" t="str">
            <v>Self_Employed</v>
          </cell>
          <cell r="AA29" t="str">
            <v>Maltese</v>
          </cell>
          <cell r="AC29">
            <v>46387</v>
          </cell>
        </row>
        <row r="30">
          <cell r="A30">
            <v>2021004</v>
          </cell>
          <cell r="B30">
            <v>44360</v>
          </cell>
          <cell r="C30" t="str">
            <v>Baroni</v>
          </cell>
          <cell r="D30" t="str">
            <v>Eisle</v>
          </cell>
          <cell r="E30">
            <v>44355</v>
          </cell>
          <cell r="F30" t="str">
            <v>273476A</v>
          </cell>
          <cell r="H30" t="str">
            <v>2. Dental Surgeon</v>
          </cell>
          <cell r="J30">
            <v>77719114</v>
          </cell>
          <cell r="L30" t="str">
            <v>eislebaroni@mediatrixmalta.com</v>
          </cell>
          <cell r="M30">
            <v>28904</v>
          </cell>
          <cell r="N30" t="str">
            <v>A65938123</v>
          </cell>
          <cell r="O30" t="str">
            <v>SIN</v>
          </cell>
          <cell r="P30" t="str">
            <v>EBaroni</v>
          </cell>
          <cell r="Q30" t="str">
            <v>MT55 BNIF14502000000000683159101</v>
          </cell>
          <cell r="R30" t="str">
            <v>147, Aurora Court, Penthouse 6</v>
          </cell>
          <cell r="S30" t="str">
            <v>Triq Karmelo Ritchie</v>
          </cell>
          <cell r="T30" t="str">
            <v>Xghajra</v>
          </cell>
          <cell r="U30" t="str">
            <v>XJR1310</v>
          </cell>
          <cell r="V30" t="str">
            <v>Current</v>
          </cell>
          <cell r="Y30" t="str">
            <v>Self_Employed</v>
          </cell>
          <cell r="AA30" t="str">
            <v>Spanish/Venezuelan</v>
          </cell>
          <cell r="AB30">
            <v>628973219</v>
          </cell>
          <cell r="AC30">
            <v>46387</v>
          </cell>
        </row>
        <row r="31">
          <cell r="A31">
            <v>2023009</v>
          </cell>
          <cell r="B31">
            <v>45170</v>
          </cell>
          <cell r="C31" t="str">
            <v>Grixti</v>
          </cell>
          <cell r="D31" t="str">
            <v>Mariah</v>
          </cell>
          <cell r="E31">
            <v>45170</v>
          </cell>
          <cell r="H31" t="str">
            <v>5. Dental Hygenist</v>
          </cell>
          <cell r="J31">
            <v>79640245</v>
          </cell>
          <cell r="L31" t="str">
            <v>mariahgrixti99@gmail.com</v>
          </cell>
          <cell r="O31" t="str">
            <v>SIN</v>
          </cell>
          <cell r="P31" t="str">
            <v>MGrixti</v>
          </cell>
          <cell r="Q31" t="str">
            <v>MT84MMEB44543000000054173661001</v>
          </cell>
          <cell r="R31">
            <v>59</v>
          </cell>
          <cell r="S31" t="str">
            <v>Triq L-inginiera</v>
          </cell>
          <cell r="T31" t="str">
            <v>Zurrieq</v>
          </cell>
          <cell r="V31" t="str">
            <v>Current</v>
          </cell>
          <cell r="Y31" t="str">
            <v>Self_Employed</v>
          </cell>
          <cell r="AA31" t="str">
            <v>Maltese</v>
          </cell>
          <cell r="AC31">
            <v>46387</v>
          </cell>
        </row>
        <row r="32">
          <cell r="A32">
            <v>2024001</v>
          </cell>
          <cell r="B32">
            <v>45399</v>
          </cell>
          <cell r="C32" t="str">
            <v>Azzopardi</v>
          </cell>
          <cell r="D32" t="str">
            <v>Natasha</v>
          </cell>
          <cell r="E32">
            <v>45399</v>
          </cell>
          <cell r="H32" t="str">
            <v>2. Dental Surgeon</v>
          </cell>
          <cell r="J32">
            <v>79730250</v>
          </cell>
          <cell r="P32" t="str">
            <v>NAzzopardi</v>
          </cell>
          <cell r="V32" t="str">
            <v>Current</v>
          </cell>
          <cell r="Y32" t="str">
            <v>Self_Employed</v>
          </cell>
          <cell r="AA32" t="str">
            <v>Maltese</v>
          </cell>
          <cell r="AC32">
            <v>46387</v>
          </cell>
        </row>
        <row r="33">
          <cell r="A33">
            <v>2024009</v>
          </cell>
          <cell r="C33" t="str">
            <v>Petre</v>
          </cell>
          <cell r="D33" t="str">
            <v>Rucsandra-Ana</v>
          </cell>
          <cell r="F33" t="str">
            <v>362838A</v>
          </cell>
          <cell r="H33" t="str">
            <v>2. Dental Surgeon</v>
          </cell>
          <cell r="J33">
            <v>77709140</v>
          </cell>
          <cell r="L33" t="str">
            <v>rucsandrap7@gmail.com</v>
          </cell>
          <cell r="M33">
            <v>27216</v>
          </cell>
          <cell r="P33" t="str">
            <v>RPetre</v>
          </cell>
          <cell r="R33" t="str">
            <v>27, Roseland, Flat 2</v>
          </cell>
          <cell r="S33" t="str">
            <v>Triq it-Tempesta</v>
          </cell>
          <cell r="T33" t="str">
            <v>San Pawl il-Bahar</v>
          </cell>
          <cell r="V33" t="str">
            <v>Current</v>
          </cell>
          <cell r="Y33" t="str">
            <v>Self_Employed</v>
          </cell>
          <cell r="AA33" t="str">
            <v>Romanian</v>
          </cell>
          <cell r="AC33">
            <v>46387</v>
          </cell>
        </row>
        <row r="34">
          <cell r="A34">
            <v>2025012</v>
          </cell>
          <cell r="B34">
            <v>45990</v>
          </cell>
          <cell r="C34" t="str">
            <v xml:space="preserve">Sciberras </v>
          </cell>
          <cell r="D34" t="str">
            <v>Luke</v>
          </cell>
          <cell r="E34">
            <v>45992</v>
          </cell>
          <cell r="F34" t="str">
            <v>344799M</v>
          </cell>
          <cell r="H34" t="str">
            <v>2. Dental Surgeon</v>
          </cell>
          <cell r="J34">
            <v>99931099</v>
          </cell>
          <cell r="L34" t="str">
            <v>lukesciberras99@gmail.com</v>
          </cell>
          <cell r="M34">
            <v>36436</v>
          </cell>
          <cell r="N34" t="str">
            <v>D55989661</v>
          </cell>
          <cell r="O34" t="str">
            <v>SIN</v>
          </cell>
          <cell r="P34" t="str">
            <v xml:space="preserve">LSciberras </v>
          </cell>
          <cell r="Q34" t="str">
            <v>MT81VALL22013000000040023591475</v>
          </cell>
          <cell r="R34" t="str">
            <v>97, Maria Assunta</v>
          </cell>
          <cell r="S34" t="str">
            <v>Triq Nazzarenu</v>
          </cell>
          <cell r="T34" t="str">
            <v>Paola</v>
          </cell>
          <cell r="U34" t="str">
            <v>PLA1131</v>
          </cell>
          <cell r="V34" t="str">
            <v>Current</v>
          </cell>
          <cell r="Y34" t="str">
            <v>Self_Employed</v>
          </cell>
          <cell r="AA34" t="str">
            <v>Maltese</v>
          </cell>
          <cell r="AC34">
            <v>46022</v>
          </cell>
        </row>
        <row r="35">
          <cell r="A35">
            <v>2013001</v>
          </cell>
          <cell r="B35">
            <v>46070</v>
          </cell>
          <cell r="C35" t="str">
            <v>Schembri</v>
          </cell>
          <cell r="D35" t="str">
            <v>Jackie</v>
          </cell>
          <cell r="E35">
            <v>41275</v>
          </cell>
          <cell r="H35" t="str">
            <v>5. Dental Hygenist</v>
          </cell>
          <cell r="J35">
            <v>99064054</v>
          </cell>
          <cell r="P35" t="str">
            <v>JSchembri</v>
          </cell>
        </row>
        <row r="36">
          <cell r="A36">
            <v>2025002</v>
          </cell>
          <cell r="C36" t="str">
            <v>Faraz</v>
          </cell>
          <cell r="D36" t="str">
            <v>Ahmad</v>
          </cell>
          <cell r="E36">
            <v>46022</v>
          </cell>
          <cell r="F36">
            <v>0</v>
          </cell>
          <cell r="H36" t="str">
            <v>8. Dental Assistant</v>
          </cell>
          <cell r="I36">
            <v>40</v>
          </cell>
          <cell r="J36">
            <v>79608656</v>
          </cell>
          <cell r="L36" t="str">
            <v>ahmadfarazrox@gmail.com</v>
          </cell>
          <cell r="M36">
            <v>36222</v>
          </cell>
          <cell r="O36" t="str">
            <v>SIN</v>
          </cell>
          <cell r="P36" t="str">
            <v>AFaraz</v>
          </cell>
          <cell r="Q36" t="str">
            <v>LT50 3250 0376 0452 9847</v>
          </cell>
          <cell r="R36" t="str">
            <v>160,</v>
          </cell>
          <cell r="S36" t="str">
            <v>Triq il-Kbira San Guzepp</v>
          </cell>
          <cell r="T36" t="str">
            <v>Hamrun</v>
          </cell>
          <cell r="U36" t="str">
            <v>HMR1015</v>
          </cell>
          <cell r="V36" t="str">
            <v>Current</v>
          </cell>
          <cell r="Y36" t="str">
            <v>FT</v>
          </cell>
          <cell r="AA36" t="str">
            <v>Pakistani</v>
          </cell>
        </row>
        <row r="39">
          <cell r="A39">
            <v>2001001</v>
          </cell>
          <cell r="B39">
            <v>42037</v>
          </cell>
          <cell r="C39" t="str">
            <v>Gauci</v>
          </cell>
          <cell r="D39" t="str">
            <v>Christian</v>
          </cell>
          <cell r="E39" t="str">
            <v>534577M</v>
          </cell>
          <cell r="F39">
            <v>474436</v>
          </cell>
          <cell r="H39" t="str">
            <v>Principal</v>
          </cell>
          <cell r="J39">
            <v>21826685</v>
          </cell>
          <cell r="L39" t="str">
            <v>chrisgauci@mediatrixmalta.com</v>
          </cell>
          <cell r="R39" t="str">
            <v>Mediatrix Dental Clinic</v>
          </cell>
          <cell r="S39" t="str">
            <v>7, Triq is-Santwarju</v>
          </cell>
          <cell r="T39" t="str">
            <v>Zabbar</v>
          </cell>
          <cell r="U39" t="str">
            <v>ZBR1010</v>
          </cell>
        </row>
      </sheetData>
      <sheetData sheetId="1">
        <row r="1">
          <cell r="A1" t="str">
            <v>EMP NO&gt;</v>
          </cell>
          <cell r="B1">
            <v>2018002</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LCarini</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21</v>
          </cell>
          <cell r="I4">
            <v>9.8000000000000007</v>
          </cell>
          <cell r="J4">
            <v>0</v>
          </cell>
          <cell r="K4">
            <v>117.59999999999998</v>
          </cell>
          <cell r="L4">
            <v>10.5</v>
          </cell>
          <cell r="M4">
            <v>0</v>
          </cell>
          <cell r="N4">
            <v>126</v>
          </cell>
          <cell r="O4">
            <v>-105</v>
          </cell>
          <cell r="P4">
            <v>-105</v>
          </cell>
          <cell r="Q4">
            <v>0</v>
          </cell>
          <cell r="R4">
            <v>0</v>
          </cell>
          <cell r="S4">
            <v>0</v>
          </cell>
          <cell r="T4">
            <v>31</v>
          </cell>
          <cell r="U4">
            <v>31</v>
          </cell>
          <cell r="V4">
            <v>0</v>
          </cell>
          <cell r="W4">
            <v>0</v>
          </cell>
          <cell r="X4" t="str">
            <v>ACTIVE</v>
          </cell>
        </row>
        <row r="5">
          <cell r="B5">
            <v>46023</v>
          </cell>
          <cell r="C5">
            <v>46387</v>
          </cell>
          <cell r="F5">
            <v>46054</v>
          </cell>
          <cell r="G5">
            <v>4</v>
          </cell>
          <cell r="H5">
            <v>21</v>
          </cell>
          <cell r="I5">
            <v>9.8000000000000007</v>
          </cell>
          <cell r="J5">
            <v>0</v>
          </cell>
          <cell r="K5">
            <v>117.59999999999998</v>
          </cell>
          <cell r="L5">
            <v>10.5</v>
          </cell>
          <cell r="M5">
            <v>0</v>
          </cell>
          <cell r="N5">
            <v>126</v>
          </cell>
          <cell r="O5">
            <v>-84</v>
          </cell>
          <cell r="P5">
            <v>-189</v>
          </cell>
          <cell r="Q5">
            <v>0</v>
          </cell>
          <cell r="R5">
            <v>0</v>
          </cell>
          <cell r="S5">
            <v>0</v>
          </cell>
          <cell r="T5">
            <v>28</v>
          </cell>
          <cell r="U5">
            <v>28</v>
          </cell>
          <cell r="V5">
            <v>0</v>
          </cell>
          <cell r="W5">
            <v>0</v>
          </cell>
          <cell r="X5" t="str">
            <v>ACTIVE</v>
          </cell>
        </row>
        <row r="6">
          <cell r="A6" t="str">
            <v>Surname</v>
          </cell>
          <cell r="B6" t="str">
            <v>Carini</v>
          </cell>
          <cell r="F6">
            <v>46082</v>
          </cell>
          <cell r="G6">
            <v>5</v>
          </cell>
          <cell r="H6">
            <v>21</v>
          </cell>
          <cell r="I6">
            <v>9.8000000000000007</v>
          </cell>
          <cell r="J6">
            <v>0</v>
          </cell>
          <cell r="K6">
            <v>117.59999999999998</v>
          </cell>
          <cell r="L6">
            <v>10.5</v>
          </cell>
          <cell r="M6">
            <v>0</v>
          </cell>
          <cell r="N6">
            <v>126</v>
          </cell>
          <cell r="O6">
            <v>-84</v>
          </cell>
          <cell r="P6">
            <v>-273</v>
          </cell>
          <cell r="Q6">
            <v>0</v>
          </cell>
          <cell r="R6">
            <v>0</v>
          </cell>
          <cell r="S6">
            <v>0</v>
          </cell>
          <cell r="T6">
            <v>31</v>
          </cell>
          <cell r="U6">
            <v>31</v>
          </cell>
          <cell r="V6">
            <v>0</v>
          </cell>
          <cell r="W6">
            <v>0</v>
          </cell>
          <cell r="X6" t="str">
            <v>ACTIVE</v>
          </cell>
        </row>
        <row r="7">
          <cell r="A7" t="str">
            <v>Name</v>
          </cell>
          <cell r="B7" t="str">
            <v>Lucia</v>
          </cell>
          <cell r="F7">
            <v>46113</v>
          </cell>
          <cell r="G7">
            <v>4</v>
          </cell>
          <cell r="H7">
            <v>21</v>
          </cell>
          <cell r="I7">
            <v>9.8000000000000007</v>
          </cell>
          <cell r="J7">
            <v>0</v>
          </cell>
          <cell r="K7">
            <v>117.59999999999998</v>
          </cell>
          <cell r="L7">
            <v>10.5</v>
          </cell>
          <cell r="M7">
            <v>0</v>
          </cell>
          <cell r="N7">
            <v>126</v>
          </cell>
          <cell r="O7">
            <v>-84</v>
          </cell>
          <cell r="P7">
            <v>-357</v>
          </cell>
          <cell r="Q7">
            <v>0</v>
          </cell>
          <cell r="R7">
            <v>0</v>
          </cell>
          <cell r="S7">
            <v>0</v>
          </cell>
          <cell r="T7">
            <v>30</v>
          </cell>
          <cell r="U7">
            <v>30</v>
          </cell>
          <cell r="V7">
            <v>0</v>
          </cell>
          <cell r="W7">
            <v>0</v>
          </cell>
          <cell r="X7" t="str">
            <v>ACTIVE</v>
          </cell>
        </row>
        <row r="8">
          <cell r="A8" t="str">
            <v>Address   House No.</v>
          </cell>
          <cell r="B8" t="str">
            <v>25th Anniversary Ent C, Flt 3</v>
          </cell>
          <cell r="F8">
            <v>46143</v>
          </cell>
          <cell r="G8">
            <v>4</v>
          </cell>
          <cell r="H8">
            <v>21</v>
          </cell>
          <cell r="I8">
            <v>9.8000000000000007</v>
          </cell>
          <cell r="J8">
            <v>0</v>
          </cell>
          <cell r="K8">
            <v>117.59999999999998</v>
          </cell>
          <cell r="L8">
            <v>10.5</v>
          </cell>
          <cell r="M8">
            <v>0</v>
          </cell>
          <cell r="N8">
            <v>126</v>
          </cell>
          <cell r="O8">
            <v>-105</v>
          </cell>
          <cell r="P8">
            <v>-462</v>
          </cell>
          <cell r="Q8">
            <v>0</v>
          </cell>
          <cell r="R8">
            <v>0</v>
          </cell>
          <cell r="S8">
            <v>0</v>
          </cell>
          <cell r="T8">
            <v>31</v>
          </cell>
          <cell r="U8">
            <v>31</v>
          </cell>
          <cell r="V8">
            <v>0</v>
          </cell>
          <cell r="W8">
            <v>0</v>
          </cell>
          <cell r="X8" t="str">
            <v>ACTIVE</v>
          </cell>
        </row>
        <row r="9">
          <cell r="A9" t="str">
            <v>Str</v>
          </cell>
          <cell r="B9" t="str">
            <v>Triq Luigi Pisani</v>
          </cell>
          <cell r="F9">
            <v>46174</v>
          </cell>
          <cell r="G9">
            <v>5</v>
          </cell>
          <cell r="H9">
            <v>21</v>
          </cell>
          <cell r="I9">
            <v>9.8000000000000007</v>
          </cell>
          <cell r="J9">
            <v>0</v>
          </cell>
          <cell r="K9">
            <v>117.59999999999998</v>
          </cell>
          <cell r="L9">
            <v>10.5</v>
          </cell>
          <cell r="M9">
            <v>0</v>
          </cell>
          <cell r="N9">
            <v>126</v>
          </cell>
          <cell r="O9">
            <v>-84</v>
          </cell>
          <cell r="P9">
            <v>-546</v>
          </cell>
          <cell r="Q9">
            <v>0</v>
          </cell>
          <cell r="R9">
            <v>0</v>
          </cell>
          <cell r="S9">
            <v>0</v>
          </cell>
          <cell r="T9">
            <v>30</v>
          </cell>
          <cell r="U9">
            <v>30</v>
          </cell>
          <cell r="V9">
            <v>0</v>
          </cell>
          <cell r="W9">
            <v>0</v>
          </cell>
          <cell r="X9" t="str">
            <v>ACTIVE</v>
          </cell>
        </row>
        <row r="10">
          <cell r="A10" t="str">
            <v>Locality</v>
          </cell>
          <cell r="B10" t="str">
            <v>Kalkara</v>
          </cell>
          <cell r="F10">
            <v>46204</v>
          </cell>
          <cell r="G10">
            <v>4</v>
          </cell>
          <cell r="H10">
            <v>21</v>
          </cell>
          <cell r="I10">
            <v>9.8000000000000007</v>
          </cell>
          <cell r="J10">
            <v>0</v>
          </cell>
          <cell r="K10">
            <v>117.59999999999998</v>
          </cell>
          <cell r="L10">
            <v>10.5</v>
          </cell>
          <cell r="M10">
            <v>0</v>
          </cell>
          <cell r="N10">
            <v>126</v>
          </cell>
          <cell r="O10">
            <v>-84</v>
          </cell>
          <cell r="P10">
            <v>-630</v>
          </cell>
          <cell r="Q10">
            <v>0</v>
          </cell>
          <cell r="R10">
            <v>0</v>
          </cell>
          <cell r="S10">
            <v>0</v>
          </cell>
          <cell r="T10">
            <v>31</v>
          </cell>
          <cell r="U10">
            <v>31</v>
          </cell>
          <cell r="V10">
            <v>0</v>
          </cell>
          <cell r="W10">
            <v>0</v>
          </cell>
          <cell r="X10" t="str">
            <v>ACTIVE</v>
          </cell>
        </row>
        <row r="11">
          <cell r="A11" t="str">
            <v xml:space="preserve">Postcode </v>
          </cell>
          <cell r="B11" t="str">
            <v>KKR1331</v>
          </cell>
          <cell r="F11">
            <v>46235</v>
          </cell>
          <cell r="G11">
            <v>5</v>
          </cell>
          <cell r="H11">
            <v>21</v>
          </cell>
          <cell r="I11">
            <v>9.8000000000000007</v>
          </cell>
          <cell r="J11">
            <v>0</v>
          </cell>
          <cell r="K11">
            <v>117.59999999999998</v>
          </cell>
          <cell r="L11">
            <v>10.5</v>
          </cell>
          <cell r="M11">
            <v>0</v>
          </cell>
          <cell r="N11">
            <v>126</v>
          </cell>
          <cell r="O11">
            <v>-65</v>
          </cell>
          <cell r="P11">
            <v>-695</v>
          </cell>
          <cell r="Q11">
            <v>0</v>
          </cell>
          <cell r="R11">
            <v>0</v>
          </cell>
          <cell r="S11">
            <v>0</v>
          </cell>
          <cell r="T11">
            <v>31</v>
          </cell>
          <cell r="U11">
            <v>31</v>
          </cell>
          <cell r="V11">
            <v>0</v>
          </cell>
          <cell r="W11">
            <v>0</v>
          </cell>
          <cell r="X11" t="str">
            <v>ACTIVE</v>
          </cell>
        </row>
        <row r="12">
          <cell r="A12" t="str">
            <v>Telephone Number</v>
          </cell>
          <cell r="B12">
            <v>77022341</v>
          </cell>
          <cell r="F12">
            <v>46266</v>
          </cell>
          <cell r="G12">
            <v>4</v>
          </cell>
          <cell r="H12">
            <v>21</v>
          </cell>
          <cell r="I12">
            <v>9.8000000000000007</v>
          </cell>
          <cell r="J12">
            <v>0</v>
          </cell>
          <cell r="K12">
            <v>117.59999999999998</v>
          </cell>
          <cell r="L12">
            <v>10.5</v>
          </cell>
          <cell r="M12">
            <v>0</v>
          </cell>
          <cell r="N12">
            <v>126</v>
          </cell>
          <cell r="O12">
            <v>-84</v>
          </cell>
          <cell r="P12">
            <v>-779</v>
          </cell>
          <cell r="Q12">
            <v>0</v>
          </cell>
          <cell r="R12">
            <v>0</v>
          </cell>
          <cell r="S12">
            <v>0</v>
          </cell>
          <cell r="T12">
            <v>30</v>
          </cell>
          <cell r="U12">
            <v>30</v>
          </cell>
          <cell r="V12">
            <v>0</v>
          </cell>
          <cell r="W12">
            <v>0</v>
          </cell>
          <cell r="X12" t="str">
            <v>ACTIVE</v>
          </cell>
        </row>
        <row r="13">
          <cell r="A13" t="str">
            <v>Payee ID CARD No./IT Reg No.</v>
          </cell>
          <cell r="B13" t="str">
            <v>136555A</v>
          </cell>
          <cell r="F13">
            <v>46296</v>
          </cell>
          <cell r="G13">
            <v>4</v>
          </cell>
          <cell r="H13">
            <v>21</v>
          </cell>
          <cell r="I13">
            <v>9.8000000000000007</v>
          </cell>
          <cell r="J13">
            <v>0</v>
          </cell>
          <cell r="K13">
            <v>117.59999999999998</v>
          </cell>
          <cell r="L13">
            <v>10.5</v>
          </cell>
          <cell r="M13">
            <v>0</v>
          </cell>
          <cell r="N13">
            <v>126</v>
          </cell>
          <cell r="O13">
            <v>-105</v>
          </cell>
          <cell r="P13">
            <v>-884</v>
          </cell>
          <cell r="Q13">
            <v>0</v>
          </cell>
          <cell r="R13">
            <v>0</v>
          </cell>
          <cell r="S13">
            <v>0</v>
          </cell>
          <cell r="T13">
            <v>31</v>
          </cell>
          <cell r="U13">
            <v>31</v>
          </cell>
          <cell r="V13">
            <v>0</v>
          </cell>
          <cell r="W13">
            <v>0</v>
          </cell>
          <cell r="X13" t="str">
            <v>ACTIVE</v>
          </cell>
        </row>
        <row r="14">
          <cell r="A14" t="str">
            <v>Payee Social Security No.</v>
          </cell>
          <cell r="B14" t="str">
            <v>B50772610</v>
          </cell>
          <cell r="F14">
            <v>46327</v>
          </cell>
          <cell r="G14">
            <v>5</v>
          </cell>
          <cell r="H14">
            <v>21</v>
          </cell>
          <cell r="I14">
            <v>9.8000000000000007</v>
          </cell>
          <cell r="J14">
            <v>0</v>
          </cell>
          <cell r="K14">
            <v>117.59999999999998</v>
          </cell>
          <cell r="L14">
            <v>10.5</v>
          </cell>
          <cell r="M14">
            <v>0</v>
          </cell>
          <cell r="N14">
            <v>126</v>
          </cell>
          <cell r="O14">
            <v>-84</v>
          </cell>
          <cell r="P14">
            <v>-968</v>
          </cell>
          <cell r="Q14">
            <v>0</v>
          </cell>
          <cell r="R14">
            <v>0</v>
          </cell>
          <cell r="S14">
            <v>0</v>
          </cell>
          <cell r="T14">
            <v>30</v>
          </cell>
          <cell r="U14">
            <v>30</v>
          </cell>
          <cell r="V14">
            <v>0</v>
          </cell>
          <cell r="W14">
            <v>0</v>
          </cell>
          <cell r="X14" t="str">
            <v>ACTIVE</v>
          </cell>
        </row>
        <row r="15">
          <cell r="A15" t="str">
            <v>Spouse's ID Card/IT Reg no.</v>
          </cell>
          <cell r="B15" t="str">
            <v>0129604A</v>
          </cell>
          <cell r="F15">
            <v>46357</v>
          </cell>
          <cell r="G15">
            <v>4</v>
          </cell>
          <cell r="H15">
            <v>21</v>
          </cell>
          <cell r="I15">
            <v>9.8000000000000007</v>
          </cell>
          <cell r="J15">
            <v>0</v>
          </cell>
          <cell r="K15">
            <v>117.59999999999998</v>
          </cell>
          <cell r="L15">
            <v>10.5</v>
          </cell>
          <cell r="M15">
            <v>0</v>
          </cell>
          <cell r="N15">
            <v>126</v>
          </cell>
          <cell r="O15">
            <v>-84</v>
          </cell>
          <cell r="P15">
            <v>-1052</v>
          </cell>
          <cell r="Q15">
            <v>0</v>
          </cell>
          <cell r="R15">
            <v>0</v>
          </cell>
          <cell r="S15">
            <v>0</v>
          </cell>
          <cell r="T15">
            <v>31</v>
          </cell>
          <cell r="U15">
            <v>31</v>
          </cell>
          <cell r="V15">
            <v>0</v>
          </cell>
          <cell r="W15">
            <v>0</v>
          </cell>
          <cell r="X15" t="str">
            <v>ACTIVE</v>
          </cell>
        </row>
        <row r="16">
          <cell r="A16" t="str">
            <v>IBAN</v>
          </cell>
          <cell r="B16" t="str">
            <v>MT47VALL22013000000040023484029</v>
          </cell>
          <cell r="F16" t="str">
            <v>TOTALS</v>
          </cell>
          <cell r="G16">
            <v>52</v>
          </cell>
          <cell r="I16">
            <v>117.59999999999998</v>
          </cell>
          <cell r="J16">
            <v>0</v>
          </cell>
          <cell r="K16">
            <v>117.59999999999998</v>
          </cell>
          <cell r="L16">
            <v>126</v>
          </cell>
          <cell r="M16">
            <v>0</v>
          </cell>
          <cell r="N16">
            <v>126</v>
          </cell>
          <cell r="P16">
            <v>-1052</v>
          </cell>
          <cell r="T16">
            <v>365</v>
          </cell>
          <cell r="V16">
            <v>0</v>
          </cell>
        </row>
        <row r="17">
          <cell r="A17" t="str">
            <v>Email</v>
          </cell>
          <cell r="B17" t="str">
            <v>luciacarini@mediatrixmalta.com</v>
          </cell>
          <cell r="H17" t="str">
            <v>Balance to Pay/ Carry forward, Input at end of page</v>
          </cell>
          <cell r="K17">
            <v>117.59999999999998</v>
          </cell>
          <cell r="L17" t="str">
            <v>If paying part/ all of these please use table under December entry table</v>
          </cell>
          <cell r="P17">
            <v>-1052</v>
          </cell>
        </row>
        <row r="18">
          <cell r="A18" t="str">
            <v>DOB</v>
          </cell>
          <cell r="B18">
            <v>32625</v>
          </cell>
        </row>
        <row r="19">
          <cell r="A19" t="str">
            <v>date of First Employment</v>
          </cell>
          <cell r="B19">
            <v>42037</v>
          </cell>
          <cell r="F19" t="str">
            <v>Carini Lucia 136555A</v>
          </cell>
          <cell r="G19" t="str">
            <v>PAR2</v>
          </cell>
          <cell r="H19" t="str">
            <v>2. Dental Surgeon</v>
          </cell>
          <cell r="I19" t="str">
            <v>Hrs/Wk</v>
          </cell>
          <cell r="J19">
            <v>21</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2. Dental Surgeon</v>
          </cell>
          <cell r="F20">
            <v>4</v>
          </cell>
          <cell r="G20">
            <v>46025</v>
          </cell>
          <cell r="H20">
            <v>46032</v>
          </cell>
          <cell r="I20">
            <v>46039</v>
          </cell>
          <cell r="J20">
            <v>46046</v>
          </cell>
          <cell r="K20">
            <v>46053</v>
          </cell>
          <cell r="L20">
            <v>105</v>
          </cell>
          <cell r="O20" t="str">
            <v>to</v>
          </cell>
          <cell r="R20">
            <v>31</v>
          </cell>
          <cell r="S20" t="str">
            <v>Week 1</v>
          </cell>
          <cell r="T20" t="str">
            <v>Week 2</v>
          </cell>
          <cell r="U20" t="str">
            <v>Week 3</v>
          </cell>
          <cell r="V20" t="str">
            <v>Week 4</v>
          </cell>
          <cell r="W20" t="str">
            <v>Week 5</v>
          </cell>
        </row>
        <row r="21">
          <cell r="A21" t="str">
            <v>Ft/PT at Start Year</v>
          </cell>
          <cell r="B21" t="str">
            <v>FT_RED</v>
          </cell>
          <cell r="F21" t="str">
            <v>Normal Hrs Worked (excl Ls)</v>
          </cell>
          <cell r="L21">
            <v>0</v>
          </cell>
          <cell r="O21" t="str">
            <v>to</v>
          </cell>
          <cell r="R21" t="str">
            <v xml:space="preserve">Mondays </v>
          </cell>
        </row>
        <row r="22">
          <cell r="A22" t="str">
            <v>FS4 Status</v>
          </cell>
          <cell r="B22" t="str">
            <v>PAR2</v>
          </cell>
          <cell r="F22" t="str">
            <v>Overtime Hrs</v>
          </cell>
          <cell r="L22">
            <v>0</v>
          </cell>
          <cell r="O22" t="str">
            <v>to</v>
          </cell>
          <cell r="R22">
            <v>4</v>
          </cell>
          <cell r="V22" t="str">
            <v>TOT</v>
          </cell>
          <cell r="W22">
            <v>0</v>
          </cell>
        </row>
        <row r="23">
          <cell r="A23" t="str">
            <v>Hours agreed at start contract</v>
          </cell>
          <cell r="B23">
            <v>21</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117   OF   117</v>
          </cell>
          <cell r="I26" t="str">
            <v>SL = 100 %</v>
          </cell>
          <cell r="J26" t="str">
            <v>BANKED = 
-105 Hrs</v>
          </cell>
          <cell r="K26" t="str">
            <v>ADJ</v>
          </cell>
          <cell r="L26">
            <v>0</v>
          </cell>
        </row>
        <row r="27">
          <cell r="F27">
            <v>2018002</v>
          </cell>
          <cell r="G27">
            <v>9.8000000000000007</v>
          </cell>
          <cell r="H27">
            <v>46023</v>
          </cell>
          <cell r="I27" t="str">
            <v>to</v>
          </cell>
          <cell r="J27">
            <v>46053</v>
          </cell>
          <cell r="K27" t="str">
            <v>Banked This Month</v>
          </cell>
          <cell r="L27">
            <v>-105</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Carini Lucia 136555A</v>
          </cell>
          <cell r="G29" t="str">
            <v>PAR2</v>
          </cell>
          <cell r="H29" t="str">
            <v>2. Dental Surgeon</v>
          </cell>
          <cell r="I29" t="str">
            <v>Hrs/Wk</v>
          </cell>
          <cell r="J29">
            <v>21</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84</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117   OF   117</v>
          </cell>
          <cell r="I36" t="str">
            <v>SL = 100 %</v>
          </cell>
          <cell r="J36" t="str">
            <v>BANKED = 
-189 Hrs</v>
          </cell>
          <cell r="K36" t="str">
            <v>ADJ</v>
          </cell>
          <cell r="L36">
            <v>0</v>
          </cell>
        </row>
        <row r="37">
          <cell r="F37">
            <v>2018002</v>
          </cell>
          <cell r="G37">
            <v>9.8000000000000007</v>
          </cell>
          <cell r="H37">
            <v>46054</v>
          </cell>
          <cell r="I37" t="str">
            <v>to</v>
          </cell>
          <cell r="J37">
            <v>46081</v>
          </cell>
          <cell r="K37" t="str">
            <v>Banked This Month</v>
          </cell>
          <cell r="L37">
            <v>-84</v>
          </cell>
          <cell r="M37" t="str">
            <v>UNPAID WEEKS</v>
          </cell>
          <cell r="N37">
            <v>0</v>
          </cell>
          <cell r="O37">
            <v>1</v>
          </cell>
          <cell r="P37" t="str">
            <v>Maternity</v>
          </cell>
          <cell r="Q37">
            <v>0</v>
          </cell>
        </row>
        <row r="39">
          <cell r="F39" t="str">
            <v>Carini Lucia 136555A</v>
          </cell>
          <cell r="G39" t="str">
            <v>PAR2</v>
          </cell>
          <cell r="H39" t="str">
            <v>2. Dental Surgeon</v>
          </cell>
          <cell r="I39" t="str">
            <v>Hrs/Wk</v>
          </cell>
          <cell r="J39">
            <v>21</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2">
        <row r="1">
          <cell r="A1" t="str">
            <v>EMP NO&gt;</v>
          </cell>
          <cell r="B1">
            <v>2018001</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RGaldes</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40</v>
          </cell>
          <cell r="I4">
            <v>18.666666666666668</v>
          </cell>
          <cell r="J4">
            <v>0</v>
          </cell>
          <cell r="K4">
            <v>223.99999999999997</v>
          </cell>
          <cell r="L4">
            <v>20</v>
          </cell>
          <cell r="M4">
            <v>0</v>
          </cell>
          <cell r="N4">
            <v>240</v>
          </cell>
          <cell r="O4">
            <v>-200</v>
          </cell>
          <cell r="P4">
            <v>-200</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0</v>
          </cell>
          <cell r="K5">
            <v>223.99999999999997</v>
          </cell>
          <cell r="L5">
            <v>20</v>
          </cell>
          <cell r="M5">
            <v>0</v>
          </cell>
          <cell r="N5">
            <v>240</v>
          </cell>
          <cell r="O5">
            <v>-160</v>
          </cell>
          <cell r="P5">
            <v>-360</v>
          </cell>
          <cell r="Q5">
            <v>0</v>
          </cell>
          <cell r="R5">
            <v>0</v>
          </cell>
          <cell r="S5">
            <v>0</v>
          </cell>
          <cell r="T5">
            <v>28</v>
          </cell>
          <cell r="U5">
            <v>28</v>
          </cell>
          <cell r="V5">
            <v>0</v>
          </cell>
          <cell r="W5">
            <v>0</v>
          </cell>
          <cell r="X5" t="str">
            <v>ACTIVE</v>
          </cell>
        </row>
        <row r="6">
          <cell r="A6" t="str">
            <v>Surname</v>
          </cell>
          <cell r="B6" t="str">
            <v>Galdes</v>
          </cell>
          <cell r="F6">
            <v>46082</v>
          </cell>
          <cell r="G6">
            <v>5</v>
          </cell>
          <cell r="H6">
            <v>40</v>
          </cell>
          <cell r="I6">
            <v>18.666666666666668</v>
          </cell>
          <cell r="J6">
            <v>0</v>
          </cell>
          <cell r="K6">
            <v>223.99999999999997</v>
          </cell>
          <cell r="L6">
            <v>20</v>
          </cell>
          <cell r="M6">
            <v>0</v>
          </cell>
          <cell r="N6">
            <v>240</v>
          </cell>
          <cell r="O6">
            <v>-160</v>
          </cell>
          <cell r="P6">
            <v>-520</v>
          </cell>
          <cell r="Q6">
            <v>0</v>
          </cell>
          <cell r="R6">
            <v>0</v>
          </cell>
          <cell r="S6">
            <v>0</v>
          </cell>
          <cell r="T6">
            <v>31</v>
          </cell>
          <cell r="U6">
            <v>31</v>
          </cell>
          <cell r="V6">
            <v>0</v>
          </cell>
          <cell r="W6">
            <v>0</v>
          </cell>
          <cell r="X6" t="str">
            <v>ACTIVE</v>
          </cell>
        </row>
        <row r="7">
          <cell r="A7" t="str">
            <v>Name</v>
          </cell>
          <cell r="B7" t="str">
            <v>Ritienne</v>
          </cell>
          <cell r="F7">
            <v>46113</v>
          </cell>
          <cell r="G7">
            <v>4</v>
          </cell>
          <cell r="H7">
            <v>40</v>
          </cell>
          <cell r="I7">
            <v>18.666666666666668</v>
          </cell>
          <cell r="J7">
            <v>0</v>
          </cell>
          <cell r="K7">
            <v>223.99999999999997</v>
          </cell>
          <cell r="L7">
            <v>20</v>
          </cell>
          <cell r="M7">
            <v>0</v>
          </cell>
          <cell r="N7">
            <v>240</v>
          </cell>
          <cell r="O7">
            <v>-160</v>
          </cell>
          <cell r="P7">
            <v>-680</v>
          </cell>
          <cell r="Q7">
            <v>0</v>
          </cell>
          <cell r="R7">
            <v>0</v>
          </cell>
          <cell r="S7">
            <v>0</v>
          </cell>
          <cell r="T7">
            <v>30</v>
          </cell>
          <cell r="U7">
            <v>30</v>
          </cell>
          <cell r="V7">
            <v>0</v>
          </cell>
          <cell r="W7">
            <v>0</v>
          </cell>
          <cell r="X7" t="str">
            <v>ACTIVE</v>
          </cell>
        </row>
        <row r="8">
          <cell r="A8" t="str">
            <v>Address   House No.</v>
          </cell>
          <cell r="B8" t="str">
            <v>18, Orchedea,</v>
          </cell>
          <cell r="F8">
            <v>46143</v>
          </cell>
          <cell r="G8">
            <v>4</v>
          </cell>
          <cell r="H8">
            <v>40</v>
          </cell>
          <cell r="I8">
            <v>18.666666666666668</v>
          </cell>
          <cell r="J8">
            <v>0</v>
          </cell>
          <cell r="K8">
            <v>223.99999999999997</v>
          </cell>
          <cell r="L8">
            <v>20</v>
          </cell>
          <cell r="M8">
            <v>0</v>
          </cell>
          <cell r="N8">
            <v>240</v>
          </cell>
          <cell r="O8">
            <v>-200</v>
          </cell>
          <cell r="P8">
            <v>-880</v>
          </cell>
          <cell r="Q8">
            <v>0</v>
          </cell>
          <cell r="R8">
            <v>0</v>
          </cell>
          <cell r="S8">
            <v>0</v>
          </cell>
          <cell r="T8">
            <v>31</v>
          </cell>
          <cell r="U8">
            <v>31</v>
          </cell>
          <cell r="V8">
            <v>0</v>
          </cell>
          <cell r="W8">
            <v>0</v>
          </cell>
          <cell r="X8" t="str">
            <v>ACTIVE</v>
          </cell>
        </row>
        <row r="9">
          <cell r="A9" t="str">
            <v>Str</v>
          </cell>
          <cell r="B9" t="str">
            <v>Pietru Felice str.</v>
          </cell>
          <cell r="F9">
            <v>46174</v>
          </cell>
          <cell r="G9">
            <v>5</v>
          </cell>
          <cell r="H9">
            <v>40</v>
          </cell>
          <cell r="I9">
            <v>18.666666666666668</v>
          </cell>
          <cell r="J9">
            <v>0</v>
          </cell>
          <cell r="K9">
            <v>223.99999999999997</v>
          </cell>
          <cell r="L9">
            <v>20</v>
          </cell>
          <cell r="M9">
            <v>0</v>
          </cell>
          <cell r="N9">
            <v>240</v>
          </cell>
          <cell r="O9">
            <v>-160</v>
          </cell>
          <cell r="P9">
            <v>-1040</v>
          </cell>
          <cell r="Q9">
            <v>0</v>
          </cell>
          <cell r="R9">
            <v>0</v>
          </cell>
          <cell r="S9">
            <v>0</v>
          </cell>
          <cell r="T9">
            <v>30</v>
          </cell>
          <cell r="U9">
            <v>30</v>
          </cell>
          <cell r="V9">
            <v>0</v>
          </cell>
          <cell r="W9">
            <v>0</v>
          </cell>
          <cell r="X9" t="str">
            <v>ACTIVE</v>
          </cell>
        </row>
        <row r="10">
          <cell r="A10" t="str">
            <v>Locality</v>
          </cell>
          <cell r="B10" t="str">
            <v>Qormi</v>
          </cell>
          <cell r="F10">
            <v>46204</v>
          </cell>
          <cell r="G10">
            <v>4</v>
          </cell>
          <cell r="H10">
            <v>40</v>
          </cell>
          <cell r="I10">
            <v>18.666666666666668</v>
          </cell>
          <cell r="J10">
            <v>0</v>
          </cell>
          <cell r="K10">
            <v>223.99999999999997</v>
          </cell>
          <cell r="L10">
            <v>20</v>
          </cell>
          <cell r="M10">
            <v>0</v>
          </cell>
          <cell r="N10">
            <v>240</v>
          </cell>
          <cell r="O10">
            <v>-160</v>
          </cell>
          <cell r="P10">
            <v>-1200</v>
          </cell>
          <cell r="Q10">
            <v>0</v>
          </cell>
          <cell r="R10">
            <v>0</v>
          </cell>
          <cell r="S10">
            <v>0</v>
          </cell>
          <cell r="T10">
            <v>31</v>
          </cell>
          <cell r="U10">
            <v>31</v>
          </cell>
          <cell r="V10">
            <v>0</v>
          </cell>
          <cell r="W10">
            <v>0</v>
          </cell>
          <cell r="X10" t="str">
            <v>ACTIVE</v>
          </cell>
        </row>
        <row r="11">
          <cell r="A11" t="str">
            <v xml:space="preserve">Postcode </v>
          </cell>
          <cell r="B11" t="str">
            <v>QRM4562</v>
          </cell>
          <cell r="F11">
            <v>46235</v>
          </cell>
          <cell r="G11">
            <v>5</v>
          </cell>
          <cell r="H11">
            <v>40</v>
          </cell>
          <cell r="I11">
            <v>18.666666666666668</v>
          </cell>
          <cell r="J11">
            <v>0</v>
          </cell>
          <cell r="K11">
            <v>223.99999999999997</v>
          </cell>
          <cell r="L11">
            <v>20</v>
          </cell>
          <cell r="M11">
            <v>0</v>
          </cell>
          <cell r="N11">
            <v>240</v>
          </cell>
          <cell r="O11">
            <v>-160</v>
          </cell>
          <cell r="P11">
            <v>-1360</v>
          </cell>
          <cell r="Q11">
            <v>0</v>
          </cell>
          <cell r="R11">
            <v>0</v>
          </cell>
          <cell r="S11">
            <v>0</v>
          </cell>
          <cell r="T11">
            <v>31</v>
          </cell>
          <cell r="U11">
            <v>31</v>
          </cell>
          <cell r="V11">
            <v>0</v>
          </cell>
          <cell r="W11">
            <v>0</v>
          </cell>
          <cell r="X11" t="str">
            <v>ACTIVE</v>
          </cell>
        </row>
        <row r="12">
          <cell r="A12" t="str">
            <v>Telephone Number</v>
          </cell>
          <cell r="B12">
            <v>77170064</v>
          </cell>
          <cell r="F12">
            <v>46266</v>
          </cell>
          <cell r="G12">
            <v>4</v>
          </cell>
          <cell r="H12">
            <v>40</v>
          </cell>
          <cell r="I12">
            <v>18.666666666666668</v>
          </cell>
          <cell r="J12">
            <v>0</v>
          </cell>
          <cell r="K12">
            <v>223.99999999999997</v>
          </cell>
          <cell r="L12">
            <v>20</v>
          </cell>
          <cell r="M12">
            <v>0</v>
          </cell>
          <cell r="N12">
            <v>240</v>
          </cell>
          <cell r="O12">
            <v>-160</v>
          </cell>
          <cell r="P12">
            <v>-1520</v>
          </cell>
          <cell r="Q12">
            <v>0</v>
          </cell>
          <cell r="R12">
            <v>0</v>
          </cell>
          <cell r="S12">
            <v>0</v>
          </cell>
          <cell r="T12">
            <v>30</v>
          </cell>
          <cell r="U12">
            <v>30</v>
          </cell>
          <cell r="V12">
            <v>0</v>
          </cell>
          <cell r="W12">
            <v>0</v>
          </cell>
          <cell r="X12" t="str">
            <v>ACTIVE</v>
          </cell>
        </row>
        <row r="13">
          <cell r="A13" t="str">
            <v>Payee ID CARD No./IT Reg No.</v>
          </cell>
          <cell r="B13" t="str">
            <v>256693M</v>
          </cell>
          <cell r="F13">
            <v>46296</v>
          </cell>
          <cell r="G13">
            <v>4</v>
          </cell>
          <cell r="H13">
            <v>40</v>
          </cell>
          <cell r="I13">
            <v>18.666666666666668</v>
          </cell>
          <cell r="J13">
            <v>0</v>
          </cell>
          <cell r="K13">
            <v>223.99999999999997</v>
          </cell>
          <cell r="L13">
            <v>20</v>
          </cell>
          <cell r="M13">
            <v>0</v>
          </cell>
          <cell r="N13">
            <v>240</v>
          </cell>
          <cell r="O13">
            <v>-200</v>
          </cell>
          <cell r="P13">
            <v>-1720</v>
          </cell>
          <cell r="Q13">
            <v>0</v>
          </cell>
          <cell r="R13">
            <v>0</v>
          </cell>
          <cell r="S13">
            <v>0</v>
          </cell>
          <cell r="T13">
            <v>31</v>
          </cell>
          <cell r="U13">
            <v>31</v>
          </cell>
          <cell r="V13">
            <v>0</v>
          </cell>
          <cell r="W13">
            <v>0</v>
          </cell>
          <cell r="X13" t="str">
            <v>ACTIVE</v>
          </cell>
        </row>
        <row r="14">
          <cell r="A14" t="str">
            <v>Payee Social Security No.</v>
          </cell>
          <cell r="B14" t="str">
            <v>D45912845</v>
          </cell>
          <cell r="F14">
            <v>46327</v>
          </cell>
          <cell r="G14">
            <v>5</v>
          </cell>
          <cell r="H14">
            <v>40</v>
          </cell>
          <cell r="I14">
            <v>18.666666666666668</v>
          </cell>
          <cell r="J14">
            <v>0</v>
          </cell>
          <cell r="K14">
            <v>223.99999999999997</v>
          </cell>
          <cell r="L14">
            <v>20</v>
          </cell>
          <cell r="M14">
            <v>0</v>
          </cell>
          <cell r="N14">
            <v>240</v>
          </cell>
          <cell r="O14">
            <v>-160</v>
          </cell>
          <cell r="P14">
            <v>-1880</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40</v>
          </cell>
          <cell r="I15">
            <v>18.666666666666668</v>
          </cell>
          <cell r="J15">
            <v>0</v>
          </cell>
          <cell r="K15">
            <v>223.99999999999997</v>
          </cell>
          <cell r="L15">
            <v>20</v>
          </cell>
          <cell r="M15">
            <v>0</v>
          </cell>
          <cell r="N15">
            <v>240</v>
          </cell>
          <cell r="O15">
            <v>-160</v>
          </cell>
          <cell r="P15">
            <v>-2040</v>
          </cell>
          <cell r="Q15">
            <v>0</v>
          </cell>
          <cell r="R15">
            <v>0</v>
          </cell>
          <cell r="S15">
            <v>0</v>
          </cell>
          <cell r="T15">
            <v>31</v>
          </cell>
          <cell r="U15">
            <v>31</v>
          </cell>
          <cell r="V15">
            <v>0</v>
          </cell>
          <cell r="W15">
            <v>0</v>
          </cell>
          <cell r="X15" t="str">
            <v>ACTIVE</v>
          </cell>
        </row>
        <row r="16">
          <cell r="A16" t="str">
            <v>IBAN</v>
          </cell>
          <cell r="B16" t="str">
            <v>MT31VALL22013000000040024253042</v>
          </cell>
          <cell r="F16" t="str">
            <v>TOTALS</v>
          </cell>
          <cell r="G16">
            <v>52</v>
          </cell>
          <cell r="I16">
            <v>223.99999999999997</v>
          </cell>
          <cell r="J16">
            <v>0</v>
          </cell>
          <cell r="K16">
            <v>223.99999999999997</v>
          </cell>
          <cell r="L16">
            <v>240</v>
          </cell>
          <cell r="M16">
            <v>0</v>
          </cell>
          <cell r="N16">
            <v>240</v>
          </cell>
          <cell r="P16">
            <v>-2040</v>
          </cell>
          <cell r="T16">
            <v>365</v>
          </cell>
          <cell r="V16">
            <v>0</v>
          </cell>
        </row>
        <row r="17">
          <cell r="A17" t="str">
            <v>Email</v>
          </cell>
          <cell r="B17" t="str">
            <v>ritiennegaldes@mediatrixmalta.com</v>
          </cell>
          <cell r="H17" t="str">
            <v>Balance to Pay/ Carry forward, Input at end of page</v>
          </cell>
          <cell r="K17">
            <v>223.99999999999997</v>
          </cell>
          <cell r="L17" t="str">
            <v>If paying part/ all of these please use table under December entry table</v>
          </cell>
          <cell r="P17">
            <v>-2040</v>
          </cell>
        </row>
        <row r="18">
          <cell r="A18" t="str">
            <v>DOB</v>
          </cell>
          <cell r="B18">
            <v>34123</v>
          </cell>
        </row>
        <row r="19">
          <cell r="A19" t="str">
            <v>date of First Employment</v>
          </cell>
          <cell r="B19">
            <v>42614</v>
          </cell>
          <cell r="F19" t="str">
            <v>Galdes Ritienne 256693M</v>
          </cell>
          <cell r="G19" t="str">
            <v>SIN</v>
          </cell>
          <cell r="H19" t="str">
            <v>2. Dental Surgeon</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2. Dental Surgeon</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L21">
            <v>0</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224   OF   224</v>
          </cell>
          <cell r="I26" t="str">
            <v>SL = 100 %</v>
          </cell>
          <cell r="J26" t="str">
            <v>BANKED = 
-200 Hrs</v>
          </cell>
          <cell r="K26" t="str">
            <v>ADJ</v>
          </cell>
          <cell r="L26">
            <v>0</v>
          </cell>
        </row>
        <row r="27">
          <cell r="F27">
            <v>2018001</v>
          </cell>
          <cell r="G27">
            <v>18.666666666666668</v>
          </cell>
          <cell r="H27">
            <v>46023</v>
          </cell>
          <cell r="I27" t="str">
            <v>to</v>
          </cell>
          <cell r="J27">
            <v>46053</v>
          </cell>
          <cell r="K27" t="str">
            <v>Banked This Month</v>
          </cell>
          <cell r="L27">
            <v>-200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Galdes Ritienne 256693M</v>
          </cell>
          <cell r="G29" t="str">
            <v>SIN</v>
          </cell>
          <cell r="H29" t="str">
            <v>2. Dental Surgeon</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224   OF   224</v>
          </cell>
          <cell r="I36" t="str">
            <v>SL = 100 %</v>
          </cell>
          <cell r="J36" t="str">
            <v>BANKED = 
-360 Hrs</v>
          </cell>
          <cell r="K36" t="str">
            <v>ADJ</v>
          </cell>
          <cell r="L36">
            <v>0</v>
          </cell>
        </row>
        <row r="37">
          <cell r="F37">
            <v>2018001</v>
          </cell>
          <cell r="G37">
            <v>18.666666666666668</v>
          </cell>
          <cell r="H37">
            <v>46054</v>
          </cell>
          <cell r="I37" t="str">
            <v>to</v>
          </cell>
          <cell r="J37">
            <v>46081</v>
          </cell>
          <cell r="K37" t="str">
            <v>Banked This Month</v>
          </cell>
          <cell r="L37">
            <v>-160</v>
          </cell>
          <cell r="M37" t="str">
            <v>UNPAID WEEKS</v>
          </cell>
          <cell r="N37">
            <v>0</v>
          </cell>
          <cell r="O37">
            <v>1</v>
          </cell>
          <cell r="P37" t="str">
            <v>Maternity</v>
          </cell>
          <cell r="Q37">
            <v>0</v>
          </cell>
        </row>
        <row r="39">
          <cell r="F39" t="str">
            <v>Galdes Ritienne 256693M</v>
          </cell>
          <cell r="G39" t="str">
            <v>SIN</v>
          </cell>
          <cell r="H39" t="str">
            <v>2. Dental Surgeon</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3">
        <row r="1">
          <cell r="A1" t="str">
            <v>EMP NO&gt;</v>
          </cell>
          <cell r="B1">
            <v>2024006</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KMizzi</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40</v>
          </cell>
          <cell r="I4">
            <v>18.666666666666668</v>
          </cell>
          <cell r="J4">
            <v>0</v>
          </cell>
          <cell r="K4">
            <v>223.99999999999997</v>
          </cell>
          <cell r="L4">
            <v>20</v>
          </cell>
          <cell r="M4">
            <v>0</v>
          </cell>
          <cell r="N4">
            <v>240</v>
          </cell>
          <cell r="O4">
            <v>-200</v>
          </cell>
          <cell r="P4">
            <v>-200</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0</v>
          </cell>
          <cell r="K5">
            <v>223.99999999999997</v>
          </cell>
          <cell r="L5">
            <v>20</v>
          </cell>
          <cell r="M5">
            <v>0</v>
          </cell>
          <cell r="N5">
            <v>240</v>
          </cell>
          <cell r="O5">
            <v>-160</v>
          </cell>
          <cell r="P5">
            <v>-360</v>
          </cell>
          <cell r="Q5">
            <v>0</v>
          </cell>
          <cell r="R5">
            <v>0</v>
          </cell>
          <cell r="S5">
            <v>0</v>
          </cell>
          <cell r="T5">
            <v>28</v>
          </cell>
          <cell r="U5">
            <v>28</v>
          </cell>
          <cell r="V5">
            <v>0</v>
          </cell>
          <cell r="W5">
            <v>0</v>
          </cell>
          <cell r="X5" t="str">
            <v>ACTIVE</v>
          </cell>
        </row>
        <row r="6">
          <cell r="A6" t="str">
            <v>Surname</v>
          </cell>
          <cell r="B6" t="str">
            <v>Mizzi</v>
          </cell>
          <cell r="F6">
            <v>46082</v>
          </cell>
          <cell r="G6">
            <v>5</v>
          </cell>
          <cell r="H6">
            <v>40</v>
          </cell>
          <cell r="I6">
            <v>18.666666666666668</v>
          </cell>
          <cell r="J6">
            <v>0</v>
          </cell>
          <cell r="K6">
            <v>223.99999999999997</v>
          </cell>
          <cell r="L6">
            <v>20</v>
          </cell>
          <cell r="M6">
            <v>0</v>
          </cell>
          <cell r="N6">
            <v>240</v>
          </cell>
          <cell r="O6">
            <v>-160</v>
          </cell>
          <cell r="P6">
            <v>-520</v>
          </cell>
          <cell r="Q6">
            <v>0</v>
          </cell>
          <cell r="R6">
            <v>0</v>
          </cell>
          <cell r="S6">
            <v>0</v>
          </cell>
          <cell r="T6">
            <v>31</v>
          </cell>
          <cell r="U6">
            <v>31</v>
          </cell>
          <cell r="V6">
            <v>0</v>
          </cell>
          <cell r="W6">
            <v>0</v>
          </cell>
          <cell r="X6" t="str">
            <v>ACTIVE</v>
          </cell>
        </row>
        <row r="7">
          <cell r="A7" t="str">
            <v>Name</v>
          </cell>
          <cell r="B7" t="str">
            <v>Katia</v>
          </cell>
          <cell r="F7">
            <v>46113</v>
          </cell>
          <cell r="G7">
            <v>4</v>
          </cell>
          <cell r="H7">
            <v>40</v>
          </cell>
          <cell r="I7">
            <v>18.666666666666668</v>
          </cell>
          <cell r="J7">
            <v>0</v>
          </cell>
          <cell r="K7">
            <v>223.99999999999997</v>
          </cell>
          <cell r="L7">
            <v>20</v>
          </cell>
          <cell r="M7">
            <v>0</v>
          </cell>
          <cell r="N7">
            <v>240</v>
          </cell>
          <cell r="O7">
            <v>-160</v>
          </cell>
          <cell r="P7">
            <v>-680</v>
          </cell>
          <cell r="Q7">
            <v>0</v>
          </cell>
          <cell r="R7">
            <v>0</v>
          </cell>
          <cell r="S7">
            <v>0</v>
          </cell>
          <cell r="T7">
            <v>30</v>
          </cell>
          <cell r="U7">
            <v>30</v>
          </cell>
          <cell r="V7">
            <v>0</v>
          </cell>
          <cell r="W7">
            <v>0</v>
          </cell>
          <cell r="X7" t="str">
            <v>ACTIVE</v>
          </cell>
        </row>
        <row r="8">
          <cell r="A8" t="str">
            <v>Address   House No.</v>
          </cell>
          <cell r="B8" t="str">
            <v xml:space="preserve"> ‘Peprina’</v>
          </cell>
          <cell r="F8">
            <v>46143</v>
          </cell>
          <cell r="G8">
            <v>4</v>
          </cell>
          <cell r="H8">
            <v>40</v>
          </cell>
          <cell r="I8">
            <v>18.666666666666668</v>
          </cell>
          <cell r="J8">
            <v>0</v>
          </cell>
          <cell r="K8">
            <v>223.99999999999997</v>
          </cell>
          <cell r="L8">
            <v>20</v>
          </cell>
          <cell r="M8">
            <v>0</v>
          </cell>
          <cell r="N8">
            <v>240</v>
          </cell>
          <cell r="O8">
            <v>-200</v>
          </cell>
          <cell r="P8">
            <v>-880</v>
          </cell>
          <cell r="Q8">
            <v>0</v>
          </cell>
          <cell r="R8">
            <v>0</v>
          </cell>
          <cell r="S8">
            <v>0</v>
          </cell>
          <cell r="T8">
            <v>31</v>
          </cell>
          <cell r="U8">
            <v>31</v>
          </cell>
          <cell r="V8">
            <v>0</v>
          </cell>
          <cell r="W8">
            <v>0</v>
          </cell>
          <cell r="X8" t="str">
            <v>ACTIVE</v>
          </cell>
        </row>
        <row r="9">
          <cell r="A9" t="str">
            <v>Str</v>
          </cell>
          <cell r="B9" t="str">
            <v>Municipju Ruman Street</v>
          </cell>
          <cell r="F9">
            <v>46174</v>
          </cell>
          <cell r="G9">
            <v>5</v>
          </cell>
          <cell r="H9">
            <v>40</v>
          </cell>
          <cell r="I9">
            <v>18.666666666666668</v>
          </cell>
          <cell r="J9">
            <v>0</v>
          </cell>
          <cell r="K9">
            <v>223.99999999999997</v>
          </cell>
          <cell r="L9">
            <v>20</v>
          </cell>
          <cell r="M9">
            <v>0</v>
          </cell>
          <cell r="N9">
            <v>240</v>
          </cell>
          <cell r="O9">
            <v>-160</v>
          </cell>
          <cell r="P9">
            <v>-1040</v>
          </cell>
          <cell r="Q9">
            <v>0</v>
          </cell>
          <cell r="R9">
            <v>0</v>
          </cell>
          <cell r="S9">
            <v>0</v>
          </cell>
          <cell r="T9">
            <v>30</v>
          </cell>
          <cell r="U9">
            <v>30</v>
          </cell>
          <cell r="V9">
            <v>0</v>
          </cell>
          <cell r="W9">
            <v>0</v>
          </cell>
          <cell r="X9" t="str">
            <v>ACTIVE</v>
          </cell>
        </row>
        <row r="10">
          <cell r="A10" t="str">
            <v>Locality</v>
          </cell>
          <cell r="B10" t="str">
            <v>Victoria Gozo,</v>
          </cell>
          <cell r="F10">
            <v>46204</v>
          </cell>
          <cell r="G10">
            <v>4</v>
          </cell>
          <cell r="H10">
            <v>40</v>
          </cell>
          <cell r="I10">
            <v>18.666666666666668</v>
          </cell>
          <cell r="J10">
            <v>0</v>
          </cell>
          <cell r="K10">
            <v>223.99999999999997</v>
          </cell>
          <cell r="L10">
            <v>20</v>
          </cell>
          <cell r="M10">
            <v>0</v>
          </cell>
          <cell r="N10">
            <v>240</v>
          </cell>
          <cell r="O10">
            <v>-160</v>
          </cell>
          <cell r="P10">
            <v>-1200</v>
          </cell>
          <cell r="Q10">
            <v>0</v>
          </cell>
          <cell r="R10">
            <v>0</v>
          </cell>
          <cell r="S10">
            <v>0</v>
          </cell>
          <cell r="T10">
            <v>31</v>
          </cell>
          <cell r="U10">
            <v>31</v>
          </cell>
          <cell r="V10">
            <v>0</v>
          </cell>
          <cell r="W10">
            <v>0</v>
          </cell>
          <cell r="X10" t="str">
            <v>ACTIVE</v>
          </cell>
        </row>
        <row r="11">
          <cell r="A11" t="str">
            <v xml:space="preserve">Postcode </v>
          </cell>
          <cell r="B11" t="str">
            <v>VCT2680</v>
          </cell>
          <cell r="F11">
            <v>46235</v>
          </cell>
          <cell r="G11">
            <v>5</v>
          </cell>
          <cell r="H11">
            <v>40</v>
          </cell>
          <cell r="I11">
            <v>18.666666666666668</v>
          </cell>
          <cell r="J11">
            <v>0</v>
          </cell>
          <cell r="K11">
            <v>223.99999999999997</v>
          </cell>
          <cell r="L11">
            <v>20</v>
          </cell>
          <cell r="M11">
            <v>0</v>
          </cell>
          <cell r="N11">
            <v>240</v>
          </cell>
          <cell r="O11">
            <v>-160</v>
          </cell>
          <cell r="P11">
            <v>-1360</v>
          </cell>
          <cell r="Q11">
            <v>0</v>
          </cell>
          <cell r="R11">
            <v>0</v>
          </cell>
          <cell r="S11">
            <v>0</v>
          </cell>
          <cell r="T11">
            <v>31</v>
          </cell>
          <cell r="U11">
            <v>31</v>
          </cell>
          <cell r="V11">
            <v>0</v>
          </cell>
          <cell r="W11">
            <v>0</v>
          </cell>
          <cell r="X11" t="str">
            <v>ACTIVE</v>
          </cell>
        </row>
        <row r="12">
          <cell r="A12" t="str">
            <v>Telephone Number</v>
          </cell>
          <cell r="B12">
            <v>79081599</v>
          </cell>
          <cell r="F12">
            <v>46266</v>
          </cell>
          <cell r="G12">
            <v>4</v>
          </cell>
          <cell r="H12">
            <v>40</v>
          </cell>
          <cell r="I12">
            <v>18.666666666666668</v>
          </cell>
          <cell r="J12">
            <v>0</v>
          </cell>
          <cell r="K12">
            <v>223.99999999999997</v>
          </cell>
          <cell r="L12">
            <v>20</v>
          </cell>
          <cell r="M12">
            <v>0</v>
          </cell>
          <cell r="N12">
            <v>240</v>
          </cell>
          <cell r="O12">
            <v>-160</v>
          </cell>
          <cell r="P12">
            <v>-1520</v>
          </cell>
          <cell r="Q12">
            <v>0</v>
          </cell>
          <cell r="R12">
            <v>0</v>
          </cell>
          <cell r="S12">
            <v>0</v>
          </cell>
          <cell r="T12">
            <v>30</v>
          </cell>
          <cell r="U12">
            <v>30</v>
          </cell>
          <cell r="V12">
            <v>0</v>
          </cell>
          <cell r="W12">
            <v>0</v>
          </cell>
          <cell r="X12" t="str">
            <v>ACTIVE</v>
          </cell>
        </row>
        <row r="13">
          <cell r="A13" t="str">
            <v>Payee ID CARD No./IT Reg No.</v>
          </cell>
          <cell r="B13" t="str">
            <v xml:space="preserve">2399G
</v>
          </cell>
          <cell r="F13">
            <v>46296</v>
          </cell>
          <cell r="G13">
            <v>4</v>
          </cell>
          <cell r="H13">
            <v>40</v>
          </cell>
          <cell r="I13">
            <v>18.666666666666668</v>
          </cell>
          <cell r="J13">
            <v>0</v>
          </cell>
          <cell r="K13">
            <v>223.99999999999997</v>
          </cell>
          <cell r="L13">
            <v>20</v>
          </cell>
          <cell r="M13">
            <v>0</v>
          </cell>
          <cell r="N13">
            <v>240</v>
          </cell>
          <cell r="O13">
            <v>-200</v>
          </cell>
          <cell r="P13">
            <v>-1720</v>
          </cell>
          <cell r="Q13">
            <v>0</v>
          </cell>
          <cell r="R13">
            <v>0</v>
          </cell>
          <cell r="S13">
            <v>0</v>
          </cell>
          <cell r="T13">
            <v>31</v>
          </cell>
          <cell r="U13">
            <v>31</v>
          </cell>
          <cell r="V13">
            <v>0</v>
          </cell>
          <cell r="W13">
            <v>0</v>
          </cell>
          <cell r="X13" t="str">
            <v>ACTIVE</v>
          </cell>
        </row>
        <row r="14">
          <cell r="A14" t="str">
            <v>Payee Social Security No.</v>
          </cell>
          <cell r="B14">
            <v>0</v>
          </cell>
          <cell r="F14">
            <v>46327</v>
          </cell>
          <cell r="G14">
            <v>5</v>
          </cell>
          <cell r="H14">
            <v>40</v>
          </cell>
          <cell r="I14">
            <v>18.666666666666668</v>
          </cell>
          <cell r="J14">
            <v>0</v>
          </cell>
          <cell r="K14">
            <v>223.99999999999997</v>
          </cell>
          <cell r="L14">
            <v>20</v>
          </cell>
          <cell r="M14">
            <v>0</v>
          </cell>
          <cell r="N14">
            <v>240</v>
          </cell>
          <cell r="O14">
            <v>-160</v>
          </cell>
          <cell r="P14">
            <v>-1880</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40</v>
          </cell>
          <cell r="I15">
            <v>18.666666666666668</v>
          </cell>
          <cell r="J15">
            <v>0</v>
          </cell>
          <cell r="K15">
            <v>223.99999999999997</v>
          </cell>
          <cell r="L15">
            <v>20</v>
          </cell>
          <cell r="M15">
            <v>0</v>
          </cell>
          <cell r="N15">
            <v>240</v>
          </cell>
          <cell r="O15">
            <v>-160</v>
          </cell>
          <cell r="P15">
            <v>-2040</v>
          </cell>
          <cell r="Q15">
            <v>0</v>
          </cell>
          <cell r="R15">
            <v>0</v>
          </cell>
          <cell r="S15">
            <v>0</v>
          </cell>
          <cell r="T15">
            <v>31</v>
          </cell>
          <cell r="U15">
            <v>31</v>
          </cell>
          <cell r="V15">
            <v>0</v>
          </cell>
          <cell r="W15">
            <v>0</v>
          </cell>
          <cell r="X15" t="str">
            <v>ACTIVE</v>
          </cell>
        </row>
        <row r="16">
          <cell r="A16" t="str">
            <v>IBAN</v>
          </cell>
          <cell r="B16" t="str">
            <v>MT90VALL22013000000050021691422</v>
          </cell>
          <cell r="F16" t="str">
            <v>TOTALS</v>
          </cell>
          <cell r="G16">
            <v>52</v>
          </cell>
          <cell r="I16">
            <v>223.99999999999997</v>
          </cell>
          <cell r="J16">
            <v>0</v>
          </cell>
          <cell r="K16">
            <v>223.99999999999997</v>
          </cell>
          <cell r="L16">
            <v>240</v>
          </cell>
          <cell r="M16">
            <v>0</v>
          </cell>
          <cell r="N16">
            <v>240</v>
          </cell>
          <cell r="P16">
            <v>-2040</v>
          </cell>
          <cell r="T16">
            <v>365</v>
          </cell>
          <cell r="V16">
            <v>0</v>
          </cell>
        </row>
        <row r="17">
          <cell r="A17" t="str">
            <v>Email</v>
          </cell>
          <cell r="B17" t="str">
            <v>katiamizzi8@gmail.com</v>
          </cell>
          <cell r="H17" t="str">
            <v>Balance to Pay/ Carry forward, Input at end of page</v>
          </cell>
          <cell r="K17">
            <v>223.99999999999997</v>
          </cell>
          <cell r="L17" t="str">
            <v>If paying part/ all of these please use table under December entry table</v>
          </cell>
          <cell r="P17">
            <v>-2040</v>
          </cell>
        </row>
        <row r="18">
          <cell r="A18" t="str">
            <v>DOB</v>
          </cell>
          <cell r="B18">
            <v>36168</v>
          </cell>
        </row>
        <row r="19">
          <cell r="A19" t="str">
            <v>date of First Employment</v>
          </cell>
          <cell r="B19">
            <v>45509</v>
          </cell>
          <cell r="F19" t="str">
            <v xml:space="preserve">Mizzi Katia 2399G
</v>
          </cell>
          <cell r="G19" t="str">
            <v>SIN</v>
          </cell>
          <cell r="H19" t="str">
            <v>2. Dental Surgeon</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2. Dental Surgeon</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L21">
            <v>0</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224   OF   224</v>
          </cell>
          <cell r="I26" t="str">
            <v>SL = 100 %</v>
          </cell>
          <cell r="J26" t="str">
            <v>BANKED = 
-200 Hrs</v>
          </cell>
          <cell r="K26" t="str">
            <v>ADJ</v>
          </cell>
          <cell r="L26">
            <v>0</v>
          </cell>
        </row>
        <row r="27">
          <cell r="F27">
            <v>2024006</v>
          </cell>
          <cell r="G27">
            <v>18.666666666666668</v>
          </cell>
          <cell r="H27">
            <v>46023</v>
          </cell>
          <cell r="I27" t="str">
            <v>to</v>
          </cell>
          <cell r="J27">
            <v>46053</v>
          </cell>
          <cell r="K27" t="str">
            <v>Banked This Month</v>
          </cell>
          <cell r="L27">
            <v>-200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 xml:space="preserve">Mizzi Katia 2399G
</v>
          </cell>
          <cell r="G29" t="str">
            <v>SIN</v>
          </cell>
          <cell r="H29" t="str">
            <v>2. Dental Surgeon</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224   OF   224</v>
          </cell>
          <cell r="I36" t="str">
            <v>SL = 100 %</v>
          </cell>
          <cell r="J36" t="str">
            <v>BANKED = 
-360 Hrs</v>
          </cell>
          <cell r="K36" t="str">
            <v>ADJ</v>
          </cell>
          <cell r="L36">
            <v>0</v>
          </cell>
        </row>
        <row r="37">
          <cell r="F37">
            <v>2024006</v>
          </cell>
          <cell r="G37">
            <v>18.666666666666668</v>
          </cell>
          <cell r="H37">
            <v>46054</v>
          </cell>
          <cell r="I37" t="str">
            <v>to</v>
          </cell>
          <cell r="J37">
            <v>46081</v>
          </cell>
          <cell r="K37" t="str">
            <v>Banked This Month</v>
          </cell>
          <cell r="L37">
            <v>-160</v>
          </cell>
          <cell r="M37" t="str">
            <v>UNPAID WEEKS</v>
          </cell>
          <cell r="N37">
            <v>0</v>
          </cell>
          <cell r="O37">
            <v>1</v>
          </cell>
          <cell r="P37" t="str">
            <v>Maternity</v>
          </cell>
          <cell r="Q37">
            <v>0</v>
          </cell>
        </row>
        <row r="39">
          <cell r="F39" t="str">
            <v xml:space="preserve">Mizzi Katia 2399G
</v>
          </cell>
          <cell r="G39" t="str">
            <v>SIN</v>
          </cell>
          <cell r="H39" t="str">
            <v>2. Dental Surgeon</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4">
        <row r="1">
          <cell r="A1" t="str">
            <v>EMP NO&gt;</v>
          </cell>
          <cell r="B1">
            <v>2025008</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RCamilleri</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40</v>
          </cell>
          <cell r="I4">
            <v>18.666666666666668</v>
          </cell>
          <cell r="J4">
            <v>0</v>
          </cell>
          <cell r="K4">
            <v>223.99999999999997</v>
          </cell>
          <cell r="L4">
            <v>20</v>
          </cell>
          <cell r="M4">
            <v>0</v>
          </cell>
          <cell r="N4">
            <v>240</v>
          </cell>
          <cell r="O4">
            <v>-200</v>
          </cell>
          <cell r="P4">
            <v>-200</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0</v>
          </cell>
          <cell r="K5">
            <v>223.99999999999997</v>
          </cell>
          <cell r="L5">
            <v>20</v>
          </cell>
          <cell r="M5">
            <v>0</v>
          </cell>
          <cell r="N5">
            <v>240</v>
          </cell>
          <cell r="O5">
            <v>-160</v>
          </cell>
          <cell r="P5">
            <v>-360</v>
          </cell>
          <cell r="Q5">
            <v>0</v>
          </cell>
          <cell r="R5">
            <v>0</v>
          </cell>
          <cell r="S5">
            <v>0</v>
          </cell>
          <cell r="T5">
            <v>28</v>
          </cell>
          <cell r="U5">
            <v>28</v>
          </cell>
          <cell r="V5">
            <v>0</v>
          </cell>
          <cell r="W5">
            <v>0</v>
          </cell>
          <cell r="X5" t="str">
            <v>ACTIVE</v>
          </cell>
        </row>
        <row r="6">
          <cell r="A6" t="str">
            <v>Surname</v>
          </cell>
          <cell r="B6" t="str">
            <v>Camilleri</v>
          </cell>
          <cell r="F6">
            <v>46082</v>
          </cell>
          <cell r="G6">
            <v>5</v>
          </cell>
          <cell r="H6">
            <v>40</v>
          </cell>
          <cell r="I6">
            <v>18.666666666666668</v>
          </cell>
          <cell r="J6">
            <v>0</v>
          </cell>
          <cell r="K6">
            <v>223.99999999999997</v>
          </cell>
          <cell r="L6">
            <v>20</v>
          </cell>
          <cell r="M6">
            <v>0</v>
          </cell>
          <cell r="N6">
            <v>240</v>
          </cell>
          <cell r="O6">
            <v>-160</v>
          </cell>
          <cell r="P6">
            <v>-520</v>
          </cell>
          <cell r="Q6">
            <v>0</v>
          </cell>
          <cell r="R6">
            <v>0</v>
          </cell>
          <cell r="S6">
            <v>0</v>
          </cell>
          <cell r="T6">
            <v>31</v>
          </cell>
          <cell r="U6">
            <v>31</v>
          </cell>
          <cell r="V6">
            <v>0</v>
          </cell>
          <cell r="W6">
            <v>0</v>
          </cell>
          <cell r="X6" t="str">
            <v>ACTIVE</v>
          </cell>
        </row>
        <row r="7">
          <cell r="A7" t="str">
            <v>Name</v>
          </cell>
          <cell r="B7" t="str">
            <v>Ryan</v>
          </cell>
          <cell r="F7">
            <v>46113</v>
          </cell>
          <cell r="G7">
            <v>4</v>
          </cell>
          <cell r="H7">
            <v>40</v>
          </cell>
          <cell r="I7">
            <v>18.666666666666668</v>
          </cell>
          <cell r="J7">
            <v>0</v>
          </cell>
          <cell r="K7">
            <v>223.99999999999997</v>
          </cell>
          <cell r="L7">
            <v>20</v>
          </cell>
          <cell r="M7">
            <v>0</v>
          </cell>
          <cell r="N7">
            <v>240</v>
          </cell>
          <cell r="O7">
            <v>-160</v>
          </cell>
          <cell r="P7">
            <v>-680</v>
          </cell>
          <cell r="Q7">
            <v>0</v>
          </cell>
          <cell r="R7">
            <v>0</v>
          </cell>
          <cell r="S7">
            <v>0</v>
          </cell>
          <cell r="T7">
            <v>30</v>
          </cell>
          <cell r="U7">
            <v>30</v>
          </cell>
          <cell r="V7">
            <v>0</v>
          </cell>
          <cell r="W7">
            <v>0</v>
          </cell>
          <cell r="X7" t="str">
            <v>ACTIVE</v>
          </cell>
        </row>
        <row r="8">
          <cell r="A8" t="str">
            <v>Address   House No.</v>
          </cell>
          <cell r="B8" t="str">
            <v>Ta' Romeo</v>
          </cell>
          <cell r="F8">
            <v>46143</v>
          </cell>
          <cell r="G8">
            <v>4</v>
          </cell>
          <cell r="H8">
            <v>40</v>
          </cell>
          <cell r="I8">
            <v>18.666666666666668</v>
          </cell>
          <cell r="J8">
            <v>0</v>
          </cell>
          <cell r="K8">
            <v>223.99999999999997</v>
          </cell>
          <cell r="L8">
            <v>20</v>
          </cell>
          <cell r="M8">
            <v>0</v>
          </cell>
          <cell r="N8">
            <v>240</v>
          </cell>
          <cell r="O8">
            <v>-200</v>
          </cell>
          <cell r="P8">
            <v>-880</v>
          </cell>
          <cell r="Q8">
            <v>0</v>
          </cell>
          <cell r="R8">
            <v>0</v>
          </cell>
          <cell r="S8">
            <v>0</v>
          </cell>
          <cell r="T8">
            <v>31</v>
          </cell>
          <cell r="U8">
            <v>31</v>
          </cell>
          <cell r="V8">
            <v>0</v>
          </cell>
          <cell r="W8">
            <v>0</v>
          </cell>
          <cell r="X8" t="str">
            <v>ACTIVE</v>
          </cell>
        </row>
        <row r="9">
          <cell r="A9" t="str">
            <v>Str</v>
          </cell>
          <cell r="B9" t="str">
            <v>Triq il-Knisja</v>
          </cell>
          <cell r="F9">
            <v>46174</v>
          </cell>
          <cell r="G9">
            <v>5</v>
          </cell>
          <cell r="H9">
            <v>40</v>
          </cell>
          <cell r="I9">
            <v>18.666666666666668</v>
          </cell>
          <cell r="J9">
            <v>0</v>
          </cell>
          <cell r="K9">
            <v>223.99999999999997</v>
          </cell>
          <cell r="L9">
            <v>20</v>
          </cell>
          <cell r="M9">
            <v>0</v>
          </cell>
          <cell r="N9">
            <v>240</v>
          </cell>
          <cell r="O9">
            <v>-160</v>
          </cell>
          <cell r="P9">
            <v>-1040</v>
          </cell>
          <cell r="Q9">
            <v>0</v>
          </cell>
          <cell r="R9">
            <v>0</v>
          </cell>
          <cell r="S9">
            <v>0</v>
          </cell>
          <cell r="T9">
            <v>30</v>
          </cell>
          <cell r="U9">
            <v>30</v>
          </cell>
          <cell r="V9">
            <v>0</v>
          </cell>
          <cell r="W9">
            <v>0</v>
          </cell>
          <cell r="X9" t="str">
            <v>ACTIVE</v>
          </cell>
        </row>
        <row r="10">
          <cell r="A10" t="str">
            <v>Locality</v>
          </cell>
          <cell r="B10" t="str">
            <v>Ghasri</v>
          </cell>
          <cell r="F10">
            <v>46204</v>
          </cell>
          <cell r="G10">
            <v>4</v>
          </cell>
          <cell r="H10">
            <v>40</v>
          </cell>
          <cell r="I10">
            <v>18.666666666666668</v>
          </cell>
          <cell r="J10">
            <v>0</v>
          </cell>
          <cell r="K10">
            <v>223.99999999999997</v>
          </cell>
          <cell r="L10">
            <v>20</v>
          </cell>
          <cell r="M10">
            <v>0</v>
          </cell>
          <cell r="N10">
            <v>240</v>
          </cell>
          <cell r="O10">
            <v>-160</v>
          </cell>
          <cell r="P10">
            <v>-1200</v>
          </cell>
          <cell r="Q10">
            <v>0</v>
          </cell>
          <cell r="R10">
            <v>0</v>
          </cell>
          <cell r="S10">
            <v>0</v>
          </cell>
          <cell r="T10">
            <v>31</v>
          </cell>
          <cell r="U10">
            <v>31</v>
          </cell>
          <cell r="V10">
            <v>0</v>
          </cell>
          <cell r="W10">
            <v>0</v>
          </cell>
          <cell r="X10" t="str">
            <v>ACTIVE</v>
          </cell>
        </row>
        <row r="11">
          <cell r="A11" t="str">
            <v xml:space="preserve">Postcode </v>
          </cell>
          <cell r="B11" t="str">
            <v>GSR1101</v>
          </cell>
          <cell r="F11">
            <v>46235</v>
          </cell>
          <cell r="G11">
            <v>5</v>
          </cell>
          <cell r="H11">
            <v>40</v>
          </cell>
          <cell r="I11">
            <v>18.666666666666668</v>
          </cell>
          <cell r="J11">
            <v>0</v>
          </cell>
          <cell r="K11">
            <v>223.99999999999997</v>
          </cell>
          <cell r="L11">
            <v>20</v>
          </cell>
          <cell r="M11">
            <v>0</v>
          </cell>
          <cell r="N11">
            <v>240</v>
          </cell>
          <cell r="O11">
            <v>-160</v>
          </cell>
          <cell r="P11">
            <v>-1360</v>
          </cell>
          <cell r="Q11">
            <v>0</v>
          </cell>
          <cell r="R11">
            <v>0</v>
          </cell>
          <cell r="S11">
            <v>0</v>
          </cell>
          <cell r="T11">
            <v>31</v>
          </cell>
          <cell r="U11">
            <v>31</v>
          </cell>
          <cell r="V11">
            <v>0</v>
          </cell>
          <cell r="W11">
            <v>0</v>
          </cell>
          <cell r="X11" t="str">
            <v>ACTIVE</v>
          </cell>
        </row>
        <row r="12">
          <cell r="A12" t="str">
            <v>Telephone Number</v>
          </cell>
          <cell r="B12">
            <v>79010204</v>
          </cell>
          <cell r="F12">
            <v>46266</v>
          </cell>
          <cell r="G12">
            <v>4</v>
          </cell>
          <cell r="H12">
            <v>40</v>
          </cell>
          <cell r="I12">
            <v>18.666666666666668</v>
          </cell>
          <cell r="J12">
            <v>0</v>
          </cell>
          <cell r="K12">
            <v>223.99999999999997</v>
          </cell>
          <cell r="L12">
            <v>20</v>
          </cell>
          <cell r="M12">
            <v>0</v>
          </cell>
          <cell r="N12">
            <v>240</v>
          </cell>
          <cell r="O12">
            <v>-160</v>
          </cell>
          <cell r="P12">
            <v>-1520</v>
          </cell>
          <cell r="Q12">
            <v>0</v>
          </cell>
          <cell r="R12">
            <v>0</v>
          </cell>
          <cell r="S12">
            <v>0</v>
          </cell>
          <cell r="T12">
            <v>30</v>
          </cell>
          <cell r="U12">
            <v>30</v>
          </cell>
          <cell r="V12">
            <v>0</v>
          </cell>
          <cell r="W12">
            <v>0</v>
          </cell>
          <cell r="X12" t="str">
            <v>ACTIVE</v>
          </cell>
        </row>
        <row r="13">
          <cell r="A13" t="str">
            <v>Payee ID CARD No./IT Reg No.</v>
          </cell>
          <cell r="B13" t="str">
            <v>4401H</v>
          </cell>
          <cell r="F13">
            <v>46296</v>
          </cell>
          <cell r="G13">
            <v>4</v>
          </cell>
          <cell r="H13">
            <v>40</v>
          </cell>
          <cell r="I13">
            <v>18.666666666666668</v>
          </cell>
          <cell r="J13">
            <v>0</v>
          </cell>
          <cell r="K13">
            <v>223.99999999999997</v>
          </cell>
          <cell r="L13">
            <v>20</v>
          </cell>
          <cell r="M13">
            <v>0</v>
          </cell>
          <cell r="N13">
            <v>240</v>
          </cell>
          <cell r="O13">
            <v>-200</v>
          </cell>
          <cell r="P13">
            <v>-1720</v>
          </cell>
          <cell r="Q13">
            <v>0</v>
          </cell>
          <cell r="R13">
            <v>0</v>
          </cell>
          <cell r="S13">
            <v>0</v>
          </cell>
          <cell r="T13">
            <v>31</v>
          </cell>
          <cell r="U13">
            <v>31</v>
          </cell>
          <cell r="V13">
            <v>0</v>
          </cell>
          <cell r="W13">
            <v>0</v>
          </cell>
          <cell r="X13" t="str">
            <v>ACTIVE</v>
          </cell>
        </row>
        <row r="14">
          <cell r="A14" t="str">
            <v>Payee Social Security No.</v>
          </cell>
          <cell r="B14">
            <v>36926</v>
          </cell>
          <cell r="F14">
            <v>46327</v>
          </cell>
          <cell r="G14">
            <v>5</v>
          </cell>
          <cell r="H14">
            <v>40</v>
          </cell>
          <cell r="I14">
            <v>18.666666666666668</v>
          </cell>
          <cell r="J14">
            <v>0</v>
          </cell>
          <cell r="K14">
            <v>223.99999999999997</v>
          </cell>
          <cell r="L14">
            <v>20</v>
          </cell>
          <cell r="M14">
            <v>0</v>
          </cell>
          <cell r="N14">
            <v>240</v>
          </cell>
          <cell r="O14">
            <v>-160</v>
          </cell>
          <cell r="P14">
            <v>-1880</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40</v>
          </cell>
          <cell r="I15">
            <v>18.666666666666668</v>
          </cell>
          <cell r="J15">
            <v>0</v>
          </cell>
          <cell r="K15">
            <v>223.99999999999997</v>
          </cell>
          <cell r="L15">
            <v>20</v>
          </cell>
          <cell r="M15">
            <v>0</v>
          </cell>
          <cell r="N15">
            <v>240</v>
          </cell>
          <cell r="O15">
            <v>-160</v>
          </cell>
          <cell r="P15">
            <v>-2040</v>
          </cell>
          <cell r="Q15">
            <v>0</v>
          </cell>
          <cell r="R15">
            <v>0</v>
          </cell>
          <cell r="S15">
            <v>0</v>
          </cell>
          <cell r="T15">
            <v>31</v>
          </cell>
          <cell r="U15">
            <v>31</v>
          </cell>
          <cell r="V15">
            <v>0</v>
          </cell>
          <cell r="W15">
            <v>0</v>
          </cell>
          <cell r="X15" t="str">
            <v>ACTIVE</v>
          </cell>
        </row>
        <row r="16">
          <cell r="A16" t="str">
            <v>IBAN</v>
          </cell>
          <cell r="B16">
            <v>0</v>
          </cell>
          <cell r="F16" t="str">
            <v>TOTALS</v>
          </cell>
          <cell r="G16">
            <v>52</v>
          </cell>
          <cell r="I16">
            <v>223.99999999999997</v>
          </cell>
          <cell r="J16">
            <v>0</v>
          </cell>
          <cell r="K16">
            <v>223.99999999999997</v>
          </cell>
          <cell r="L16">
            <v>240</v>
          </cell>
          <cell r="M16">
            <v>0</v>
          </cell>
          <cell r="N16">
            <v>240</v>
          </cell>
          <cell r="P16">
            <v>-2040</v>
          </cell>
          <cell r="T16">
            <v>365</v>
          </cell>
          <cell r="V16">
            <v>0</v>
          </cell>
        </row>
        <row r="17">
          <cell r="A17" t="str">
            <v>Email</v>
          </cell>
          <cell r="B17" t="str">
            <v>camilleri.ryan01@gmail.com</v>
          </cell>
          <cell r="H17" t="str">
            <v>Balance to Pay/ Carry forward, Input at end of page</v>
          </cell>
          <cell r="K17">
            <v>223.99999999999997</v>
          </cell>
          <cell r="L17" t="str">
            <v>If paying part/ all of these please use table under December entry table</v>
          </cell>
          <cell r="P17">
            <v>-2040</v>
          </cell>
        </row>
        <row r="18">
          <cell r="A18" t="str">
            <v>DOB</v>
          </cell>
          <cell r="B18">
            <v>4</v>
          </cell>
        </row>
        <row r="19">
          <cell r="A19" t="str">
            <v>date of First Employment</v>
          </cell>
          <cell r="B19">
            <v>45880</v>
          </cell>
          <cell r="F19" t="str">
            <v>Camilleri Ryan 4401H</v>
          </cell>
          <cell r="G19" t="str">
            <v>SIN</v>
          </cell>
          <cell r="H19" t="str">
            <v>2. Dental Surgeon</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2. Dental Surgeon</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L21">
            <v>0</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224   OF   224</v>
          </cell>
          <cell r="I26" t="str">
            <v>SL = 100 %</v>
          </cell>
          <cell r="J26" t="str">
            <v>BANKED = 
-200 Hrs</v>
          </cell>
          <cell r="K26" t="str">
            <v>ADJ</v>
          </cell>
          <cell r="L26">
            <v>0</v>
          </cell>
        </row>
        <row r="27">
          <cell r="F27">
            <v>2025008</v>
          </cell>
          <cell r="G27">
            <v>18.666666666666668</v>
          </cell>
          <cell r="H27">
            <v>46023</v>
          </cell>
          <cell r="I27" t="str">
            <v>to</v>
          </cell>
          <cell r="J27">
            <v>46053</v>
          </cell>
          <cell r="K27" t="str">
            <v>Banked This Month</v>
          </cell>
          <cell r="L27">
            <v>-200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Camilleri Ryan 4401H</v>
          </cell>
          <cell r="G29" t="str">
            <v>SIN</v>
          </cell>
          <cell r="H29" t="str">
            <v>2. Dental Surgeon</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224   OF   224</v>
          </cell>
          <cell r="I36" t="str">
            <v>SL = 100 %</v>
          </cell>
          <cell r="J36" t="str">
            <v>BANKED = 
-360 Hrs</v>
          </cell>
          <cell r="K36" t="str">
            <v>ADJ</v>
          </cell>
          <cell r="L36">
            <v>0</v>
          </cell>
        </row>
        <row r="37">
          <cell r="F37">
            <v>2025008</v>
          </cell>
          <cell r="G37">
            <v>18.666666666666668</v>
          </cell>
          <cell r="H37">
            <v>46054</v>
          </cell>
          <cell r="I37" t="str">
            <v>to</v>
          </cell>
          <cell r="J37">
            <v>46081</v>
          </cell>
          <cell r="K37" t="str">
            <v>Banked This Month</v>
          </cell>
          <cell r="L37">
            <v>-160</v>
          </cell>
          <cell r="M37" t="str">
            <v>UNPAID WEEKS</v>
          </cell>
          <cell r="N37">
            <v>0</v>
          </cell>
          <cell r="O37">
            <v>1</v>
          </cell>
          <cell r="P37" t="str">
            <v>Maternity</v>
          </cell>
          <cell r="Q37">
            <v>0</v>
          </cell>
        </row>
        <row r="39">
          <cell r="F39" t="str">
            <v>Camilleri Ryan 4401H</v>
          </cell>
          <cell r="G39" t="str">
            <v>SIN</v>
          </cell>
          <cell r="H39" t="str">
            <v>2. Dental Surgeon</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5">
        <row r="1">
          <cell r="A1" t="str">
            <v>EMP NO&gt;</v>
          </cell>
          <cell r="B1">
            <v>2025009</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DMifsud_Ceci</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40</v>
          </cell>
          <cell r="I4">
            <v>18.666666666666668</v>
          </cell>
          <cell r="J4">
            <v>0</v>
          </cell>
          <cell r="K4">
            <v>223.99999999999997</v>
          </cell>
          <cell r="L4">
            <v>20</v>
          </cell>
          <cell r="M4">
            <v>0</v>
          </cell>
          <cell r="N4">
            <v>240</v>
          </cell>
          <cell r="O4">
            <v>-200</v>
          </cell>
          <cell r="P4">
            <v>-200</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0</v>
          </cell>
          <cell r="K5">
            <v>223.99999999999997</v>
          </cell>
          <cell r="L5">
            <v>20</v>
          </cell>
          <cell r="M5">
            <v>0</v>
          </cell>
          <cell r="N5">
            <v>240</v>
          </cell>
          <cell r="O5">
            <v>-160</v>
          </cell>
          <cell r="P5">
            <v>-360</v>
          </cell>
          <cell r="Q5">
            <v>0</v>
          </cell>
          <cell r="R5">
            <v>0</v>
          </cell>
          <cell r="S5">
            <v>0</v>
          </cell>
          <cell r="T5">
            <v>28</v>
          </cell>
          <cell r="U5">
            <v>28</v>
          </cell>
          <cell r="V5">
            <v>0</v>
          </cell>
          <cell r="W5">
            <v>0</v>
          </cell>
          <cell r="X5" t="str">
            <v>ACTIVE</v>
          </cell>
        </row>
        <row r="6">
          <cell r="A6" t="str">
            <v>Surname</v>
          </cell>
          <cell r="B6" t="str">
            <v>Mifsud_Ceci</v>
          </cell>
          <cell r="F6">
            <v>46082</v>
          </cell>
          <cell r="G6">
            <v>5</v>
          </cell>
          <cell r="H6">
            <v>40</v>
          </cell>
          <cell r="I6">
            <v>18.666666666666668</v>
          </cell>
          <cell r="J6">
            <v>0</v>
          </cell>
          <cell r="K6">
            <v>223.99999999999997</v>
          </cell>
          <cell r="L6">
            <v>20</v>
          </cell>
          <cell r="M6">
            <v>0</v>
          </cell>
          <cell r="N6">
            <v>240</v>
          </cell>
          <cell r="O6">
            <v>-160</v>
          </cell>
          <cell r="P6">
            <v>-520</v>
          </cell>
          <cell r="Q6">
            <v>0</v>
          </cell>
          <cell r="R6">
            <v>0</v>
          </cell>
          <cell r="S6">
            <v>0</v>
          </cell>
          <cell r="T6">
            <v>31</v>
          </cell>
          <cell r="U6">
            <v>31</v>
          </cell>
          <cell r="V6">
            <v>0</v>
          </cell>
          <cell r="W6">
            <v>0</v>
          </cell>
          <cell r="X6" t="str">
            <v>ACTIVE</v>
          </cell>
        </row>
        <row r="7">
          <cell r="A7" t="str">
            <v>Name</v>
          </cell>
          <cell r="B7" t="str">
            <v>Deborah</v>
          </cell>
          <cell r="F7">
            <v>46113</v>
          </cell>
          <cell r="G7">
            <v>4</v>
          </cell>
          <cell r="H7">
            <v>40</v>
          </cell>
          <cell r="I7">
            <v>18.666666666666668</v>
          </cell>
          <cell r="J7">
            <v>0</v>
          </cell>
          <cell r="K7">
            <v>223.99999999999997</v>
          </cell>
          <cell r="L7">
            <v>20</v>
          </cell>
          <cell r="M7">
            <v>0</v>
          </cell>
          <cell r="N7">
            <v>240</v>
          </cell>
          <cell r="O7">
            <v>-160</v>
          </cell>
          <cell r="P7">
            <v>-680</v>
          </cell>
          <cell r="Q7">
            <v>0</v>
          </cell>
          <cell r="R7">
            <v>0</v>
          </cell>
          <cell r="S7">
            <v>0</v>
          </cell>
          <cell r="T7">
            <v>30</v>
          </cell>
          <cell r="U7">
            <v>30</v>
          </cell>
          <cell r="V7">
            <v>0</v>
          </cell>
          <cell r="W7">
            <v>0</v>
          </cell>
          <cell r="X7" t="str">
            <v>ACTIVE</v>
          </cell>
        </row>
        <row r="8">
          <cell r="A8" t="str">
            <v>Address   House No.</v>
          </cell>
          <cell r="B8" t="str">
            <v>26, Desert Orchid</v>
          </cell>
          <cell r="F8">
            <v>46143</v>
          </cell>
          <cell r="G8">
            <v>4</v>
          </cell>
          <cell r="H8">
            <v>40</v>
          </cell>
          <cell r="I8">
            <v>18.666666666666668</v>
          </cell>
          <cell r="J8">
            <v>0</v>
          </cell>
          <cell r="K8">
            <v>223.99999999999997</v>
          </cell>
          <cell r="L8">
            <v>20</v>
          </cell>
          <cell r="M8">
            <v>0</v>
          </cell>
          <cell r="N8">
            <v>240</v>
          </cell>
          <cell r="O8">
            <v>-200</v>
          </cell>
          <cell r="P8">
            <v>-880</v>
          </cell>
          <cell r="Q8">
            <v>0</v>
          </cell>
          <cell r="R8">
            <v>0</v>
          </cell>
          <cell r="S8">
            <v>0</v>
          </cell>
          <cell r="T8">
            <v>31</v>
          </cell>
          <cell r="U8">
            <v>31</v>
          </cell>
          <cell r="V8">
            <v>0</v>
          </cell>
          <cell r="W8">
            <v>0</v>
          </cell>
          <cell r="X8" t="str">
            <v>ACTIVE</v>
          </cell>
        </row>
        <row r="9">
          <cell r="A9" t="str">
            <v>Str</v>
          </cell>
          <cell r="B9" t="str">
            <v>Triq L-inhasa</v>
          </cell>
          <cell r="F9">
            <v>46174</v>
          </cell>
          <cell r="G9">
            <v>5</v>
          </cell>
          <cell r="H9">
            <v>40</v>
          </cell>
          <cell r="I9">
            <v>18.666666666666668</v>
          </cell>
          <cell r="J9">
            <v>0</v>
          </cell>
          <cell r="K9">
            <v>223.99999999999997</v>
          </cell>
          <cell r="L9">
            <v>20</v>
          </cell>
          <cell r="M9">
            <v>0</v>
          </cell>
          <cell r="N9">
            <v>240</v>
          </cell>
          <cell r="O9">
            <v>-160</v>
          </cell>
          <cell r="P9">
            <v>-1040</v>
          </cell>
          <cell r="Q9">
            <v>0</v>
          </cell>
          <cell r="R9">
            <v>0</v>
          </cell>
          <cell r="S9">
            <v>0</v>
          </cell>
          <cell r="T9">
            <v>30</v>
          </cell>
          <cell r="U9">
            <v>30</v>
          </cell>
          <cell r="V9">
            <v>0</v>
          </cell>
          <cell r="W9">
            <v>0</v>
          </cell>
          <cell r="X9" t="str">
            <v>ACTIVE</v>
          </cell>
        </row>
        <row r="10">
          <cell r="A10" t="str">
            <v>Locality</v>
          </cell>
          <cell r="B10" t="str">
            <v>Attard</v>
          </cell>
          <cell r="F10">
            <v>46204</v>
          </cell>
          <cell r="G10">
            <v>4</v>
          </cell>
          <cell r="H10">
            <v>40</v>
          </cell>
          <cell r="I10">
            <v>18.666666666666668</v>
          </cell>
          <cell r="J10">
            <v>0</v>
          </cell>
          <cell r="K10">
            <v>223.99999999999997</v>
          </cell>
          <cell r="L10">
            <v>20</v>
          </cell>
          <cell r="M10">
            <v>0</v>
          </cell>
          <cell r="N10">
            <v>240</v>
          </cell>
          <cell r="O10">
            <v>-160</v>
          </cell>
          <cell r="P10">
            <v>-1200</v>
          </cell>
          <cell r="Q10">
            <v>0</v>
          </cell>
          <cell r="R10">
            <v>0</v>
          </cell>
          <cell r="S10">
            <v>0</v>
          </cell>
          <cell r="T10">
            <v>31</v>
          </cell>
          <cell r="U10">
            <v>31</v>
          </cell>
          <cell r="V10">
            <v>0</v>
          </cell>
          <cell r="W10">
            <v>0</v>
          </cell>
          <cell r="X10" t="str">
            <v>ACTIVE</v>
          </cell>
        </row>
        <row r="11">
          <cell r="A11" t="str">
            <v xml:space="preserve">Postcode </v>
          </cell>
          <cell r="B11" t="str">
            <v>ATD2105</v>
          </cell>
          <cell r="F11">
            <v>46235</v>
          </cell>
          <cell r="G11">
            <v>5</v>
          </cell>
          <cell r="H11">
            <v>40</v>
          </cell>
          <cell r="I11">
            <v>18.666666666666668</v>
          </cell>
          <cell r="J11">
            <v>0</v>
          </cell>
          <cell r="K11">
            <v>223.99999999999997</v>
          </cell>
          <cell r="L11">
            <v>20</v>
          </cell>
          <cell r="M11">
            <v>0</v>
          </cell>
          <cell r="N11">
            <v>240</v>
          </cell>
          <cell r="O11">
            <v>-160</v>
          </cell>
          <cell r="P11">
            <v>-1360</v>
          </cell>
          <cell r="Q11">
            <v>0</v>
          </cell>
          <cell r="R11">
            <v>0</v>
          </cell>
          <cell r="S11">
            <v>0</v>
          </cell>
          <cell r="T11">
            <v>31</v>
          </cell>
          <cell r="U11">
            <v>31</v>
          </cell>
          <cell r="V11">
            <v>0</v>
          </cell>
          <cell r="W11">
            <v>0</v>
          </cell>
          <cell r="X11" t="str">
            <v>ACTIVE</v>
          </cell>
        </row>
        <row r="12">
          <cell r="A12" t="str">
            <v>Telephone Number</v>
          </cell>
          <cell r="B12">
            <v>79414279</v>
          </cell>
          <cell r="F12">
            <v>46266</v>
          </cell>
          <cell r="G12">
            <v>4</v>
          </cell>
          <cell r="H12">
            <v>40</v>
          </cell>
          <cell r="I12">
            <v>18.666666666666668</v>
          </cell>
          <cell r="J12">
            <v>0</v>
          </cell>
          <cell r="K12">
            <v>223.99999999999997</v>
          </cell>
          <cell r="L12">
            <v>20</v>
          </cell>
          <cell r="M12">
            <v>0</v>
          </cell>
          <cell r="N12">
            <v>240</v>
          </cell>
          <cell r="O12">
            <v>-160</v>
          </cell>
          <cell r="P12">
            <v>-1520</v>
          </cell>
          <cell r="Q12">
            <v>0</v>
          </cell>
          <cell r="R12">
            <v>0</v>
          </cell>
          <cell r="S12">
            <v>0</v>
          </cell>
          <cell r="T12">
            <v>30</v>
          </cell>
          <cell r="U12">
            <v>30</v>
          </cell>
          <cell r="V12">
            <v>0</v>
          </cell>
          <cell r="W12">
            <v>0</v>
          </cell>
          <cell r="X12" t="str">
            <v>ACTIVE</v>
          </cell>
        </row>
        <row r="13">
          <cell r="A13" t="str">
            <v>Payee ID CARD No./IT Reg No.</v>
          </cell>
          <cell r="B13" t="str">
            <v>396M</v>
          </cell>
          <cell r="F13">
            <v>46296</v>
          </cell>
          <cell r="G13">
            <v>4</v>
          </cell>
          <cell r="H13">
            <v>40</v>
          </cell>
          <cell r="I13">
            <v>18.666666666666668</v>
          </cell>
          <cell r="J13">
            <v>0</v>
          </cell>
          <cell r="K13">
            <v>223.99999999999997</v>
          </cell>
          <cell r="L13">
            <v>20</v>
          </cell>
          <cell r="M13">
            <v>0</v>
          </cell>
          <cell r="N13">
            <v>240</v>
          </cell>
          <cell r="O13">
            <v>-200</v>
          </cell>
          <cell r="P13">
            <v>-1720</v>
          </cell>
          <cell r="Q13">
            <v>0</v>
          </cell>
          <cell r="R13">
            <v>0</v>
          </cell>
          <cell r="S13">
            <v>0</v>
          </cell>
          <cell r="T13">
            <v>31</v>
          </cell>
          <cell r="U13">
            <v>31</v>
          </cell>
          <cell r="V13">
            <v>0</v>
          </cell>
          <cell r="W13">
            <v>0</v>
          </cell>
          <cell r="X13" t="str">
            <v>ACTIVE</v>
          </cell>
        </row>
        <row r="14">
          <cell r="A14" t="str">
            <v>Payee Social Security No.</v>
          </cell>
          <cell r="B14">
            <v>0</v>
          </cell>
          <cell r="F14">
            <v>46327</v>
          </cell>
          <cell r="G14">
            <v>5</v>
          </cell>
          <cell r="H14">
            <v>40</v>
          </cell>
          <cell r="I14">
            <v>18.666666666666668</v>
          </cell>
          <cell r="J14">
            <v>0</v>
          </cell>
          <cell r="K14">
            <v>223.99999999999997</v>
          </cell>
          <cell r="L14">
            <v>20</v>
          </cell>
          <cell r="M14">
            <v>0</v>
          </cell>
          <cell r="N14">
            <v>240</v>
          </cell>
          <cell r="O14">
            <v>-160</v>
          </cell>
          <cell r="P14">
            <v>-1880</v>
          </cell>
          <cell r="Q14">
            <v>0</v>
          </cell>
          <cell r="R14">
            <v>0</v>
          </cell>
          <cell r="S14">
            <v>0</v>
          </cell>
          <cell r="T14">
            <v>30</v>
          </cell>
          <cell r="U14">
            <v>30</v>
          </cell>
          <cell r="V14">
            <v>0</v>
          </cell>
          <cell r="W14">
            <v>0</v>
          </cell>
          <cell r="X14" t="str">
            <v>ACTIVE</v>
          </cell>
        </row>
        <row r="15">
          <cell r="A15" t="str">
            <v>Spouse's ID Card/IT Reg no.</v>
          </cell>
          <cell r="B15" t="str">
            <v>383190M</v>
          </cell>
          <cell r="F15">
            <v>46357</v>
          </cell>
          <cell r="G15">
            <v>4</v>
          </cell>
          <cell r="H15">
            <v>40</v>
          </cell>
          <cell r="I15">
            <v>18.666666666666668</v>
          </cell>
          <cell r="J15">
            <v>0</v>
          </cell>
          <cell r="K15">
            <v>223.99999999999997</v>
          </cell>
          <cell r="L15">
            <v>20</v>
          </cell>
          <cell r="M15">
            <v>0</v>
          </cell>
          <cell r="N15">
            <v>240</v>
          </cell>
          <cell r="O15">
            <v>-160</v>
          </cell>
          <cell r="P15">
            <v>-2040</v>
          </cell>
          <cell r="Q15">
            <v>0</v>
          </cell>
          <cell r="R15">
            <v>0</v>
          </cell>
          <cell r="S15">
            <v>0</v>
          </cell>
          <cell r="T15">
            <v>31</v>
          </cell>
          <cell r="U15">
            <v>31</v>
          </cell>
          <cell r="V15">
            <v>0</v>
          </cell>
          <cell r="W15">
            <v>0</v>
          </cell>
          <cell r="X15" t="str">
            <v>ACTIVE</v>
          </cell>
        </row>
        <row r="16">
          <cell r="A16" t="str">
            <v>IBAN</v>
          </cell>
          <cell r="B16" t="str">
            <v>MT17MMEB44587000000058206087001</v>
          </cell>
          <cell r="F16" t="str">
            <v>TOTALS</v>
          </cell>
          <cell r="G16">
            <v>52</v>
          </cell>
          <cell r="I16">
            <v>223.99999999999997</v>
          </cell>
          <cell r="J16">
            <v>0</v>
          </cell>
          <cell r="K16">
            <v>223.99999999999997</v>
          </cell>
          <cell r="L16">
            <v>240</v>
          </cell>
          <cell r="M16">
            <v>0</v>
          </cell>
          <cell r="N16">
            <v>240</v>
          </cell>
          <cell r="P16">
            <v>-2040</v>
          </cell>
          <cell r="T16">
            <v>365</v>
          </cell>
          <cell r="V16">
            <v>0</v>
          </cell>
        </row>
        <row r="17">
          <cell r="A17" t="str">
            <v>Email</v>
          </cell>
          <cell r="B17" t="str">
            <v>deborahmifsud@mediatrixmalta.com</v>
          </cell>
          <cell r="H17" t="str">
            <v>Balance to Pay/ Carry forward, Input at end of page</v>
          </cell>
          <cell r="K17">
            <v>223.99999999999997</v>
          </cell>
          <cell r="L17" t="str">
            <v>If paying part/ all of these please use table under December entry table</v>
          </cell>
          <cell r="P17">
            <v>-2040</v>
          </cell>
        </row>
        <row r="18">
          <cell r="A18" t="str">
            <v>DOB</v>
          </cell>
          <cell r="B18">
            <v>35055</v>
          </cell>
        </row>
        <row r="19">
          <cell r="A19" t="str">
            <v>date of First Employment</v>
          </cell>
          <cell r="B19">
            <v>45931</v>
          </cell>
          <cell r="F19" t="str">
            <v>Mifsud_Ceci Deborah 396M</v>
          </cell>
          <cell r="G19" t="str">
            <v>SIN</v>
          </cell>
          <cell r="H19" t="str">
            <v>2. Dental Surgeon</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2. Dental Surgeon</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L21">
            <v>0</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224   OF   224</v>
          </cell>
          <cell r="I26" t="str">
            <v>SL = 100 %</v>
          </cell>
          <cell r="J26" t="str">
            <v>BANKED = 
-200 Hrs</v>
          </cell>
          <cell r="K26" t="str">
            <v>ADJ</v>
          </cell>
          <cell r="L26">
            <v>0</v>
          </cell>
        </row>
        <row r="27">
          <cell r="F27">
            <v>2025009</v>
          </cell>
          <cell r="G27">
            <v>18.666666666666668</v>
          </cell>
          <cell r="H27">
            <v>46023</v>
          </cell>
          <cell r="I27" t="str">
            <v>to</v>
          </cell>
          <cell r="J27">
            <v>46053</v>
          </cell>
          <cell r="K27" t="str">
            <v>Banked This Month</v>
          </cell>
          <cell r="L27">
            <v>-200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Mifsud_Ceci Deborah 396M</v>
          </cell>
          <cell r="G29" t="str">
            <v>SIN</v>
          </cell>
          <cell r="H29" t="str">
            <v>2. Dental Surgeon</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224   OF   224</v>
          </cell>
          <cell r="I36" t="str">
            <v>SL = 100 %</v>
          </cell>
          <cell r="J36" t="str">
            <v>BANKED = 
-360 Hrs</v>
          </cell>
          <cell r="K36" t="str">
            <v>ADJ</v>
          </cell>
          <cell r="L36">
            <v>0</v>
          </cell>
        </row>
        <row r="37">
          <cell r="F37">
            <v>2025009</v>
          </cell>
          <cell r="G37">
            <v>18.666666666666668</v>
          </cell>
          <cell r="H37">
            <v>46054</v>
          </cell>
          <cell r="I37" t="str">
            <v>to</v>
          </cell>
          <cell r="J37">
            <v>46081</v>
          </cell>
          <cell r="K37" t="str">
            <v>Banked This Month</v>
          </cell>
          <cell r="L37">
            <v>-160</v>
          </cell>
          <cell r="M37" t="str">
            <v>UNPAID WEEKS</v>
          </cell>
          <cell r="N37">
            <v>0</v>
          </cell>
          <cell r="O37">
            <v>1</v>
          </cell>
          <cell r="P37" t="str">
            <v>Maternity</v>
          </cell>
          <cell r="Q37">
            <v>0</v>
          </cell>
        </row>
        <row r="39">
          <cell r="F39" t="str">
            <v>Mifsud_Ceci Deborah 396M</v>
          </cell>
          <cell r="G39" t="str">
            <v>SIN</v>
          </cell>
          <cell r="H39" t="str">
            <v>2. Dental Surgeon</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6">
        <row r="1">
          <cell r="A1" t="str">
            <v>EMP NO&gt;</v>
          </cell>
          <cell r="B1">
            <v>2018004</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LBonnici</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24.5</v>
          </cell>
          <cell r="T3">
            <v>92</v>
          </cell>
        </row>
        <row r="4">
          <cell r="A4" t="str">
            <v>Period</v>
          </cell>
          <cell r="B4" t="str">
            <v>From</v>
          </cell>
          <cell r="C4" t="str">
            <v>To</v>
          </cell>
          <cell r="F4">
            <v>46023</v>
          </cell>
          <cell r="G4">
            <v>4</v>
          </cell>
          <cell r="H4">
            <v>40</v>
          </cell>
          <cell r="I4">
            <v>18.666666666666668</v>
          </cell>
          <cell r="J4">
            <v>45</v>
          </cell>
          <cell r="K4">
            <v>178.99999999999997</v>
          </cell>
          <cell r="L4">
            <v>20</v>
          </cell>
          <cell r="M4">
            <v>0</v>
          </cell>
          <cell r="N4">
            <v>240</v>
          </cell>
          <cell r="O4">
            <v>0.24000000000000909</v>
          </cell>
          <cell r="P4">
            <v>24.740000000000009</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14</v>
          </cell>
          <cell r="K5">
            <v>164.99999999999997</v>
          </cell>
          <cell r="L5">
            <v>20</v>
          </cell>
          <cell r="M5">
            <v>0</v>
          </cell>
          <cell r="N5">
            <v>240</v>
          </cell>
          <cell r="O5">
            <v>0.80000000000001137</v>
          </cell>
          <cell r="P5">
            <v>25.54000000000002</v>
          </cell>
          <cell r="Q5">
            <v>0</v>
          </cell>
          <cell r="R5">
            <v>0</v>
          </cell>
          <cell r="S5">
            <v>0</v>
          </cell>
          <cell r="T5">
            <v>28</v>
          </cell>
          <cell r="U5">
            <v>28</v>
          </cell>
          <cell r="V5">
            <v>0</v>
          </cell>
          <cell r="W5">
            <v>0</v>
          </cell>
          <cell r="X5" t="str">
            <v>ACTIVE</v>
          </cell>
        </row>
        <row r="6">
          <cell r="A6" t="str">
            <v>Surname</v>
          </cell>
          <cell r="B6" t="str">
            <v>Bonnici</v>
          </cell>
          <cell r="F6">
            <v>46082</v>
          </cell>
          <cell r="G6">
            <v>5</v>
          </cell>
          <cell r="H6">
            <v>40</v>
          </cell>
          <cell r="I6">
            <v>18.666666666666668</v>
          </cell>
          <cell r="J6">
            <v>0</v>
          </cell>
          <cell r="K6">
            <v>164.99999999999997</v>
          </cell>
          <cell r="L6">
            <v>20</v>
          </cell>
          <cell r="M6">
            <v>0</v>
          </cell>
          <cell r="N6">
            <v>240</v>
          </cell>
          <cell r="O6">
            <v>-160</v>
          </cell>
          <cell r="P6">
            <v>-134.45999999999998</v>
          </cell>
          <cell r="Q6">
            <v>0</v>
          </cell>
          <cell r="R6">
            <v>0</v>
          </cell>
          <cell r="S6">
            <v>0</v>
          </cell>
          <cell r="T6">
            <v>31</v>
          </cell>
          <cell r="U6">
            <v>31</v>
          </cell>
          <cell r="V6">
            <v>0</v>
          </cell>
          <cell r="W6">
            <v>0</v>
          </cell>
          <cell r="X6" t="str">
            <v>ACTIVE</v>
          </cell>
        </row>
        <row r="7">
          <cell r="A7" t="str">
            <v>Name</v>
          </cell>
          <cell r="B7" t="str">
            <v>Louana</v>
          </cell>
          <cell r="F7">
            <v>46113</v>
          </cell>
          <cell r="G7">
            <v>4</v>
          </cell>
          <cell r="H7">
            <v>40</v>
          </cell>
          <cell r="I7">
            <v>18.666666666666668</v>
          </cell>
          <cell r="J7">
            <v>0</v>
          </cell>
          <cell r="K7">
            <v>164.99999999999997</v>
          </cell>
          <cell r="L7">
            <v>20</v>
          </cell>
          <cell r="M7">
            <v>0</v>
          </cell>
          <cell r="N7">
            <v>240</v>
          </cell>
          <cell r="O7">
            <v>-160</v>
          </cell>
          <cell r="P7">
            <v>-294.45999999999998</v>
          </cell>
          <cell r="Q7">
            <v>0</v>
          </cell>
          <cell r="R7">
            <v>0</v>
          </cell>
          <cell r="S7">
            <v>0</v>
          </cell>
          <cell r="T7">
            <v>30</v>
          </cell>
          <cell r="U7">
            <v>30</v>
          </cell>
          <cell r="V7">
            <v>0</v>
          </cell>
          <cell r="W7">
            <v>0</v>
          </cell>
          <cell r="X7" t="str">
            <v>ACTIVE</v>
          </cell>
        </row>
        <row r="8">
          <cell r="A8" t="str">
            <v>Address   House No.</v>
          </cell>
          <cell r="B8">
            <v>45</v>
          </cell>
          <cell r="F8">
            <v>46143</v>
          </cell>
          <cell r="G8">
            <v>4</v>
          </cell>
          <cell r="H8">
            <v>40</v>
          </cell>
          <cell r="I8">
            <v>18.666666666666668</v>
          </cell>
          <cell r="J8">
            <v>0</v>
          </cell>
          <cell r="K8">
            <v>164.99999999999997</v>
          </cell>
          <cell r="L8">
            <v>20</v>
          </cell>
          <cell r="M8">
            <v>0</v>
          </cell>
          <cell r="N8">
            <v>240</v>
          </cell>
          <cell r="O8">
            <v>-200</v>
          </cell>
          <cell r="P8">
            <v>-494.46</v>
          </cell>
          <cell r="Q8">
            <v>0</v>
          </cell>
          <cell r="R8">
            <v>0</v>
          </cell>
          <cell r="S8">
            <v>0</v>
          </cell>
          <cell r="T8">
            <v>31</v>
          </cell>
          <cell r="U8">
            <v>31</v>
          </cell>
          <cell r="V8">
            <v>0</v>
          </cell>
          <cell r="W8">
            <v>0</v>
          </cell>
          <cell r="X8" t="str">
            <v>ACTIVE</v>
          </cell>
        </row>
        <row r="9">
          <cell r="A9" t="str">
            <v>Str</v>
          </cell>
          <cell r="B9" t="str">
            <v>Sqaq Lajri</v>
          </cell>
          <cell r="F9">
            <v>46174</v>
          </cell>
          <cell r="G9">
            <v>5</v>
          </cell>
          <cell r="H9">
            <v>40</v>
          </cell>
          <cell r="I9">
            <v>18.666666666666668</v>
          </cell>
          <cell r="J9">
            <v>0</v>
          </cell>
          <cell r="K9">
            <v>164.99999999999997</v>
          </cell>
          <cell r="L9">
            <v>20</v>
          </cell>
          <cell r="M9">
            <v>0</v>
          </cell>
          <cell r="N9">
            <v>240</v>
          </cell>
          <cell r="O9">
            <v>-160</v>
          </cell>
          <cell r="P9">
            <v>-654.46</v>
          </cell>
          <cell r="Q9">
            <v>0</v>
          </cell>
          <cell r="R9">
            <v>0</v>
          </cell>
          <cell r="S9">
            <v>0</v>
          </cell>
          <cell r="T9">
            <v>30</v>
          </cell>
          <cell r="U9">
            <v>30</v>
          </cell>
          <cell r="V9">
            <v>0</v>
          </cell>
          <cell r="W9">
            <v>0</v>
          </cell>
          <cell r="X9" t="str">
            <v>ACTIVE</v>
          </cell>
        </row>
        <row r="10">
          <cell r="A10" t="str">
            <v>Locality</v>
          </cell>
          <cell r="B10" t="str">
            <v>Zabbar</v>
          </cell>
          <cell r="F10">
            <v>46204</v>
          </cell>
          <cell r="G10">
            <v>4</v>
          </cell>
          <cell r="H10">
            <v>40</v>
          </cell>
          <cell r="I10">
            <v>18.666666666666668</v>
          </cell>
          <cell r="J10">
            <v>0</v>
          </cell>
          <cell r="K10">
            <v>164.99999999999997</v>
          </cell>
          <cell r="L10">
            <v>20</v>
          </cell>
          <cell r="M10">
            <v>0</v>
          </cell>
          <cell r="N10">
            <v>240</v>
          </cell>
          <cell r="O10">
            <v>-160</v>
          </cell>
          <cell r="P10">
            <v>-814.46</v>
          </cell>
          <cell r="Q10">
            <v>0</v>
          </cell>
          <cell r="R10">
            <v>0</v>
          </cell>
          <cell r="S10">
            <v>0</v>
          </cell>
          <cell r="T10">
            <v>31</v>
          </cell>
          <cell r="U10">
            <v>31</v>
          </cell>
          <cell r="V10">
            <v>0</v>
          </cell>
          <cell r="W10">
            <v>0</v>
          </cell>
          <cell r="X10" t="str">
            <v>ACTIVE</v>
          </cell>
        </row>
        <row r="11">
          <cell r="A11" t="str">
            <v xml:space="preserve">Postcode </v>
          </cell>
          <cell r="B11">
            <v>0</v>
          </cell>
          <cell r="F11">
            <v>46235</v>
          </cell>
          <cell r="G11">
            <v>5</v>
          </cell>
          <cell r="H11">
            <v>40</v>
          </cell>
          <cell r="I11">
            <v>18.666666666666668</v>
          </cell>
          <cell r="J11">
            <v>0</v>
          </cell>
          <cell r="K11">
            <v>164.99999999999997</v>
          </cell>
          <cell r="L11">
            <v>20</v>
          </cell>
          <cell r="M11">
            <v>0</v>
          </cell>
          <cell r="N11">
            <v>240</v>
          </cell>
          <cell r="O11">
            <v>-160</v>
          </cell>
          <cell r="P11">
            <v>-974.46</v>
          </cell>
          <cell r="Q11">
            <v>0</v>
          </cell>
          <cell r="R11">
            <v>0</v>
          </cell>
          <cell r="S11">
            <v>0</v>
          </cell>
          <cell r="T11">
            <v>31</v>
          </cell>
          <cell r="U11">
            <v>31</v>
          </cell>
          <cell r="V11">
            <v>0</v>
          </cell>
          <cell r="W11">
            <v>0</v>
          </cell>
          <cell r="X11" t="str">
            <v>ACTIVE</v>
          </cell>
        </row>
        <row r="12">
          <cell r="A12" t="str">
            <v>Telephone Number</v>
          </cell>
          <cell r="B12">
            <v>99550271</v>
          </cell>
          <cell r="F12">
            <v>46266</v>
          </cell>
          <cell r="G12">
            <v>4</v>
          </cell>
          <cell r="H12">
            <v>40</v>
          </cell>
          <cell r="I12">
            <v>18.666666666666668</v>
          </cell>
          <cell r="J12">
            <v>0</v>
          </cell>
          <cell r="K12">
            <v>164.99999999999997</v>
          </cell>
          <cell r="L12">
            <v>20</v>
          </cell>
          <cell r="M12">
            <v>0</v>
          </cell>
          <cell r="N12">
            <v>240</v>
          </cell>
          <cell r="O12">
            <v>-160</v>
          </cell>
          <cell r="P12">
            <v>-1134.46</v>
          </cell>
          <cell r="Q12">
            <v>0</v>
          </cell>
          <cell r="R12">
            <v>0</v>
          </cell>
          <cell r="S12">
            <v>0</v>
          </cell>
          <cell r="T12">
            <v>30</v>
          </cell>
          <cell r="U12">
            <v>30</v>
          </cell>
          <cell r="V12">
            <v>0</v>
          </cell>
          <cell r="W12">
            <v>0</v>
          </cell>
          <cell r="X12" t="str">
            <v>ACTIVE</v>
          </cell>
        </row>
        <row r="13">
          <cell r="A13" t="str">
            <v>Payee ID CARD No./IT Reg No.</v>
          </cell>
          <cell r="B13" t="str">
            <v>182694M</v>
          </cell>
          <cell r="F13">
            <v>46296</v>
          </cell>
          <cell r="G13">
            <v>4</v>
          </cell>
          <cell r="H13">
            <v>40</v>
          </cell>
          <cell r="I13">
            <v>18.666666666666668</v>
          </cell>
          <cell r="J13">
            <v>0</v>
          </cell>
          <cell r="K13">
            <v>164.99999999999997</v>
          </cell>
          <cell r="L13">
            <v>20</v>
          </cell>
          <cell r="M13">
            <v>0</v>
          </cell>
          <cell r="N13">
            <v>240</v>
          </cell>
          <cell r="O13">
            <v>-200</v>
          </cell>
          <cell r="P13">
            <v>-1334.46</v>
          </cell>
          <cell r="Q13">
            <v>0</v>
          </cell>
          <cell r="R13">
            <v>0</v>
          </cell>
          <cell r="S13">
            <v>0</v>
          </cell>
          <cell r="T13">
            <v>31</v>
          </cell>
          <cell r="U13">
            <v>31</v>
          </cell>
          <cell r="V13">
            <v>0</v>
          </cell>
          <cell r="W13">
            <v>0</v>
          </cell>
          <cell r="X13" t="str">
            <v>ACTIVE</v>
          </cell>
        </row>
        <row r="14">
          <cell r="A14" t="str">
            <v>Payee Social Security No.</v>
          </cell>
          <cell r="B14" t="str">
            <v>C48636387</v>
          </cell>
          <cell r="F14">
            <v>46327</v>
          </cell>
          <cell r="G14">
            <v>5</v>
          </cell>
          <cell r="H14">
            <v>40</v>
          </cell>
          <cell r="I14">
            <v>18.666666666666668</v>
          </cell>
          <cell r="J14">
            <v>0</v>
          </cell>
          <cell r="K14">
            <v>164.99999999999997</v>
          </cell>
          <cell r="L14">
            <v>20</v>
          </cell>
          <cell r="M14">
            <v>0</v>
          </cell>
          <cell r="N14">
            <v>240</v>
          </cell>
          <cell r="O14">
            <v>-160</v>
          </cell>
          <cell r="P14">
            <v>-1494.46</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40</v>
          </cell>
          <cell r="I15">
            <v>18.666666666666668</v>
          </cell>
          <cell r="J15">
            <v>0</v>
          </cell>
          <cell r="K15">
            <v>164.99999999999997</v>
          </cell>
          <cell r="L15">
            <v>20</v>
          </cell>
          <cell r="M15">
            <v>0</v>
          </cell>
          <cell r="N15">
            <v>240</v>
          </cell>
          <cell r="O15">
            <v>-160</v>
          </cell>
          <cell r="P15">
            <v>-1654.46</v>
          </cell>
          <cell r="Q15">
            <v>0</v>
          </cell>
          <cell r="R15">
            <v>0</v>
          </cell>
          <cell r="S15">
            <v>0</v>
          </cell>
          <cell r="T15">
            <v>31</v>
          </cell>
          <cell r="U15">
            <v>31</v>
          </cell>
          <cell r="V15">
            <v>0</v>
          </cell>
          <cell r="W15">
            <v>0</v>
          </cell>
          <cell r="X15" t="str">
            <v>ACTIVE</v>
          </cell>
        </row>
        <row r="16">
          <cell r="A16" t="str">
            <v>IBAN</v>
          </cell>
          <cell r="B16">
            <v>0</v>
          </cell>
          <cell r="F16" t="str">
            <v>TOTALS</v>
          </cell>
          <cell r="G16">
            <v>52</v>
          </cell>
          <cell r="I16">
            <v>223.99999999999997</v>
          </cell>
          <cell r="J16">
            <v>59</v>
          </cell>
          <cell r="K16">
            <v>164.99999999999997</v>
          </cell>
          <cell r="L16">
            <v>240</v>
          </cell>
          <cell r="M16">
            <v>0</v>
          </cell>
          <cell r="N16">
            <v>240</v>
          </cell>
          <cell r="P16">
            <v>-1654.46</v>
          </cell>
          <cell r="T16">
            <v>365</v>
          </cell>
          <cell r="V16">
            <v>0</v>
          </cell>
        </row>
        <row r="17">
          <cell r="A17" t="str">
            <v>Email</v>
          </cell>
          <cell r="B17" t="str">
            <v>luana_bonnici@hotmail.com</v>
          </cell>
          <cell r="H17" t="str">
            <v>Balance to Pay/ Carry forward, Input at end of page</v>
          </cell>
          <cell r="K17">
            <v>164.99999999999997</v>
          </cell>
          <cell r="L17" t="str">
            <v>If paying part/ all of these please use table under December entry table</v>
          </cell>
          <cell r="P17">
            <v>-1654.46</v>
          </cell>
        </row>
        <row r="18">
          <cell r="A18" t="str">
            <v>DOB</v>
          </cell>
          <cell r="B18">
            <v>34446</v>
          </cell>
        </row>
        <row r="19">
          <cell r="A19" t="str">
            <v>date of First Employment</v>
          </cell>
          <cell r="B19">
            <v>42260</v>
          </cell>
          <cell r="F19" t="str">
            <v>Bonnici Louana 182694M</v>
          </cell>
          <cell r="G19" t="str">
            <v>PAR2</v>
          </cell>
          <cell r="H19" t="str">
            <v>4. CLINICAL Manager</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4. CLINICAL Manager</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G21">
            <v>8</v>
          </cell>
          <cell r="H21">
            <v>27.25</v>
          </cell>
          <cell r="I21">
            <v>38.840000000000003</v>
          </cell>
          <cell r="J21">
            <v>30.17</v>
          </cell>
          <cell r="K21">
            <v>50.98</v>
          </cell>
          <cell r="L21">
            <v>155.24</v>
          </cell>
          <cell r="O21" t="str">
            <v>to</v>
          </cell>
          <cell r="R21" t="str">
            <v xml:space="preserve">Mondays </v>
          </cell>
        </row>
        <row r="22">
          <cell r="A22" t="str">
            <v>FS4 Status</v>
          </cell>
          <cell r="B22" t="str">
            <v>PAR2</v>
          </cell>
          <cell r="F22" t="str">
            <v>Overtime Hrs</v>
          </cell>
          <cell r="L22">
            <v>0</v>
          </cell>
          <cell r="O22" t="str">
            <v>to</v>
          </cell>
          <cell r="R22">
            <v>4</v>
          </cell>
          <cell r="V22" t="str">
            <v>TOT</v>
          </cell>
          <cell r="W22">
            <v>0</v>
          </cell>
        </row>
        <row r="23">
          <cell r="A23" t="str">
            <v>Hours agreed at start contract</v>
          </cell>
          <cell r="B23">
            <v>40</v>
          </cell>
          <cell r="F23" t="str">
            <v>VL</v>
          </cell>
          <cell r="G23">
            <v>32</v>
          </cell>
          <cell r="H23">
            <v>13</v>
          </cell>
          <cell r="L23">
            <v>45</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179   OF   224</v>
          </cell>
          <cell r="I26" t="str">
            <v>SL = 100 %</v>
          </cell>
          <cell r="J26" t="str">
            <v>BANKED = 
24.74 Hrs</v>
          </cell>
          <cell r="K26" t="str">
            <v>ADJ</v>
          </cell>
          <cell r="L26">
            <v>0</v>
          </cell>
        </row>
        <row r="27">
          <cell r="F27">
            <v>2018004</v>
          </cell>
          <cell r="G27">
            <v>18.666666666666668</v>
          </cell>
          <cell r="H27">
            <v>46023</v>
          </cell>
          <cell r="I27" t="str">
            <v>to</v>
          </cell>
          <cell r="J27">
            <v>46053</v>
          </cell>
          <cell r="K27" t="str">
            <v>Banked This Month</v>
          </cell>
          <cell r="L27">
            <v>0.24000000000000909</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Bonnici Louana 182694M</v>
          </cell>
          <cell r="G29" t="str">
            <v>PAR2</v>
          </cell>
          <cell r="H29" t="str">
            <v>4. CLINICAL Manager</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G31">
            <v>38.56</v>
          </cell>
          <cell r="H31">
            <v>45.72</v>
          </cell>
          <cell r="I31">
            <v>18.45</v>
          </cell>
          <cell r="J31">
            <v>44.07</v>
          </cell>
          <cell r="L31">
            <v>146.80000000000001</v>
          </cell>
          <cell r="O31" t="str">
            <v>to</v>
          </cell>
          <cell r="R31" t="str">
            <v xml:space="preserve">Mondays </v>
          </cell>
        </row>
        <row r="32">
          <cell r="F32" t="str">
            <v>Overtime Hrs</v>
          </cell>
          <cell r="L32">
            <v>0</v>
          </cell>
          <cell r="O32" t="str">
            <v>to</v>
          </cell>
          <cell r="R32">
            <v>4</v>
          </cell>
          <cell r="V32" t="str">
            <v>TOT</v>
          </cell>
          <cell r="W32">
            <v>0</v>
          </cell>
        </row>
        <row r="33">
          <cell r="F33" t="str">
            <v>VL</v>
          </cell>
          <cell r="I33">
            <v>14</v>
          </cell>
          <cell r="L33">
            <v>14</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165   OF   224</v>
          </cell>
          <cell r="I36" t="str">
            <v>SL = 100 %</v>
          </cell>
          <cell r="J36" t="str">
            <v>BANKED = 
25.54 Hrs</v>
          </cell>
          <cell r="K36" t="str">
            <v>ADJ</v>
          </cell>
          <cell r="L36">
            <v>0</v>
          </cell>
        </row>
        <row r="37">
          <cell r="F37">
            <v>2018004</v>
          </cell>
          <cell r="G37">
            <v>18.666666666666668</v>
          </cell>
          <cell r="H37">
            <v>46054</v>
          </cell>
          <cell r="I37" t="str">
            <v>to</v>
          </cell>
          <cell r="J37">
            <v>46081</v>
          </cell>
          <cell r="K37" t="str">
            <v>Banked This Month</v>
          </cell>
          <cell r="L37">
            <v>0.80000000000001137</v>
          </cell>
          <cell r="M37" t="str">
            <v>UNPAID WEEKS</v>
          </cell>
          <cell r="N37">
            <v>0</v>
          </cell>
          <cell r="O37">
            <v>1</v>
          </cell>
          <cell r="P37" t="str">
            <v>Maternity</v>
          </cell>
          <cell r="Q37">
            <v>0</v>
          </cell>
        </row>
        <row r="39">
          <cell r="F39" t="str">
            <v>Bonnici Louana 182694M</v>
          </cell>
          <cell r="G39" t="str">
            <v>PAR2</v>
          </cell>
          <cell r="H39" t="str">
            <v>4. CLINICAL Manager</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7">
        <row r="1">
          <cell r="A1" t="str">
            <v>EMP NO&gt;</v>
          </cell>
          <cell r="B1">
            <v>2020005</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MCamilleri</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224</v>
          </cell>
          <cell r="P3">
            <v>0</v>
          </cell>
          <cell r="T3">
            <v>92</v>
          </cell>
        </row>
        <row r="4">
          <cell r="A4" t="str">
            <v>Period</v>
          </cell>
          <cell r="B4" t="str">
            <v>From</v>
          </cell>
          <cell r="C4" t="str">
            <v>To</v>
          </cell>
          <cell r="F4">
            <v>46023</v>
          </cell>
          <cell r="G4">
            <v>4</v>
          </cell>
          <cell r="H4">
            <v>40</v>
          </cell>
          <cell r="I4">
            <v>18.666666666666668</v>
          </cell>
          <cell r="J4">
            <v>0</v>
          </cell>
          <cell r="K4">
            <v>270.36559139784947</v>
          </cell>
          <cell r="L4">
            <v>20</v>
          </cell>
          <cell r="M4">
            <v>0</v>
          </cell>
          <cell r="N4">
            <v>49.677419354838712</v>
          </cell>
          <cell r="O4">
            <v>-200</v>
          </cell>
          <cell r="P4">
            <v>-200</v>
          </cell>
          <cell r="Q4">
            <v>0</v>
          </cell>
          <cell r="R4">
            <v>0</v>
          </cell>
          <cell r="S4">
            <v>0</v>
          </cell>
          <cell r="T4">
            <v>31</v>
          </cell>
          <cell r="U4">
            <v>31</v>
          </cell>
          <cell r="V4">
            <v>0</v>
          </cell>
          <cell r="W4">
            <v>0</v>
          </cell>
          <cell r="X4" t="str">
            <v>ACTIVE</v>
          </cell>
        </row>
        <row r="5">
          <cell r="B5">
            <v>46023</v>
          </cell>
          <cell r="C5">
            <v>46096</v>
          </cell>
          <cell r="F5">
            <v>46054</v>
          </cell>
          <cell r="G5">
            <v>4</v>
          </cell>
          <cell r="H5">
            <v>40</v>
          </cell>
          <cell r="I5">
            <v>18.666666666666668</v>
          </cell>
          <cell r="J5">
            <v>0</v>
          </cell>
          <cell r="K5">
            <v>270.36559139784947</v>
          </cell>
          <cell r="L5">
            <v>20</v>
          </cell>
          <cell r="M5">
            <v>0</v>
          </cell>
          <cell r="N5">
            <v>49.677419354838712</v>
          </cell>
          <cell r="O5">
            <v>-160</v>
          </cell>
          <cell r="P5">
            <v>-360</v>
          </cell>
          <cell r="Q5">
            <v>0</v>
          </cell>
          <cell r="R5">
            <v>0</v>
          </cell>
          <cell r="S5">
            <v>0</v>
          </cell>
          <cell r="T5">
            <v>28</v>
          </cell>
          <cell r="U5">
            <v>28</v>
          </cell>
          <cell r="V5">
            <v>0</v>
          </cell>
          <cell r="W5">
            <v>0</v>
          </cell>
          <cell r="X5" t="str">
            <v>ACTIVE</v>
          </cell>
        </row>
        <row r="6">
          <cell r="A6" t="str">
            <v>Surname</v>
          </cell>
          <cell r="B6" t="str">
            <v>Camilleri</v>
          </cell>
          <cell r="F6">
            <v>46082</v>
          </cell>
          <cell r="G6">
            <v>2</v>
          </cell>
          <cell r="H6">
            <v>40</v>
          </cell>
          <cell r="I6">
            <v>9.0322580645161299</v>
          </cell>
          <cell r="J6">
            <v>0</v>
          </cell>
          <cell r="K6">
            <v>270.36559139784947</v>
          </cell>
          <cell r="L6">
            <v>9.67741935483871</v>
          </cell>
          <cell r="M6">
            <v>0</v>
          </cell>
          <cell r="N6">
            <v>49.677419354838712</v>
          </cell>
          <cell r="O6">
            <v>-80</v>
          </cell>
          <cell r="P6">
            <v>-440</v>
          </cell>
          <cell r="Q6">
            <v>0</v>
          </cell>
          <cell r="R6">
            <v>0</v>
          </cell>
          <cell r="S6">
            <v>0</v>
          </cell>
          <cell r="T6">
            <v>15</v>
          </cell>
          <cell r="U6">
            <v>31</v>
          </cell>
          <cell r="V6">
            <v>0</v>
          </cell>
          <cell r="W6">
            <v>0</v>
          </cell>
          <cell r="X6" t="str">
            <v>ACTIVE</v>
          </cell>
        </row>
        <row r="7">
          <cell r="A7" t="str">
            <v>Name</v>
          </cell>
          <cell r="B7" t="str">
            <v>Michaela</v>
          </cell>
          <cell r="F7">
            <v>46113</v>
          </cell>
          <cell r="G7">
            <v>0</v>
          </cell>
          <cell r="H7">
            <v>0</v>
          </cell>
          <cell r="I7">
            <v>0</v>
          </cell>
          <cell r="J7">
            <v>0</v>
          </cell>
          <cell r="K7">
            <v>270.36559139784947</v>
          </cell>
          <cell r="L7">
            <v>0</v>
          </cell>
          <cell r="M7">
            <v>0</v>
          </cell>
          <cell r="N7">
            <v>49.677419354838712</v>
          </cell>
          <cell r="O7">
            <v>0</v>
          </cell>
          <cell r="P7">
            <v>-440</v>
          </cell>
          <cell r="Q7">
            <v>0</v>
          </cell>
          <cell r="R7">
            <v>0</v>
          </cell>
          <cell r="S7">
            <v>0</v>
          </cell>
          <cell r="T7">
            <v>0</v>
          </cell>
          <cell r="U7">
            <v>30</v>
          </cell>
          <cell r="V7">
            <v>0</v>
          </cell>
          <cell r="W7">
            <v>0</v>
          </cell>
          <cell r="X7" t="str">
            <v>INACTIVE</v>
          </cell>
        </row>
        <row r="8">
          <cell r="A8" t="str">
            <v>Address   House No.</v>
          </cell>
          <cell r="B8" t="str">
            <v xml:space="preserve">6, </v>
          </cell>
          <cell r="F8">
            <v>46143</v>
          </cell>
          <cell r="G8">
            <v>0</v>
          </cell>
          <cell r="H8">
            <v>0</v>
          </cell>
          <cell r="I8">
            <v>0</v>
          </cell>
          <cell r="J8">
            <v>0</v>
          </cell>
          <cell r="K8">
            <v>270.36559139784947</v>
          </cell>
          <cell r="L8">
            <v>0</v>
          </cell>
          <cell r="M8">
            <v>0</v>
          </cell>
          <cell r="N8">
            <v>49.677419354838712</v>
          </cell>
          <cell r="O8">
            <v>0</v>
          </cell>
          <cell r="P8">
            <v>-440</v>
          </cell>
          <cell r="Q8">
            <v>0</v>
          </cell>
          <cell r="R8">
            <v>0</v>
          </cell>
          <cell r="S8">
            <v>0</v>
          </cell>
          <cell r="T8">
            <v>0</v>
          </cell>
          <cell r="U8">
            <v>31</v>
          </cell>
          <cell r="V8">
            <v>0</v>
          </cell>
          <cell r="W8">
            <v>0</v>
          </cell>
          <cell r="X8" t="str">
            <v>INACTIVE</v>
          </cell>
        </row>
        <row r="9">
          <cell r="A9" t="str">
            <v>Str</v>
          </cell>
          <cell r="B9" t="str">
            <v>Triq il-Hagar</v>
          </cell>
          <cell r="F9">
            <v>46174</v>
          </cell>
          <cell r="G9">
            <v>0</v>
          </cell>
          <cell r="H9">
            <v>0</v>
          </cell>
          <cell r="I9">
            <v>0</v>
          </cell>
          <cell r="J9">
            <v>0</v>
          </cell>
          <cell r="K9">
            <v>270.36559139784947</v>
          </cell>
          <cell r="L9">
            <v>0</v>
          </cell>
          <cell r="M9">
            <v>0</v>
          </cell>
          <cell r="N9">
            <v>49.677419354838712</v>
          </cell>
          <cell r="O9">
            <v>0</v>
          </cell>
          <cell r="P9">
            <v>-440</v>
          </cell>
          <cell r="Q9">
            <v>0</v>
          </cell>
          <cell r="R9">
            <v>0</v>
          </cell>
          <cell r="S9">
            <v>0</v>
          </cell>
          <cell r="T9">
            <v>0</v>
          </cell>
          <cell r="U9">
            <v>30</v>
          </cell>
          <cell r="V9">
            <v>0</v>
          </cell>
          <cell r="W9">
            <v>0</v>
          </cell>
          <cell r="X9" t="str">
            <v>INACTIVE</v>
          </cell>
        </row>
        <row r="10">
          <cell r="A10" t="str">
            <v>Locality</v>
          </cell>
          <cell r="B10" t="str">
            <v>Tarxien</v>
          </cell>
          <cell r="F10">
            <v>46204</v>
          </cell>
          <cell r="G10">
            <v>0</v>
          </cell>
          <cell r="H10">
            <v>0</v>
          </cell>
          <cell r="I10">
            <v>0</v>
          </cell>
          <cell r="J10">
            <v>0</v>
          </cell>
          <cell r="K10">
            <v>270.36559139784947</v>
          </cell>
          <cell r="L10">
            <v>0</v>
          </cell>
          <cell r="M10">
            <v>0</v>
          </cell>
          <cell r="N10">
            <v>49.677419354838712</v>
          </cell>
          <cell r="O10">
            <v>0</v>
          </cell>
          <cell r="P10">
            <v>-440</v>
          </cell>
          <cell r="Q10">
            <v>0</v>
          </cell>
          <cell r="R10">
            <v>0</v>
          </cell>
          <cell r="S10">
            <v>0</v>
          </cell>
          <cell r="T10">
            <v>0</v>
          </cell>
          <cell r="U10">
            <v>31</v>
          </cell>
          <cell r="V10">
            <v>0</v>
          </cell>
          <cell r="W10">
            <v>0</v>
          </cell>
          <cell r="X10" t="str">
            <v>INACTIVE</v>
          </cell>
        </row>
        <row r="11">
          <cell r="A11" t="str">
            <v xml:space="preserve">Postcode </v>
          </cell>
          <cell r="B11" t="str">
            <v>TXN1232</v>
          </cell>
          <cell r="F11">
            <v>46235</v>
          </cell>
          <cell r="G11">
            <v>0</v>
          </cell>
          <cell r="H11">
            <v>0</v>
          </cell>
          <cell r="I11">
            <v>0</v>
          </cell>
          <cell r="J11">
            <v>0</v>
          </cell>
          <cell r="K11">
            <v>270.36559139784947</v>
          </cell>
          <cell r="L11">
            <v>0</v>
          </cell>
          <cell r="M11">
            <v>0</v>
          </cell>
          <cell r="N11">
            <v>49.677419354838712</v>
          </cell>
          <cell r="O11">
            <v>40</v>
          </cell>
          <cell r="P11">
            <v>-400</v>
          </cell>
          <cell r="Q11">
            <v>0</v>
          </cell>
          <cell r="R11">
            <v>0</v>
          </cell>
          <cell r="S11">
            <v>0</v>
          </cell>
          <cell r="T11">
            <v>0</v>
          </cell>
          <cell r="U11">
            <v>31</v>
          </cell>
          <cell r="V11">
            <v>0</v>
          </cell>
          <cell r="W11">
            <v>0</v>
          </cell>
          <cell r="X11" t="str">
            <v>INACTIVE</v>
          </cell>
        </row>
        <row r="12">
          <cell r="A12" t="str">
            <v>Telephone Number</v>
          </cell>
          <cell r="B12">
            <v>79697405</v>
          </cell>
          <cell r="F12">
            <v>46266</v>
          </cell>
          <cell r="G12">
            <v>0</v>
          </cell>
          <cell r="H12">
            <v>0</v>
          </cell>
          <cell r="I12">
            <v>0</v>
          </cell>
          <cell r="J12">
            <v>0</v>
          </cell>
          <cell r="K12">
            <v>270.36559139784947</v>
          </cell>
          <cell r="L12">
            <v>0</v>
          </cell>
          <cell r="M12">
            <v>0</v>
          </cell>
          <cell r="N12">
            <v>49.677419354838712</v>
          </cell>
          <cell r="O12">
            <v>0</v>
          </cell>
          <cell r="P12">
            <v>-400</v>
          </cell>
          <cell r="Q12">
            <v>0</v>
          </cell>
          <cell r="R12">
            <v>0</v>
          </cell>
          <cell r="S12">
            <v>0</v>
          </cell>
          <cell r="T12">
            <v>0</v>
          </cell>
          <cell r="U12">
            <v>30</v>
          </cell>
          <cell r="V12">
            <v>0</v>
          </cell>
          <cell r="W12">
            <v>0</v>
          </cell>
          <cell r="X12" t="str">
            <v>INACTIVE</v>
          </cell>
        </row>
        <row r="13">
          <cell r="A13" t="str">
            <v>Payee ID CARD No./IT Reg No.</v>
          </cell>
          <cell r="B13" t="str">
            <v>333097M</v>
          </cell>
          <cell r="F13">
            <v>46296</v>
          </cell>
          <cell r="G13">
            <v>0</v>
          </cell>
          <cell r="H13">
            <v>0</v>
          </cell>
          <cell r="I13">
            <v>0</v>
          </cell>
          <cell r="J13">
            <v>0</v>
          </cell>
          <cell r="K13">
            <v>270.36559139784947</v>
          </cell>
          <cell r="L13">
            <v>0</v>
          </cell>
          <cell r="M13">
            <v>0</v>
          </cell>
          <cell r="N13">
            <v>49.677419354838712</v>
          </cell>
          <cell r="O13">
            <v>0</v>
          </cell>
          <cell r="P13">
            <v>-400</v>
          </cell>
          <cell r="Q13">
            <v>0</v>
          </cell>
          <cell r="R13">
            <v>0</v>
          </cell>
          <cell r="S13">
            <v>0</v>
          </cell>
          <cell r="T13">
            <v>0</v>
          </cell>
          <cell r="U13">
            <v>31</v>
          </cell>
          <cell r="V13">
            <v>0</v>
          </cell>
          <cell r="W13">
            <v>0</v>
          </cell>
          <cell r="X13" t="str">
            <v>INACTIVE</v>
          </cell>
        </row>
        <row r="14">
          <cell r="A14" t="str">
            <v>Payee Social Security No.</v>
          </cell>
          <cell r="B14" t="str">
            <v>A51087352</v>
          </cell>
          <cell r="F14">
            <v>46327</v>
          </cell>
          <cell r="G14">
            <v>0</v>
          </cell>
          <cell r="H14">
            <v>0</v>
          </cell>
          <cell r="I14">
            <v>0</v>
          </cell>
          <cell r="J14">
            <v>0</v>
          </cell>
          <cell r="K14">
            <v>270.36559139784947</v>
          </cell>
          <cell r="L14">
            <v>0</v>
          </cell>
          <cell r="M14">
            <v>0</v>
          </cell>
          <cell r="N14">
            <v>49.677419354838712</v>
          </cell>
          <cell r="O14">
            <v>0</v>
          </cell>
          <cell r="P14">
            <v>-400</v>
          </cell>
          <cell r="Q14">
            <v>0</v>
          </cell>
          <cell r="R14">
            <v>0</v>
          </cell>
          <cell r="S14">
            <v>0</v>
          </cell>
          <cell r="T14">
            <v>0</v>
          </cell>
          <cell r="U14">
            <v>30</v>
          </cell>
          <cell r="V14">
            <v>0</v>
          </cell>
          <cell r="W14">
            <v>0</v>
          </cell>
          <cell r="X14" t="str">
            <v>INACTIVE</v>
          </cell>
        </row>
        <row r="15">
          <cell r="A15" t="str">
            <v>Spouse's ID Card/IT Reg no.</v>
          </cell>
          <cell r="B15">
            <v>0</v>
          </cell>
          <cell r="F15">
            <v>46357</v>
          </cell>
          <cell r="G15">
            <v>0</v>
          </cell>
          <cell r="H15">
            <v>0</v>
          </cell>
          <cell r="I15">
            <v>0</v>
          </cell>
          <cell r="J15">
            <v>0</v>
          </cell>
          <cell r="K15">
            <v>270.36559139784947</v>
          </cell>
          <cell r="L15">
            <v>0</v>
          </cell>
          <cell r="M15">
            <v>0</v>
          </cell>
          <cell r="N15">
            <v>49.677419354838712</v>
          </cell>
          <cell r="O15">
            <v>0</v>
          </cell>
          <cell r="P15">
            <v>-400</v>
          </cell>
          <cell r="Q15">
            <v>0</v>
          </cell>
          <cell r="R15">
            <v>0</v>
          </cell>
          <cell r="S15">
            <v>0</v>
          </cell>
          <cell r="T15">
            <v>0</v>
          </cell>
          <cell r="U15">
            <v>31</v>
          </cell>
          <cell r="V15">
            <v>0</v>
          </cell>
          <cell r="W15">
            <v>0</v>
          </cell>
          <cell r="X15" t="str">
            <v>INACTIVE</v>
          </cell>
        </row>
        <row r="16">
          <cell r="A16" t="str">
            <v>IBAN</v>
          </cell>
          <cell r="B16" t="str">
            <v>MT71VALL22013000000040021666399</v>
          </cell>
          <cell r="F16" t="str">
            <v>TOTALS</v>
          </cell>
          <cell r="G16">
            <v>10</v>
          </cell>
          <cell r="I16">
            <v>46.365591397849464</v>
          </cell>
          <cell r="J16">
            <v>0</v>
          </cell>
          <cell r="K16">
            <v>270.36559139784947</v>
          </cell>
          <cell r="L16">
            <v>49.677419354838712</v>
          </cell>
          <cell r="M16">
            <v>0</v>
          </cell>
          <cell r="N16">
            <v>49.677419354838712</v>
          </cell>
          <cell r="P16">
            <v>-400</v>
          </cell>
          <cell r="T16">
            <v>74</v>
          </cell>
          <cell r="V16">
            <v>0</v>
          </cell>
        </row>
        <row r="17">
          <cell r="A17" t="str">
            <v>Email</v>
          </cell>
          <cell r="B17" t="str">
            <v>michaela.camilleri@gmail.com</v>
          </cell>
          <cell r="H17" t="str">
            <v>Balance to Pay/ Carry forward, Input at end of page</v>
          </cell>
          <cell r="K17">
            <v>270.36559139784947</v>
          </cell>
          <cell r="L17" t="str">
            <v>If paying part/ all of these please use table under December entry table</v>
          </cell>
          <cell r="P17">
            <v>-400</v>
          </cell>
        </row>
        <row r="18">
          <cell r="A18" t="str">
            <v>DOB</v>
          </cell>
          <cell r="B18">
            <v>35669</v>
          </cell>
        </row>
        <row r="19">
          <cell r="A19" t="str">
            <v>date of First Employment</v>
          </cell>
          <cell r="B19">
            <v>44046</v>
          </cell>
          <cell r="F19" t="str">
            <v>Camilleri Michaela 333097M</v>
          </cell>
          <cell r="G19" t="str">
            <v>SIN</v>
          </cell>
          <cell r="H19" t="str">
            <v>3. OFFICE Manager</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3. OFFICE Manager</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L21">
            <v>0</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L23">
            <v>0</v>
          </cell>
          <cell r="R23" t="str">
            <v>SATURDAYS</v>
          </cell>
        </row>
        <row r="24">
          <cell r="A24" t="str">
            <v xml:space="preserve">TERM date This </v>
          </cell>
          <cell r="B24">
            <v>46096</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270   OF   270</v>
          </cell>
          <cell r="I26" t="str">
            <v>SL = 100 %</v>
          </cell>
          <cell r="J26" t="str">
            <v>BANKED = 
-200 Hrs</v>
          </cell>
          <cell r="K26" t="str">
            <v>ADJ</v>
          </cell>
          <cell r="L26">
            <v>0</v>
          </cell>
        </row>
        <row r="27">
          <cell r="F27">
            <v>2020005</v>
          </cell>
          <cell r="G27">
            <v>18.666666666666668</v>
          </cell>
          <cell r="H27">
            <v>46023</v>
          </cell>
          <cell r="I27" t="str">
            <v>to</v>
          </cell>
          <cell r="J27">
            <v>46053</v>
          </cell>
          <cell r="K27" t="str">
            <v>Banked This Month</v>
          </cell>
          <cell r="L27">
            <v>-200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Camilleri Michaela 333097M</v>
          </cell>
          <cell r="G29" t="str">
            <v>SIN</v>
          </cell>
          <cell r="H29" t="str">
            <v>3. OFFICE Manager</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270   OF   270</v>
          </cell>
          <cell r="I36" t="str">
            <v>SL = 100 %</v>
          </cell>
          <cell r="J36" t="str">
            <v>BANKED = 
-360 Hrs</v>
          </cell>
          <cell r="K36" t="str">
            <v>ADJ</v>
          </cell>
          <cell r="L36">
            <v>0</v>
          </cell>
        </row>
        <row r="37">
          <cell r="F37">
            <v>2020005</v>
          </cell>
          <cell r="G37">
            <v>18.666666666666668</v>
          </cell>
          <cell r="H37">
            <v>46054</v>
          </cell>
          <cell r="I37" t="str">
            <v>to</v>
          </cell>
          <cell r="J37">
            <v>46081</v>
          </cell>
          <cell r="K37" t="str">
            <v>Banked This Month</v>
          </cell>
          <cell r="L37">
            <v>-160</v>
          </cell>
          <cell r="M37" t="str">
            <v>UNPAID WEEKS</v>
          </cell>
          <cell r="N37">
            <v>0</v>
          </cell>
          <cell r="O37">
            <v>1</v>
          </cell>
          <cell r="P37" t="str">
            <v>Maternity</v>
          </cell>
          <cell r="Q37">
            <v>0</v>
          </cell>
        </row>
        <row r="39">
          <cell r="F39" t="str">
            <v>Camilleri Michaela 333097M</v>
          </cell>
          <cell r="G39" t="str">
            <v>SIN</v>
          </cell>
          <cell r="H39" t="str">
            <v>3. OFFICE Manager</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8">
        <row r="1">
          <cell r="A1" t="str">
            <v>EMP NO&gt;</v>
          </cell>
          <cell r="B1">
            <v>2021009</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RAttard</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15</v>
          </cell>
          <cell r="P3">
            <v>0</v>
          </cell>
          <cell r="T3">
            <v>92</v>
          </cell>
        </row>
        <row r="4">
          <cell r="A4" t="str">
            <v>Period</v>
          </cell>
          <cell r="B4" t="str">
            <v>From</v>
          </cell>
          <cell r="C4" t="str">
            <v>To</v>
          </cell>
          <cell r="F4">
            <v>46023</v>
          </cell>
          <cell r="G4">
            <v>4</v>
          </cell>
          <cell r="H4">
            <v>40</v>
          </cell>
          <cell r="I4">
            <v>18.666666666666668</v>
          </cell>
          <cell r="J4">
            <v>49.85</v>
          </cell>
          <cell r="K4">
            <v>189.14999999999998</v>
          </cell>
          <cell r="L4">
            <v>20</v>
          </cell>
          <cell r="M4">
            <v>0</v>
          </cell>
          <cell r="N4">
            <v>240</v>
          </cell>
          <cell r="O4">
            <v>7.1054273576010019E-15</v>
          </cell>
          <cell r="P4">
            <v>7.1054273576010019E-15</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11</v>
          </cell>
          <cell r="K5">
            <v>178.14999999999998</v>
          </cell>
          <cell r="L5">
            <v>20</v>
          </cell>
          <cell r="M5">
            <v>0</v>
          </cell>
          <cell r="N5">
            <v>240</v>
          </cell>
          <cell r="O5">
            <v>6.0000000000002274E-2</v>
          </cell>
          <cell r="P5">
            <v>6.0000000000009379E-2</v>
          </cell>
          <cell r="Q5">
            <v>0</v>
          </cell>
          <cell r="R5">
            <v>0</v>
          </cell>
          <cell r="S5">
            <v>0</v>
          </cell>
          <cell r="T5">
            <v>28</v>
          </cell>
          <cell r="U5">
            <v>28</v>
          </cell>
          <cell r="V5">
            <v>0</v>
          </cell>
          <cell r="W5">
            <v>0</v>
          </cell>
          <cell r="X5" t="str">
            <v>ACTIVE</v>
          </cell>
        </row>
        <row r="6">
          <cell r="A6" t="str">
            <v>Surname</v>
          </cell>
          <cell r="B6" t="str">
            <v>Attard</v>
          </cell>
          <cell r="F6">
            <v>46082</v>
          </cell>
          <cell r="G6">
            <v>5</v>
          </cell>
          <cell r="H6">
            <v>40</v>
          </cell>
          <cell r="I6">
            <v>18.666666666666668</v>
          </cell>
          <cell r="J6">
            <v>0</v>
          </cell>
          <cell r="K6">
            <v>178.14999999999998</v>
          </cell>
          <cell r="L6">
            <v>20</v>
          </cell>
          <cell r="M6">
            <v>0</v>
          </cell>
          <cell r="N6">
            <v>240</v>
          </cell>
          <cell r="O6">
            <v>-160</v>
          </cell>
          <cell r="P6">
            <v>-159.94</v>
          </cell>
          <cell r="Q6">
            <v>0</v>
          </cell>
          <cell r="R6">
            <v>0</v>
          </cell>
          <cell r="S6">
            <v>0</v>
          </cell>
          <cell r="T6">
            <v>31</v>
          </cell>
          <cell r="U6">
            <v>31</v>
          </cell>
          <cell r="V6">
            <v>0</v>
          </cell>
          <cell r="W6">
            <v>0</v>
          </cell>
          <cell r="X6" t="str">
            <v>ACTIVE</v>
          </cell>
        </row>
        <row r="7">
          <cell r="A7" t="str">
            <v>Name</v>
          </cell>
          <cell r="B7" t="str">
            <v>Raisa</v>
          </cell>
          <cell r="F7">
            <v>46113</v>
          </cell>
          <cell r="G7">
            <v>4</v>
          </cell>
          <cell r="H7">
            <v>40</v>
          </cell>
          <cell r="I7">
            <v>18.666666666666668</v>
          </cell>
          <cell r="J7">
            <v>0</v>
          </cell>
          <cell r="K7">
            <v>178.14999999999998</v>
          </cell>
          <cell r="L7">
            <v>20</v>
          </cell>
          <cell r="M7">
            <v>0</v>
          </cell>
          <cell r="N7">
            <v>240</v>
          </cell>
          <cell r="O7">
            <v>-160</v>
          </cell>
          <cell r="P7">
            <v>-319.94</v>
          </cell>
          <cell r="Q7">
            <v>0</v>
          </cell>
          <cell r="R7">
            <v>0</v>
          </cell>
          <cell r="S7">
            <v>0</v>
          </cell>
          <cell r="T7">
            <v>30</v>
          </cell>
          <cell r="U7">
            <v>30</v>
          </cell>
          <cell r="V7">
            <v>0</v>
          </cell>
          <cell r="W7">
            <v>0</v>
          </cell>
          <cell r="X7" t="str">
            <v>ACTIVE</v>
          </cell>
        </row>
        <row r="8">
          <cell r="A8" t="str">
            <v>Address   House No.</v>
          </cell>
          <cell r="B8" t="str">
            <v>16 Anfield</v>
          </cell>
          <cell r="F8">
            <v>46143</v>
          </cell>
          <cell r="G8">
            <v>4</v>
          </cell>
          <cell r="H8">
            <v>40</v>
          </cell>
          <cell r="I8">
            <v>18.666666666666668</v>
          </cell>
          <cell r="J8">
            <v>0</v>
          </cell>
          <cell r="K8">
            <v>178.14999999999998</v>
          </cell>
          <cell r="L8">
            <v>20</v>
          </cell>
          <cell r="M8">
            <v>0</v>
          </cell>
          <cell r="N8">
            <v>240</v>
          </cell>
          <cell r="O8">
            <v>-200</v>
          </cell>
          <cell r="P8">
            <v>-519.94000000000005</v>
          </cell>
          <cell r="Q8">
            <v>0</v>
          </cell>
          <cell r="R8">
            <v>0</v>
          </cell>
          <cell r="S8">
            <v>0</v>
          </cell>
          <cell r="T8">
            <v>31</v>
          </cell>
          <cell r="U8">
            <v>31</v>
          </cell>
          <cell r="V8">
            <v>0</v>
          </cell>
          <cell r="W8">
            <v>0</v>
          </cell>
          <cell r="X8" t="str">
            <v>ACTIVE</v>
          </cell>
        </row>
        <row r="9">
          <cell r="A9" t="str">
            <v>Str</v>
          </cell>
          <cell r="B9" t="str">
            <v xml:space="preserve"> Triq il-Qronfol</v>
          </cell>
          <cell r="F9">
            <v>46174</v>
          </cell>
          <cell r="G9">
            <v>5</v>
          </cell>
          <cell r="H9">
            <v>40</v>
          </cell>
          <cell r="I9">
            <v>18.666666666666668</v>
          </cell>
          <cell r="J9">
            <v>0</v>
          </cell>
          <cell r="K9">
            <v>178.14999999999998</v>
          </cell>
          <cell r="L9">
            <v>20</v>
          </cell>
          <cell r="M9">
            <v>0</v>
          </cell>
          <cell r="N9">
            <v>240</v>
          </cell>
          <cell r="O9">
            <v>-160</v>
          </cell>
          <cell r="P9">
            <v>-679.94</v>
          </cell>
          <cell r="Q9">
            <v>0</v>
          </cell>
          <cell r="R9">
            <v>0</v>
          </cell>
          <cell r="S9">
            <v>0</v>
          </cell>
          <cell r="T9">
            <v>30</v>
          </cell>
          <cell r="U9">
            <v>30</v>
          </cell>
          <cell r="V9">
            <v>0</v>
          </cell>
          <cell r="W9">
            <v>0</v>
          </cell>
          <cell r="X9" t="str">
            <v>ACTIVE</v>
          </cell>
        </row>
        <row r="10">
          <cell r="A10" t="str">
            <v>Locality</v>
          </cell>
          <cell r="B10" t="str">
            <v>Fgura</v>
          </cell>
          <cell r="F10">
            <v>46204</v>
          </cell>
          <cell r="G10">
            <v>4</v>
          </cell>
          <cell r="H10">
            <v>40</v>
          </cell>
          <cell r="I10">
            <v>18.666666666666668</v>
          </cell>
          <cell r="J10">
            <v>0</v>
          </cell>
          <cell r="K10">
            <v>178.14999999999998</v>
          </cell>
          <cell r="L10">
            <v>20</v>
          </cell>
          <cell r="M10">
            <v>0</v>
          </cell>
          <cell r="N10">
            <v>240</v>
          </cell>
          <cell r="O10">
            <v>-160</v>
          </cell>
          <cell r="P10">
            <v>-839.94</v>
          </cell>
          <cell r="Q10">
            <v>0</v>
          </cell>
          <cell r="R10">
            <v>0</v>
          </cell>
          <cell r="S10">
            <v>0</v>
          </cell>
          <cell r="T10">
            <v>31</v>
          </cell>
          <cell r="U10">
            <v>31</v>
          </cell>
          <cell r="V10">
            <v>0</v>
          </cell>
          <cell r="W10">
            <v>0</v>
          </cell>
          <cell r="X10" t="str">
            <v>ACTIVE</v>
          </cell>
        </row>
        <row r="11">
          <cell r="A11" t="str">
            <v xml:space="preserve">Postcode </v>
          </cell>
          <cell r="B11" t="str">
            <v>FGR1101</v>
          </cell>
          <cell r="F11">
            <v>46235</v>
          </cell>
          <cell r="G11">
            <v>5</v>
          </cell>
          <cell r="H11">
            <v>40</v>
          </cell>
          <cell r="I11">
            <v>18.666666666666668</v>
          </cell>
          <cell r="J11">
            <v>0</v>
          </cell>
          <cell r="K11">
            <v>178.14999999999998</v>
          </cell>
          <cell r="L11">
            <v>20</v>
          </cell>
          <cell r="M11">
            <v>0</v>
          </cell>
          <cell r="N11">
            <v>240</v>
          </cell>
          <cell r="O11">
            <v>-200</v>
          </cell>
          <cell r="P11">
            <v>-1039.94</v>
          </cell>
          <cell r="Q11">
            <v>0</v>
          </cell>
          <cell r="R11">
            <v>0</v>
          </cell>
          <cell r="S11">
            <v>0</v>
          </cell>
          <cell r="T11">
            <v>31</v>
          </cell>
          <cell r="U11">
            <v>31</v>
          </cell>
          <cell r="V11">
            <v>0</v>
          </cell>
          <cell r="W11">
            <v>0</v>
          </cell>
          <cell r="X11" t="str">
            <v>ACTIVE</v>
          </cell>
        </row>
        <row r="12">
          <cell r="A12" t="str">
            <v>Telephone Number</v>
          </cell>
          <cell r="B12">
            <v>99834966</v>
          </cell>
          <cell r="F12">
            <v>46266</v>
          </cell>
          <cell r="G12">
            <v>4</v>
          </cell>
          <cell r="H12">
            <v>40</v>
          </cell>
          <cell r="I12">
            <v>18.666666666666668</v>
          </cell>
          <cell r="J12">
            <v>0</v>
          </cell>
          <cell r="K12">
            <v>178.14999999999998</v>
          </cell>
          <cell r="L12">
            <v>20</v>
          </cell>
          <cell r="M12">
            <v>0</v>
          </cell>
          <cell r="N12">
            <v>240</v>
          </cell>
          <cell r="O12">
            <v>-160</v>
          </cell>
          <cell r="P12">
            <v>-1199.94</v>
          </cell>
          <cell r="Q12">
            <v>0</v>
          </cell>
          <cell r="R12">
            <v>0</v>
          </cell>
          <cell r="S12">
            <v>0</v>
          </cell>
          <cell r="T12">
            <v>30</v>
          </cell>
          <cell r="U12">
            <v>30</v>
          </cell>
          <cell r="V12">
            <v>0</v>
          </cell>
          <cell r="W12">
            <v>0</v>
          </cell>
          <cell r="X12" t="str">
            <v>ACTIVE</v>
          </cell>
        </row>
        <row r="13">
          <cell r="A13" t="str">
            <v>Payee ID CARD No./IT Reg No.</v>
          </cell>
          <cell r="B13" t="str">
            <v>562091M</v>
          </cell>
          <cell r="F13">
            <v>46296</v>
          </cell>
          <cell r="G13">
            <v>4</v>
          </cell>
          <cell r="H13">
            <v>40</v>
          </cell>
          <cell r="I13">
            <v>18.666666666666668</v>
          </cell>
          <cell r="J13">
            <v>0</v>
          </cell>
          <cell r="K13">
            <v>178.14999999999998</v>
          </cell>
          <cell r="L13">
            <v>20</v>
          </cell>
          <cell r="M13">
            <v>0</v>
          </cell>
          <cell r="N13">
            <v>240</v>
          </cell>
          <cell r="O13">
            <v>-200</v>
          </cell>
          <cell r="P13">
            <v>-1399.94</v>
          </cell>
          <cell r="Q13">
            <v>0</v>
          </cell>
          <cell r="R13">
            <v>0</v>
          </cell>
          <cell r="S13">
            <v>0</v>
          </cell>
          <cell r="T13">
            <v>31</v>
          </cell>
          <cell r="U13">
            <v>31</v>
          </cell>
          <cell r="V13">
            <v>0</v>
          </cell>
          <cell r="W13">
            <v>0</v>
          </cell>
          <cell r="X13" t="str">
            <v>ACTIVE</v>
          </cell>
        </row>
        <row r="14">
          <cell r="A14" t="str">
            <v>Payee Social Security No.</v>
          </cell>
          <cell r="B14" t="str">
            <v>B43779068</v>
          </cell>
          <cell r="F14">
            <v>46327</v>
          </cell>
          <cell r="G14">
            <v>5</v>
          </cell>
          <cell r="H14">
            <v>40</v>
          </cell>
          <cell r="I14">
            <v>18.666666666666668</v>
          </cell>
          <cell r="J14">
            <v>0</v>
          </cell>
          <cell r="K14">
            <v>178.14999999999998</v>
          </cell>
          <cell r="L14">
            <v>20</v>
          </cell>
          <cell r="M14">
            <v>0</v>
          </cell>
          <cell r="N14">
            <v>240</v>
          </cell>
          <cell r="O14">
            <v>-160</v>
          </cell>
          <cell r="P14">
            <v>-1559.94</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40</v>
          </cell>
          <cell r="I15">
            <v>18.666666666666668</v>
          </cell>
          <cell r="J15">
            <v>0</v>
          </cell>
          <cell r="K15">
            <v>178.14999999999998</v>
          </cell>
          <cell r="L15">
            <v>20</v>
          </cell>
          <cell r="M15">
            <v>0</v>
          </cell>
          <cell r="N15">
            <v>240</v>
          </cell>
          <cell r="O15">
            <v>-160</v>
          </cell>
          <cell r="P15">
            <v>-1719.94</v>
          </cell>
          <cell r="Q15">
            <v>0</v>
          </cell>
          <cell r="R15">
            <v>0</v>
          </cell>
          <cell r="S15">
            <v>0</v>
          </cell>
          <cell r="T15">
            <v>31</v>
          </cell>
          <cell r="U15">
            <v>31</v>
          </cell>
          <cell r="V15">
            <v>0</v>
          </cell>
          <cell r="W15">
            <v>0</v>
          </cell>
          <cell r="X15" t="str">
            <v>ACTIVE</v>
          </cell>
        </row>
        <row r="16">
          <cell r="A16" t="str">
            <v>IBAN</v>
          </cell>
          <cell r="B16" t="str">
            <v>MT33APSB77013000000044505220011</v>
          </cell>
          <cell r="F16" t="str">
            <v>TOTALS</v>
          </cell>
          <cell r="G16">
            <v>52</v>
          </cell>
          <cell r="I16">
            <v>223.99999999999997</v>
          </cell>
          <cell r="J16">
            <v>60.85</v>
          </cell>
          <cell r="K16">
            <v>178.14999999999998</v>
          </cell>
          <cell r="L16">
            <v>240</v>
          </cell>
          <cell r="M16">
            <v>0</v>
          </cell>
          <cell r="N16">
            <v>240</v>
          </cell>
          <cell r="P16">
            <v>-1719.94</v>
          </cell>
          <cell r="T16">
            <v>365</v>
          </cell>
          <cell r="V16">
            <v>0</v>
          </cell>
        </row>
        <row r="17">
          <cell r="A17" t="str">
            <v>Email</v>
          </cell>
          <cell r="B17" t="str">
            <v>charsenraisa@gmail.com</v>
          </cell>
          <cell r="H17" t="str">
            <v>Balance to Pay/ Carry forward, Input at end of page</v>
          </cell>
          <cell r="K17">
            <v>178.14999999999998</v>
          </cell>
          <cell r="L17" t="str">
            <v>If paying part/ all of these please use table under December entry table</v>
          </cell>
          <cell r="P17">
            <v>-1719.94</v>
          </cell>
        </row>
        <row r="18">
          <cell r="A18" t="str">
            <v>DOB</v>
          </cell>
          <cell r="B18">
            <v>33550</v>
          </cell>
        </row>
        <row r="19">
          <cell r="A19" t="str">
            <v>date of First Employment</v>
          </cell>
          <cell r="B19">
            <v>44480</v>
          </cell>
          <cell r="F19" t="str">
            <v>Attard Raisa 562091M</v>
          </cell>
          <cell r="G19" t="str">
            <v>PAR2</v>
          </cell>
          <cell r="H19" t="str">
            <v>9. Receptionist</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9. Receptionist</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G21">
            <v>8</v>
          </cell>
          <cell r="H21">
            <v>39.68</v>
          </cell>
          <cell r="I21">
            <v>38.950000000000003</v>
          </cell>
          <cell r="J21">
            <v>22.12</v>
          </cell>
          <cell r="K21">
            <v>41.4</v>
          </cell>
          <cell r="L21">
            <v>150.15</v>
          </cell>
          <cell r="O21" t="str">
            <v>to</v>
          </cell>
          <cell r="R21" t="str">
            <v xml:space="preserve">Mondays </v>
          </cell>
        </row>
        <row r="22">
          <cell r="A22" t="str">
            <v>FS4 Status</v>
          </cell>
          <cell r="B22" t="str">
            <v>PAR2</v>
          </cell>
          <cell r="F22" t="str">
            <v>Overtime Hrs</v>
          </cell>
          <cell r="L22">
            <v>0</v>
          </cell>
          <cell r="O22" t="str">
            <v>to</v>
          </cell>
          <cell r="R22">
            <v>4</v>
          </cell>
          <cell r="V22" t="str">
            <v>TOT</v>
          </cell>
          <cell r="W22">
            <v>0</v>
          </cell>
        </row>
        <row r="23">
          <cell r="A23" t="str">
            <v>Hours agreed at start contract</v>
          </cell>
          <cell r="B23">
            <v>40</v>
          </cell>
          <cell r="F23" t="str">
            <v>VL</v>
          </cell>
          <cell r="G23">
            <v>31</v>
          </cell>
          <cell r="H23">
            <v>2</v>
          </cell>
          <cell r="J23">
            <v>16.850000000000001</v>
          </cell>
          <cell r="L23">
            <v>49.85</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189   OF   239</v>
          </cell>
          <cell r="I26" t="str">
            <v>SL = 100 %</v>
          </cell>
          <cell r="J26" t="str">
            <v>BANKED = 
0 Hrs</v>
          </cell>
          <cell r="K26" t="str">
            <v>ADJ</v>
          </cell>
          <cell r="L26">
            <v>0</v>
          </cell>
        </row>
        <row r="27">
          <cell r="F27">
            <v>2021009</v>
          </cell>
          <cell r="G27">
            <v>18.666666666666668</v>
          </cell>
          <cell r="H27">
            <v>46023</v>
          </cell>
          <cell r="I27" t="str">
            <v>to</v>
          </cell>
          <cell r="J27">
            <v>46053</v>
          </cell>
          <cell r="K27" t="str">
            <v>Banked This Month</v>
          </cell>
          <cell r="L27">
            <v>7.1054273576010019E-15</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Attard Raisa 562091M</v>
          </cell>
          <cell r="G29" t="str">
            <v>PAR2</v>
          </cell>
          <cell r="H29" t="str">
            <v>9. Receptionist</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G31">
            <v>40.200000000000003</v>
          </cell>
          <cell r="H31">
            <v>34.82</v>
          </cell>
          <cell r="I31">
            <v>34.57</v>
          </cell>
          <cell r="J31">
            <v>39.47</v>
          </cell>
          <cell r="L31">
            <v>149.06</v>
          </cell>
          <cell r="O31" t="str">
            <v>to</v>
          </cell>
          <cell r="R31" t="str">
            <v xml:space="preserve">Mondays </v>
          </cell>
        </row>
        <row r="32">
          <cell r="F32" t="str">
            <v>Overtime Hrs</v>
          </cell>
          <cell r="L32">
            <v>0</v>
          </cell>
          <cell r="O32" t="str">
            <v>to</v>
          </cell>
          <cell r="R32">
            <v>4</v>
          </cell>
          <cell r="V32" t="str">
            <v>TOT</v>
          </cell>
          <cell r="W32">
            <v>0</v>
          </cell>
        </row>
        <row r="33">
          <cell r="F33" t="str">
            <v>VL</v>
          </cell>
          <cell r="H33">
            <v>7</v>
          </cell>
          <cell r="J33">
            <v>4</v>
          </cell>
          <cell r="L33">
            <v>11</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178   OF   239</v>
          </cell>
          <cell r="I36" t="str">
            <v>SL = 100 %</v>
          </cell>
          <cell r="J36" t="str">
            <v>BANKED = 
0.06 Hrs</v>
          </cell>
          <cell r="K36" t="str">
            <v>ADJ</v>
          </cell>
          <cell r="L36">
            <v>0</v>
          </cell>
        </row>
        <row r="37">
          <cell r="F37">
            <v>2021009</v>
          </cell>
          <cell r="G37">
            <v>18.666666666666668</v>
          </cell>
          <cell r="H37">
            <v>46054</v>
          </cell>
          <cell r="I37" t="str">
            <v>to</v>
          </cell>
          <cell r="J37">
            <v>46081</v>
          </cell>
          <cell r="K37" t="str">
            <v>Banked This Month</v>
          </cell>
          <cell r="L37">
            <v>6.0000000000002274E-2</v>
          </cell>
          <cell r="M37" t="str">
            <v>UNPAID WEEKS</v>
          </cell>
          <cell r="N37">
            <v>0</v>
          </cell>
          <cell r="O37">
            <v>1</v>
          </cell>
          <cell r="P37" t="str">
            <v>Maternity</v>
          </cell>
          <cell r="Q37">
            <v>0</v>
          </cell>
        </row>
        <row r="39">
          <cell r="F39" t="str">
            <v>Attard Raisa 562091M</v>
          </cell>
          <cell r="G39" t="str">
            <v>PAR2</v>
          </cell>
          <cell r="H39" t="str">
            <v>9. Receptionist</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9">
        <row r="1">
          <cell r="A1" t="str">
            <v>EMP NO&gt;</v>
          </cell>
          <cell r="B1">
            <v>2026004</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NScerri_Esposito</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0</v>
          </cell>
        </row>
        <row r="4">
          <cell r="A4" t="str">
            <v>Period</v>
          </cell>
          <cell r="B4" t="str">
            <v>From</v>
          </cell>
          <cell r="C4" t="str">
            <v>To</v>
          </cell>
          <cell r="F4">
            <v>46023</v>
          </cell>
          <cell r="G4">
            <v>0</v>
          </cell>
          <cell r="H4">
            <v>0</v>
          </cell>
          <cell r="I4">
            <v>0</v>
          </cell>
          <cell r="J4">
            <v>0</v>
          </cell>
          <cell r="K4">
            <v>5.3333333333333339</v>
          </cell>
          <cell r="L4">
            <v>0</v>
          </cell>
          <cell r="M4">
            <v>0</v>
          </cell>
          <cell r="N4">
            <v>5.7142857142857144</v>
          </cell>
          <cell r="O4">
            <v>0</v>
          </cell>
          <cell r="P4">
            <v>0</v>
          </cell>
          <cell r="Q4">
            <v>0</v>
          </cell>
          <cell r="R4">
            <v>0</v>
          </cell>
          <cell r="S4">
            <v>0</v>
          </cell>
          <cell r="T4">
            <v>0</v>
          </cell>
          <cell r="U4">
            <v>31</v>
          </cell>
          <cell r="V4">
            <v>0</v>
          </cell>
          <cell r="W4">
            <v>0</v>
          </cell>
          <cell r="X4" t="str">
            <v>INACTIVE</v>
          </cell>
        </row>
        <row r="5">
          <cell r="B5">
            <v>46069</v>
          </cell>
          <cell r="C5">
            <v>46076</v>
          </cell>
          <cell r="F5">
            <v>46054</v>
          </cell>
          <cell r="G5">
            <v>2</v>
          </cell>
          <cell r="H5">
            <v>40</v>
          </cell>
          <cell r="I5">
            <v>5.3333333333333339</v>
          </cell>
          <cell r="J5">
            <v>0</v>
          </cell>
          <cell r="K5">
            <v>5.3333333333333339</v>
          </cell>
          <cell r="L5">
            <v>5.7142857142857144</v>
          </cell>
          <cell r="M5">
            <v>0</v>
          </cell>
          <cell r="N5">
            <v>5.7142857142857144</v>
          </cell>
          <cell r="O5">
            <v>8</v>
          </cell>
          <cell r="P5">
            <v>8</v>
          </cell>
          <cell r="Q5">
            <v>0</v>
          </cell>
          <cell r="R5">
            <v>0</v>
          </cell>
          <cell r="S5">
            <v>0</v>
          </cell>
          <cell r="T5">
            <v>8</v>
          </cell>
          <cell r="U5">
            <v>28</v>
          </cell>
          <cell r="V5">
            <v>0</v>
          </cell>
          <cell r="W5">
            <v>0</v>
          </cell>
          <cell r="X5" t="str">
            <v>ACTIVE</v>
          </cell>
        </row>
        <row r="6">
          <cell r="A6" t="str">
            <v>Surname</v>
          </cell>
          <cell r="B6" t="str">
            <v>Scerri_Esposito</v>
          </cell>
          <cell r="F6">
            <v>46082</v>
          </cell>
          <cell r="G6">
            <v>0</v>
          </cell>
          <cell r="H6">
            <v>0</v>
          </cell>
          <cell r="I6">
            <v>0</v>
          </cell>
          <cell r="J6">
            <v>0</v>
          </cell>
          <cell r="K6">
            <v>5.3333333333333339</v>
          </cell>
          <cell r="L6">
            <v>0</v>
          </cell>
          <cell r="M6">
            <v>0</v>
          </cell>
          <cell r="N6">
            <v>5.7142857142857144</v>
          </cell>
          <cell r="O6">
            <v>0</v>
          </cell>
          <cell r="P6">
            <v>8</v>
          </cell>
          <cell r="Q6">
            <v>0</v>
          </cell>
          <cell r="R6">
            <v>0</v>
          </cell>
          <cell r="S6">
            <v>0</v>
          </cell>
          <cell r="T6">
            <v>0</v>
          </cell>
          <cell r="U6">
            <v>31</v>
          </cell>
          <cell r="V6">
            <v>0</v>
          </cell>
          <cell r="W6">
            <v>0</v>
          </cell>
          <cell r="X6" t="str">
            <v>INACTIVE</v>
          </cell>
        </row>
        <row r="7">
          <cell r="A7" t="str">
            <v>Name</v>
          </cell>
          <cell r="B7" t="str">
            <v>Natasha</v>
          </cell>
          <cell r="F7">
            <v>46113</v>
          </cell>
          <cell r="G7">
            <v>0</v>
          </cell>
          <cell r="H7">
            <v>0</v>
          </cell>
          <cell r="I7">
            <v>0</v>
          </cell>
          <cell r="J7">
            <v>0</v>
          </cell>
          <cell r="K7">
            <v>5.3333333333333339</v>
          </cell>
          <cell r="L7">
            <v>0</v>
          </cell>
          <cell r="M7">
            <v>0</v>
          </cell>
          <cell r="N7">
            <v>5.7142857142857144</v>
          </cell>
          <cell r="O7">
            <v>0</v>
          </cell>
          <cell r="P7">
            <v>8</v>
          </cell>
          <cell r="Q7">
            <v>0</v>
          </cell>
          <cell r="R7">
            <v>0</v>
          </cell>
          <cell r="S7">
            <v>0</v>
          </cell>
          <cell r="T7">
            <v>0</v>
          </cell>
          <cell r="U7">
            <v>30</v>
          </cell>
          <cell r="V7">
            <v>0</v>
          </cell>
          <cell r="W7">
            <v>0</v>
          </cell>
          <cell r="X7" t="str">
            <v>INACTIVE</v>
          </cell>
        </row>
        <row r="8">
          <cell r="A8" t="str">
            <v>Address   House No.</v>
          </cell>
          <cell r="B8" t="str">
            <v>59, Madonna tal-Karmnu</v>
          </cell>
          <cell r="F8">
            <v>46143</v>
          </cell>
          <cell r="G8">
            <v>0</v>
          </cell>
          <cell r="H8">
            <v>0</v>
          </cell>
          <cell r="I8">
            <v>0</v>
          </cell>
          <cell r="J8">
            <v>0</v>
          </cell>
          <cell r="K8">
            <v>5.3333333333333339</v>
          </cell>
          <cell r="L8">
            <v>0</v>
          </cell>
          <cell r="M8">
            <v>0</v>
          </cell>
          <cell r="N8">
            <v>5.7142857142857144</v>
          </cell>
          <cell r="O8">
            <v>0</v>
          </cell>
          <cell r="P8">
            <v>8</v>
          </cell>
          <cell r="Q8">
            <v>0</v>
          </cell>
          <cell r="R8">
            <v>0</v>
          </cell>
          <cell r="S8">
            <v>0</v>
          </cell>
          <cell r="T8">
            <v>0</v>
          </cell>
          <cell r="U8">
            <v>31</v>
          </cell>
          <cell r="V8">
            <v>0</v>
          </cell>
          <cell r="W8">
            <v>0</v>
          </cell>
          <cell r="X8" t="str">
            <v>INACTIVE</v>
          </cell>
        </row>
        <row r="9">
          <cell r="A9" t="str">
            <v>Str</v>
          </cell>
          <cell r="B9" t="str">
            <v>Triq Strickland</v>
          </cell>
          <cell r="F9">
            <v>46174</v>
          </cell>
          <cell r="G9">
            <v>0</v>
          </cell>
          <cell r="H9">
            <v>0</v>
          </cell>
          <cell r="I9">
            <v>0</v>
          </cell>
          <cell r="J9">
            <v>0</v>
          </cell>
          <cell r="K9">
            <v>5.3333333333333339</v>
          </cell>
          <cell r="L9">
            <v>0</v>
          </cell>
          <cell r="M9">
            <v>0</v>
          </cell>
          <cell r="N9">
            <v>5.7142857142857144</v>
          </cell>
          <cell r="O9">
            <v>0</v>
          </cell>
          <cell r="P9">
            <v>8</v>
          </cell>
          <cell r="Q9">
            <v>0</v>
          </cell>
          <cell r="R9">
            <v>0</v>
          </cell>
          <cell r="S9">
            <v>0</v>
          </cell>
          <cell r="T9">
            <v>0</v>
          </cell>
          <cell r="U9">
            <v>30</v>
          </cell>
          <cell r="V9">
            <v>0</v>
          </cell>
          <cell r="W9">
            <v>0</v>
          </cell>
          <cell r="X9" t="str">
            <v>INACTIVE</v>
          </cell>
        </row>
        <row r="10">
          <cell r="A10" t="str">
            <v>Locality</v>
          </cell>
          <cell r="B10" t="str">
            <v>Zabbar</v>
          </cell>
          <cell r="F10">
            <v>46204</v>
          </cell>
          <cell r="G10">
            <v>0</v>
          </cell>
          <cell r="H10">
            <v>0</v>
          </cell>
          <cell r="I10">
            <v>0</v>
          </cell>
          <cell r="J10">
            <v>0</v>
          </cell>
          <cell r="K10">
            <v>5.3333333333333339</v>
          </cell>
          <cell r="L10">
            <v>0</v>
          </cell>
          <cell r="M10">
            <v>0</v>
          </cell>
          <cell r="N10">
            <v>5.7142857142857144</v>
          </cell>
          <cell r="O10">
            <v>0</v>
          </cell>
          <cell r="P10">
            <v>8</v>
          </cell>
          <cell r="Q10">
            <v>0</v>
          </cell>
          <cell r="R10">
            <v>0</v>
          </cell>
          <cell r="S10">
            <v>0</v>
          </cell>
          <cell r="T10">
            <v>0</v>
          </cell>
          <cell r="U10">
            <v>31</v>
          </cell>
          <cell r="V10">
            <v>0</v>
          </cell>
          <cell r="W10">
            <v>0</v>
          </cell>
          <cell r="X10" t="str">
            <v>INACTIVE</v>
          </cell>
        </row>
        <row r="11">
          <cell r="A11" t="str">
            <v xml:space="preserve">Postcode </v>
          </cell>
          <cell r="B11" t="str">
            <v>ZBR1395</v>
          </cell>
          <cell r="F11">
            <v>46235</v>
          </cell>
          <cell r="G11">
            <v>0</v>
          </cell>
          <cell r="H11">
            <v>0</v>
          </cell>
          <cell r="I11">
            <v>0</v>
          </cell>
          <cell r="J11">
            <v>0</v>
          </cell>
          <cell r="K11">
            <v>5.3333333333333339</v>
          </cell>
          <cell r="L11">
            <v>0</v>
          </cell>
          <cell r="M11">
            <v>0</v>
          </cell>
          <cell r="N11">
            <v>5.7142857142857144</v>
          </cell>
          <cell r="O11">
            <v>40</v>
          </cell>
          <cell r="P11">
            <v>48</v>
          </cell>
          <cell r="Q11">
            <v>0</v>
          </cell>
          <cell r="R11">
            <v>0</v>
          </cell>
          <cell r="S11">
            <v>0</v>
          </cell>
          <cell r="T11">
            <v>0</v>
          </cell>
          <cell r="U11">
            <v>31</v>
          </cell>
          <cell r="V11">
            <v>0</v>
          </cell>
          <cell r="W11">
            <v>0</v>
          </cell>
          <cell r="X11" t="str">
            <v>INACTIVE</v>
          </cell>
        </row>
        <row r="12">
          <cell r="A12" t="str">
            <v>Telephone Number</v>
          </cell>
          <cell r="B12">
            <v>99367693</v>
          </cell>
          <cell r="F12">
            <v>46266</v>
          </cell>
          <cell r="G12">
            <v>0</v>
          </cell>
          <cell r="H12">
            <v>0</v>
          </cell>
          <cell r="I12">
            <v>0</v>
          </cell>
          <cell r="J12">
            <v>0</v>
          </cell>
          <cell r="K12">
            <v>5.3333333333333339</v>
          </cell>
          <cell r="L12">
            <v>0</v>
          </cell>
          <cell r="M12">
            <v>0</v>
          </cell>
          <cell r="N12">
            <v>5.7142857142857144</v>
          </cell>
          <cell r="O12">
            <v>0</v>
          </cell>
          <cell r="P12">
            <v>48</v>
          </cell>
          <cell r="Q12">
            <v>0</v>
          </cell>
          <cell r="R12">
            <v>0</v>
          </cell>
          <cell r="S12">
            <v>0</v>
          </cell>
          <cell r="T12">
            <v>0</v>
          </cell>
          <cell r="U12">
            <v>30</v>
          </cell>
          <cell r="V12">
            <v>0</v>
          </cell>
          <cell r="W12">
            <v>0</v>
          </cell>
          <cell r="X12" t="str">
            <v>INACTIVE</v>
          </cell>
        </row>
        <row r="13">
          <cell r="A13" t="str">
            <v>Payee ID CARD No./IT Reg No.</v>
          </cell>
          <cell r="B13" t="str">
            <v>pears briefly</v>
          </cell>
          <cell r="F13">
            <v>46296</v>
          </cell>
          <cell r="G13">
            <v>0</v>
          </cell>
          <cell r="H13">
            <v>0</v>
          </cell>
          <cell r="I13">
            <v>0</v>
          </cell>
          <cell r="J13">
            <v>0</v>
          </cell>
          <cell r="K13">
            <v>5.3333333333333339</v>
          </cell>
          <cell r="L13">
            <v>0</v>
          </cell>
          <cell r="M13">
            <v>0</v>
          </cell>
          <cell r="N13">
            <v>5.7142857142857144</v>
          </cell>
          <cell r="O13">
            <v>0</v>
          </cell>
          <cell r="P13">
            <v>48</v>
          </cell>
          <cell r="Q13">
            <v>0</v>
          </cell>
          <cell r="R13">
            <v>0</v>
          </cell>
          <cell r="S13">
            <v>0</v>
          </cell>
          <cell r="T13">
            <v>0</v>
          </cell>
          <cell r="U13">
            <v>31</v>
          </cell>
          <cell r="V13">
            <v>0</v>
          </cell>
          <cell r="W13">
            <v>0</v>
          </cell>
          <cell r="X13" t="str">
            <v>INACTIVE</v>
          </cell>
        </row>
        <row r="14">
          <cell r="A14" t="str">
            <v>Payee Social Security No.</v>
          </cell>
          <cell r="B14" t="str">
            <v>C36445508</v>
          </cell>
          <cell r="F14">
            <v>46327</v>
          </cell>
          <cell r="G14">
            <v>0</v>
          </cell>
          <cell r="H14">
            <v>0</v>
          </cell>
          <cell r="I14">
            <v>0</v>
          </cell>
          <cell r="J14">
            <v>0</v>
          </cell>
          <cell r="K14">
            <v>5.3333333333333339</v>
          </cell>
          <cell r="L14">
            <v>0</v>
          </cell>
          <cell r="M14">
            <v>0</v>
          </cell>
          <cell r="N14">
            <v>5.7142857142857144</v>
          </cell>
          <cell r="O14">
            <v>0</v>
          </cell>
          <cell r="P14">
            <v>48</v>
          </cell>
          <cell r="Q14">
            <v>0</v>
          </cell>
          <cell r="R14">
            <v>0</v>
          </cell>
          <cell r="S14">
            <v>0</v>
          </cell>
          <cell r="T14">
            <v>0</v>
          </cell>
          <cell r="U14">
            <v>30</v>
          </cell>
          <cell r="V14">
            <v>0</v>
          </cell>
          <cell r="W14">
            <v>0</v>
          </cell>
          <cell r="X14" t="str">
            <v>INACTIVE</v>
          </cell>
        </row>
        <row r="15">
          <cell r="A15" t="str">
            <v>Spouse's ID Card/IT Reg no.</v>
          </cell>
          <cell r="B15" t="str">
            <v>176780M</v>
          </cell>
          <cell r="F15">
            <v>46357</v>
          </cell>
          <cell r="G15">
            <v>0</v>
          </cell>
          <cell r="H15">
            <v>0</v>
          </cell>
          <cell r="I15">
            <v>0</v>
          </cell>
          <cell r="J15">
            <v>0</v>
          </cell>
          <cell r="K15">
            <v>5.3333333333333339</v>
          </cell>
          <cell r="L15">
            <v>0</v>
          </cell>
          <cell r="M15">
            <v>0</v>
          </cell>
          <cell r="N15">
            <v>5.7142857142857144</v>
          </cell>
          <cell r="O15">
            <v>0</v>
          </cell>
          <cell r="P15">
            <v>48</v>
          </cell>
          <cell r="Q15">
            <v>0</v>
          </cell>
          <cell r="R15">
            <v>0</v>
          </cell>
          <cell r="S15">
            <v>0</v>
          </cell>
          <cell r="T15">
            <v>0</v>
          </cell>
          <cell r="U15">
            <v>31</v>
          </cell>
          <cell r="V15">
            <v>0</v>
          </cell>
          <cell r="W15">
            <v>0</v>
          </cell>
          <cell r="X15" t="str">
            <v>INACTIVE</v>
          </cell>
        </row>
        <row r="16">
          <cell r="A16" t="str">
            <v>IBAN</v>
          </cell>
          <cell r="B16" t="str">
            <v>MT44VALL22013000000040022723312</v>
          </cell>
          <cell r="F16" t="str">
            <v>TOTALS</v>
          </cell>
          <cell r="G16">
            <v>2</v>
          </cell>
          <cell r="I16">
            <v>5.3333333333333339</v>
          </cell>
          <cell r="J16">
            <v>0</v>
          </cell>
          <cell r="K16">
            <v>5.3333333333333339</v>
          </cell>
          <cell r="L16">
            <v>5.7142857142857144</v>
          </cell>
          <cell r="M16">
            <v>0</v>
          </cell>
          <cell r="N16">
            <v>5.7142857142857144</v>
          </cell>
          <cell r="P16">
            <v>48</v>
          </cell>
          <cell r="T16">
            <v>8</v>
          </cell>
          <cell r="V16">
            <v>0</v>
          </cell>
        </row>
        <row r="17">
          <cell r="A17" t="str">
            <v>Email</v>
          </cell>
          <cell r="B17" t="str">
            <v>nscerriesposito@gmail.com</v>
          </cell>
          <cell r="H17" t="str">
            <v>Balance to Pay/ Carry forward, Input at end of page</v>
          </cell>
          <cell r="K17">
            <v>5.3333333333333339</v>
          </cell>
          <cell r="L17" t="str">
            <v>If paying part/ all of these please use table under December entry table</v>
          </cell>
          <cell r="P17">
            <v>48</v>
          </cell>
        </row>
        <row r="18">
          <cell r="A18" t="str">
            <v>DOB</v>
          </cell>
          <cell r="B18">
            <v>30144</v>
          </cell>
        </row>
        <row r="19">
          <cell r="A19" t="str">
            <v>date of First Employment</v>
          </cell>
          <cell r="B19">
            <v>46069</v>
          </cell>
          <cell r="F19" t="str">
            <v>Scerri_Esposito Natasha pears briefly</v>
          </cell>
          <cell r="G19" t="str">
            <v>SIN</v>
          </cell>
          <cell r="H19" t="str">
            <v>11. Trainee Receptionist</v>
          </cell>
          <cell r="I19" t="str">
            <v>Hrs/Wk</v>
          </cell>
          <cell r="J19">
            <v>0</v>
          </cell>
          <cell r="K19" t="str">
            <v>← Note: Hours can be changed if necssary</v>
          </cell>
          <cell r="L19">
            <v>0</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11. Trainee Receptionist</v>
          </cell>
          <cell r="F20">
            <v>0</v>
          </cell>
          <cell r="G20" t="str">
            <v/>
          </cell>
          <cell r="H20" t="str">
            <v/>
          </cell>
          <cell r="I20" t="str">
            <v/>
          </cell>
          <cell r="J20" t="str">
            <v/>
          </cell>
          <cell r="K20">
            <v>0</v>
          </cell>
          <cell r="L20">
            <v>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L21">
            <v>0</v>
          </cell>
          <cell r="O21" t="str">
            <v>to</v>
          </cell>
          <cell r="R21" t="str">
            <v xml:space="preserve">Mondays </v>
          </cell>
        </row>
        <row r="22">
          <cell r="A22" t="str">
            <v>FS4 Status</v>
          </cell>
          <cell r="B22" t="str">
            <v>SIN</v>
          </cell>
          <cell r="F22" t="str">
            <v>Overtime Hrs</v>
          </cell>
          <cell r="L22">
            <v>0</v>
          </cell>
          <cell r="O22" t="str">
            <v>to</v>
          </cell>
          <cell r="R22">
            <v>0</v>
          </cell>
          <cell r="V22" t="str">
            <v>TOT</v>
          </cell>
          <cell r="W22">
            <v>0</v>
          </cell>
        </row>
        <row r="23">
          <cell r="A23" t="str">
            <v>Hours agreed at start contract</v>
          </cell>
          <cell r="B23">
            <v>40</v>
          </cell>
          <cell r="F23" t="str">
            <v>VL</v>
          </cell>
          <cell r="L23">
            <v>0</v>
          </cell>
          <cell r="R23" t="str">
            <v>SATURDAYS</v>
          </cell>
        </row>
        <row r="24">
          <cell r="A24" t="str">
            <v xml:space="preserve">TERM date This </v>
          </cell>
          <cell r="B24">
            <v>46076</v>
          </cell>
          <cell r="F24" t="str">
            <v>Unpaid Leave Hrs</v>
          </cell>
          <cell r="L24">
            <v>0</v>
          </cell>
          <cell r="R24">
            <v>0</v>
          </cell>
        </row>
        <row r="25">
          <cell r="F25" t="str">
            <v>SL</v>
          </cell>
          <cell r="L25">
            <v>0</v>
          </cell>
        </row>
        <row r="26">
          <cell r="A26" t="str">
            <v>YEAR ENDING</v>
          </cell>
          <cell r="B26">
            <v>46387</v>
          </cell>
          <cell r="F26">
            <v>46023</v>
          </cell>
          <cell r="G26" t="str">
            <v>NEW LEAVE ENTITLEMENT</v>
          </cell>
          <cell r="H26" t="str">
            <v>VL = 5   OF   5</v>
          </cell>
          <cell r="I26" t="str">
            <v>SL = 100 %</v>
          </cell>
          <cell r="J26" t="str">
            <v>BANKED = 
0 Hrs</v>
          </cell>
          <cell r="K26" t="str">
            <v>ADJ</v>
          </cell>
          <cell r="L26">
            <v>0</v>
          </cell>
        </row>
        <row r="27">
          <cell r="F27">
            <v>2026004</v>
          </cell>
          <cell r="G27">
            <v>0</v>
          </cell>
          <cell r="H27">
            <v>0</v>
          </cell>
          <cell r="I27" t="str">
            <v>to</v>
          </cell>
          <cell r="J27">
            <v>0</v>
          </cell>
          <cell r="K27" t="str">
            <v>Banked This Month</v>
          </cell>
          <cell r="L27">
            <v>0</v>
          </cell>
          <cell r="M27" t="str">
            <v>UNPAID WEEKS</v>
          </cell>
          <cell r="N27">
            <v>0</v>
          </cell>
          <cell r="O27">
            <v>0</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Scerri_Esposito Natasha pears briefly</v>
          </cell>
          <cell r="G29" t="str">
            <v>SIN</v>
          </cell>
          <cell r="H29" t="str">
            <v>11. Trainee Receptionist</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2</v>
          </cell>
          <cell r="G30">
            <v>46060</v>
          </cell>
          <cell r="H30">
            <v>46067</v>
          </cell>
          <cell r="I30">
            <v>46074</v>
          </cell>
          <cell r="J30">
            <v>46081</v>
          </cell>
          <cell r="K30">
            <v>0</v>
          </cell>
          <cell r="L30">
            <v>40</v>
          </cell>
          <cell r="O30" t="str">
            <v>to</v>
          </cell>
          <cell r="R30">
            <v>28</v>
          </cell>
          <cell r="S30" t="str">
            <v>Week 1</v>
          </cell>
          <cell r="T30" t="str">
            <v>Week 2</v>
          </cell>
          <cell r="U30" t="str">
            <v>Week 3</v>
          </cell>
          <cell r="V30" t="str">
            <v>Week 4</v>
          </cell>
          <cell r="W30" t="str">
            <v>Week 5</v>
          </cell>
        </row>
        <row r="31">
          <cell r="F31" t="str">
            <v>Normal Hrs Worked (excl Ls)</v>
          </cell>
          <cell r="G31">
            <v>41.15</v>
          </cell>
          <cell r="H31">
            <v>6.85</v>
          </cell>
          <cell r="L31">
            <v>48</v>
          </cell>
          <cell r="O31" t="str">
            <v>to</v>
          </cell>
          <cell r="R31" t="str">
            <v xml:space="preserve">Mondays </v>
          </cell>
        </row>
        <row r="32">
          <cell r="F32" t="str">
            <v>Overtime Hrs</v>
          </cell>
          <cell r="L32">
            <v>0</v>
          </cell>
          <cell r="O32" t="str">
            <v>to</v>
          </cell>
          <cell r="R32">
            <v>2</v>
          </cell>
          <cell r="V32" t="str">
            <v>TOT</v>
          </cell>
          <cell r="W32">
            <v>0</v>
          </cell>
        </row>
        <row r="33">
          <cell r="F33" t="str">
            <v>VL</v>
          </cell>
          <cell r="L33">
            <v>0</v>
          </cell>
          <cell r="R33" t="str">
            <v>SATURDAYS</v>
          </cell>
        </row>
        <row r="34">
          <cell r="F34" t="str">
            <v>Unpaid Leave Hrs</v>
          </cell>
          <cell r="L34">
            <v>0</v>
          </cell>
          <cell r="R34">
            <v>1</v>
          </cell>
        </row>
        <row r="35">
          <cell r="F35" t="str">
            <v>SL</v>
          </cell>
          <cell r="L35">
            <v>0</v>
          </cell>
        </row>
        <row r="36">
          <cell r="F36">
            <v>46054</v>
          </cell>
          <cell r="G36" t="str">
            <v>NEW LEAVE ENTITLEMENT</v>
          </cell>
          <cell r="H36" t="str">
            <v>VL = 5   OF   5</v>
          </cell>
          <cell r="I36" t="str">
            <v>SL = 100 %</v>
          </cell>
          <cell r="J36" t="str">
            <v>BANKED = 
8 Hrs</v>
          </cell>
          <cell r="K36" t="str">
            <v>ADJ</v>
          </cell>
          <cell r="L36">
            <v>0</v>
          </cell>
        </row>
        <row r="37">
          <cell r="F37">
            <v>2026004</v>
          </cell>
          <cell r="G37">
            <v>5.3333333333333339</v>
          </cell>
          <cell r="H37">
            <v>46069</v>
          </cell>
          <cell r="I37" t="str">
            <v>to</v>
          </cell>
          <cell r="J37">
            <v>46076</v>
          </cell>
          <cell r="K37" t="str">
            <v>Banked This Month</v>
          </cell>
          <cell r="L37">
            <v>8</v>
          </cell>
          <cell r="M37" t="str">
            <v>UNPAID WEEKS</v>
          </cell>
          <cell r="N37">
            <v>0</v>
          </cell>
          <cell r="O37">
            <v>0.2857142857142857</v>
          </cell>
          <cell r="P37" t="str">
            <v>Maternity</v>
          </cell>
          <cell r="Q37">
            <v>0</v>
          </cell>
        </row>
        <row r="39">
          <cell r="F39" t="str">
            <v>Scerri_Esposito Natasha pears briefly</v>
          </cell>
          <cell r="G39" t="str">
            <v>SIN</v>
          </cell>
          <cell r="H39" t="str">
            <v>11. Trainee Receptionist</v>
          </cell>
          <cell r="I39" t="str">
            <v>Hrs/Wk</v>
          </cell>
          <cell r="J39">
            <v>0</v>
          </cell>
          <cell r="K39" t="str">
            <v>← Note: Hours can be changed if necssary</v>
          </cell>
          <cell r="L39">
            <v>0</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0">
        <row r="1">
          <cell r="A1" t="str">
            <v>EMP NO&gt;</v>
          </cell>
          <cell r="B1">
            <v>2023005</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RSreejith</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-4.0999999999999996</v>
          </cell>
          <cell r="P3">
            <v>-17.8</v>
          </cell>
          <cell r="T3">
            <v>92</v>
          </cell>
        </row>
        <row r="4">
          <cell r="A4" t="str">
            <v>Period</v>
          </cell>
          <cell r="B4" t="str">
            <v>From</v>
          </cell>
          <cell r="C4" t="str">
            <v>To</v>
          </cell>
          <cell r="F4">
            <v>46023</v>
          </cell>
          <cell r="G4">
            <v>4</v>
          </cell>
          <cell r="H4">
            <v>40</v>
          </cell>
          <cell r="I4">
            <v>18.666666666666668</v>
          </cell>
          <cell r="J4">
            <v>27.53</v>
          </cell>
          <cell r="K4">
            <v>192.36999999999998</v>
          </cell>
          <cell r="L4">
            <v>20</v>
          </cell>
          <cell r="M4">
            <v>19.5</v>
          </cell>
          <cell r="N4">
            <v>220.5</v>
          </cell>
          <cell r="O4">
            <v>-3.0100000000000193</v>
          </cell>
          <cell r="P4">
            <v>-20.81000000000002</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22.5</v>
          </cell>
          <cell r="K5">
            <v>169.86999999999998</v>
          </cell>
          <cell r="L5">
            <v>20</v>
          </cell>
          <cell r="M5">
            <v>0</v>
          </cell>
          <cell r="N5">
            <v>220.5</v>
          </cell>
          <cell r="O5">
            <v>-2.0000000000010232E-2</v>
          </cell>
          <cell r="P5">
            <v>-20.83000000000003</v>
          </cell>
          <cell r="Q5">
            <v>0</v>
          </cell>
          <cell r="R5">
            <v>0</v>
          </cell>
          <cell r="S5">
            <v>0</v>
          </cell>
          <cell r="T5">
            <v>28</v>
          </cell>
          <cell r="U5">
            <v>28</v>
          </cell>
          <cell r="V5">
            <v>0</v>
          </cell>
          <cell r="W5">
            <v>0</v>
          </cell>
          <cell r="X5" t="str">
            <v>ACTIVE</v>
          </cell>
        </row>
        <row r="6">
          <cell r="A6" t="str">
            <v>Surname</v>
          </cell>
          <cell r="B6" t="str">
            <v>Sreejith</v>
          </cell>
          <cell r="F6">
            <v>46082</v>
          </cell>
          <cell r="G6">
            <v>5</v>
          </cell>
          <cell r="H6">
            <v>40</v>
          </cell>
          <cell r="I6">
            <v>18.666666666666668</v>
          </cell>
          <cell r="J6">
            <v>0</v>
          </cell>
          <cell r="K6">
            <v>169.86999999999998</v>
          </cell>
          <cell r="L6">
            <v>20</v>
          </cell>
          <cell r="M6">
            <v>0</v>
          </cell>
          <cell r="N6">
            <v>220.5</v>
          </cell>
          <cell r="O6">
            <v>-160</v>
          </cell>
          <cell r="P6">
            <v>-180.83000000000004</v>
          </cell>
          <cell r="Q6">
            <v>0</v>
          </cell>
          <cell r="R6">
            <v>0</v>
          </cell>
          <cell r="S6">
            <v>0</v>
          </cell>
          <cell r="T6">
            <v>31</v>
          </cell>
          <cell r="U6">
            <v>31</v>
          </cell>
          <cell r="V6">
            <v>0</v>
          </cell>
          <cell r="W6">
            <v>0</v>
          </cell>
          <cell r="X6" t="str">
            <v>ACTIVE</v>
          </cell>
        </row>
        <row r="7">
          <cell r="A7" t="str">
            <v>Name</v>
          </cell>
          <cell r="B7" t="str">
            <v>Rethu</v>
          </cell>
          <cell r="F7">
            <v>46113</v>
          </cell>
          <cell r="G7">
            <v>4</v>
          </cell>
          <cell r="H7">
            <v>40</v>
          </cell>
          <cell r="I7">
            <v>18.666666666666668</v>
          </cell>
          <cell r="J7">
            <v>0</v>
          </cell>
          <cell r="K7">
            <v>169.86999999999998</v>
          </cell>
          <cell r="L7">
            <v>20</v>
          </cell>
          <cell r="M7">
            <v>0</v>
          </cell>
          <cell r="N7">
            <v>220.5</v>
          </cell>
          <cell r="O7">
            <v>-160</v>
          </cell>
          <cell r="P7">
            <v>-340.83000000000004</v>
          </cell>
          <cell r="Q7">
            <v>0</v>
          </cell>
          <cell r="R7">
            <v>0</v>
          </cell>
          <cell r="S7">
            <v>0</v>
          </cell>
          <cell r="T7">
            <v>30</v>
          </cell>
          <cell r="U7">
            <v>30</v>
          </cell>
          <cell r="V7">
            <v>0</v>
          </cell>
          <cell r="W7">
            <v>0</v>
          </cell>
          <cell r="X7" t="str">
            <v>ACTIVE</v>
          </cell>
        </row>
        <row r="8">
          <cell r="A8" t="str">
            <v>Address   House No.</v>
          </cell>
          <cell r="B8" t="str">
            <v>12, FL2</v>
          </cell>
          <cell r="F8">
            <v>46143</v>
          </cell>
          <cell r="G8">
            <v>4</v>
          </cell>
          <cell r="H8">
            <v>40</v>
          </cell>
          <cell r="I8">
            <v>18.666666666666668</v>
          </cell>
          <cell r="J8">
            <v>0</v>
          </cell>
          <cell r="K8">
            <v>169.86999999999998</v>
          </cell>
          <cell r="L8">
            <v>20</v>
          </cell>
          <cell r="M8">
            <v>0</v>
          </cell>
          <cell r="N8">
            <v>220.5</v>
          </cell>
          <cell r="O8">
            <v>-200</v>
          </cell>
          <cell r="P8">
            <v>-540.83000000000004</v>
          </cell>
          <cell r="Q8">
            <v>0</v>
          </cell>
          <cell r="R8">
            <v>0</v>
          </cell>
          <cell r="S8">
            <v>0</v>
          </cell>
          <cell r="T8">
            <v>31</v>
          </cell>
          <cell r="U8">
            <v>31</v>
          </cell>
          <cell r="V8">
            <v>0</v>
          </cell>
          <cell r="W8">
            <v>0</v>
          </cell>
          <cell r="X8" t="str">
            <v>ACTIVE</v>
          </cell>
        </row>
        <row r="9">
          <cell r="A9" t="str">
            <v>Str</v>
          </cell>
          <cell r="B9" t="str">
            <v>TRIQ L-GHOLJIET</v>
          </cell>
          <cell r="F9">
            <v>46174</v>
          </cell>
          <cell r="G9">
            <v>5</v>
          </cell>
          <cell r="H9">
            <v>40</v>
          </cell>
          <cell r="I9">
            <v>18.666666666666668</v>
          </cell>
          <cell r="J9">
            <v>0</v>
          </cell>
          <cell r="K9">
            <v>169.86999999999998</v>
          </cell>
          <cell r="L9">
            <v>20</v>
          </cell>
          <cell r="M9">
            <v>0</v>
          </cell>
          <cell r="N9">
            <v>220.5</v>
          </cell>
          <cell r="O9">
            <v>-160</v>
          </cell>
          <cell r="P9">
            <v>-700.83</v>
          </cell>
          <cell r="Q9">
            <v>0</v>
          </cell>
          <cell r="R9">
            <v>0</v>
          </cell>
          <cell r="S9">
            <v>0</v>
          </cell>
          <cell r="T9">
            <v>30</v>
          </cell>
          <cell r="U9">
            <v>30</v>
          </cell>
          <cell r="V9">
            <v>0</v>
          </cell>
          <cell r="W9">
            <v>0</v>
          </cell>
          <cell r="X9" t="str">
            <v>ACTIVE</v>
          </cell>
        </row>
        <row r="10">
          <cell r="A10" t="str">
            <v>Locality</v>
          </cell>
          <cell r="B10" t="str">
            <v>IL - MELLIEHA</v>
          </cell>
          <cell r="F10">
            <v>46204</v>
          </cell>
          <cell r="G10">
            <v>4</v>
          </cell>
          <cell r="H10">
            <v>40</v>
          </cell>
          <cell r="I10">
            <v>18.666666666666668</v>
          </cell>
          <cell r="J10">
            <v>0</v>
          </cell>
          <cell r="K10">
            <v>169.86999999999998</v>
          </cell>
          <cell r="L10">
            <v>20</v>
          </cell>
          <cell r="M10">
            <v>0</v>
          </cell>
          <cell r="N10">
            <v>220.5</v>
          </cell>
          <cell r="O10">
            <v>-160</v>
          </cell>
          <cell r="P10">
            <v>-860.83</v>
          </cell>
          <cell r="Q10">
            <v>0</v>
          </cell>
          <cell r="R10">
            <v>0</v>
          </cell>
          <cell r="S10">
            <v>0</v>
          </cell>
          <cell r="T10">
            <v>31</v>
          </cell>
          <cell r="U10">
            <v>31</v>
          </cell>
          <cell r="V10">
            <v>0</v>
          </cell>
          <cell r="W10">
            <v>0</v>
          </cell>
          <cell r="X10" t="str">
            <v>ACTIVE</v>
          </cell>
        </row>
        <row r="11">
          <cell r="A11" t="str">
            <v xml:space="preserve">Postcode </v>
          </cell>
          <cell r="B11" t="str">
            <v>MLH2104</v>
          </cell>
          <cell r="F11">
            <v>46235</v>
          </cell>
          <cell r="G11">
            <v>5</v>
          </cell>
          <cell r="H11">
            <v>40</v>
          </cell>
          <cell r="I11">
            <v>18.666666666666668</v>
          </cell>
          <cell r="J11">
            <v>0</v>
          </cell>
          <cell r="K11">
            <v>169.86999999999998</v>
          </cell>
          <cell r="L11">
            <v>20</v>
          </cell>
          <cell r="M11">
            <v>0</v>
          </cell>
          <cell r="N11">
            <v>220.5</v>
          </cell>
          <cell r="O11">
            <v>-200</v>
          </cell>
          <cell r="P11">
            <v>-1060.83</v>
          </cell>
          <cell r="Q11">
            <v>0</v>
          </cell>
          <cell r="R11">
            <v>0</v>
          </cell>
          <cell r="S11">
            <v>0</v>
          </cell>
          <cell r="T11">
            <v>31</v>
          </cell>
          <cell r="U11">
            <v>31</v>
          </cell>
          <cell r="V11">
            <v>0</v>
          </cell>
          <cell r="W11">
            <v>0</v>
          </cell>
          <cell r="X11" t="str">
            <v>ACTIVE</v>
          </cell>
        </row>
        <row r="12">
          <cell r="A12" t="str">
            <v>Telephone Number</v>
          </cell>
          <cell r="B12" t="str">
            <v>+356 9995 3865</v>
          </cell>
          <cell r="F12">
            <v>46266</v>
          </cell>
          <cell r="G12">
            <v>4</v>
          </cell>
          <cell r="H12">
            <v>40</v>
          </cell>
          <cell r="I12">
            <v>18.666666666666668</v>
          </cell>
          <cell r="J12">
            <v>0</v>
          </cell>
          <cell r="K12">
            <v>169.86999999999998</v>
          </cell>
          <cell r="L12">
            <v>20</v>
          </cell>
          <cell r="M12">
            <v>0</v>
          </cell>
          <cell r="N12">
            <v>220.5</v>
          </cell>
          <cell r="O12">
            <v>-160</v>
          </cell>
          <cell r="P12">
            <v>-1220.83</v>
          </cell>
          <cell r="Q12">
            <v>0</v>
          </cell>
          <cell r="R12">
            <v>0</v>
          </cell>
          <cell r="S12">
            <v>0</v>
          </cell>
          <cell r="T12">
            <v>30</v>
          </cell>
          <cell r="U12">
            <v>30</v>
          </cell>
          <cell r="V12">
            <v>0</v>
          </cell>
          <cell r="W12">
            <v>0</v>
          </cell>
          <cell r="X12" t="str">
            <v>ACTIVE</v>
          </cell>
        </row>
        <row r="13">
          <cell r="A13" t="str">
            <v>Payee ID CARD No./IT Reg No.</v>
          </cell>
          <cell r="B13" t="str">
            <v>335048A</v>
          </cell>
          <cell r="F13">
            <v>46296</v>
          </cell>
          <cell r="G13">
            <v>4</v>
          </cell>
          <cell r="H13">
            <v>40</v>
          </cell>
          <cell r="I13">
            <v>18.666666666666668</v>
          </cell>
          <cell r="J13">
            <v>0</v>
          </cell>
          <cell r="K13">
            <v>169.86999999999998</v>
          </cell>
          <cell r="L13">
            <v>20</v>
          </cell>
          <cell r="M13">
            <v>0</v>
          </cell>
          <cell r="N13">
            <v>220.5</v>
          </cell>
          <cell r="O13">
            <v>-200</v>
          </cell>
          <cell r="P13">
            <v>-1420.83</v>
          </cell>
          <cell r="Q13">
            <v>0</v>
          </cell>
          <cell r="R13">
            <v>0</v>
          </cell>
          <cell r="S13">
            <v>0</v>
          </cell>
          <cell r="T13">
            <v>31</v>
          </cell>
          <cell r="U13">
            <v>31</v>
          </cell>
          <cell r="V13">
            <v>0</v>
          </cell>
          <cell r="W13">
            <v>0</v>
          </cell>
          <cell r="X13" t="str">
            <v>ACTIVE</v>
          </cell>
        </row>
        <row r="14">
          <cell r="A14" t="str">
            <v>Payee Social Security No.</v>
          </cell>
          <cell r="B14" t="str">
            <v>A72592177</v>
          </cell>
          <cell r="F14">
            <v>46327</v>
          </cell>
          <cell r="G14">
            <v>5</v>
          </cell>
          <cell r="H14">
            <v>40</v>
          </cell>
          <cell r="I14">
            <v>18.666666666666668</v>
          </cell>
          <cell r="J14">
            <v>0</v>
          </cell>
          <cell r="K14">
            <v>169.86999999999998</v>
          </cell>
          <cell r="L14">
            <v>20</v>
          </cell>
          <cell r="M14">
            <v>0</v>
          </cell>
          <cell r="N14">
            <v>220.5</v>
          </cell>
          <cell r="O14">
            <v>-160</v>
          </cell>
          <cell r="P14">
            <v>-1580.83</v>
          </cell>
          <cell r="Q14">
            <v>0</v>
          </cell>
          <cell r="R14">
            <v>0</v>
          </cell>
          <cell r="S14">
            <v>0</v>
          </cell>
          <cell r="T14">
            <v>30</v>
          </cell>
          <cell r="U14">
            <v>30</v>
          </cell>
          <cell r="V14">
            <v>0</v>
          </cell>
          <cell r="W14">
            <v>0</v>
          </cell>
          <cell r="X14" t="str">
            <v>ACTIVE</v>
          </cell>
        </row>
        <row r="15">
          <cell r="A15" t="str">
            <v>Spouse's ID Card/IT Reg no.</v>
          </cell>
          <cell r="B15" t="str">
            <v>255101A</v>
          </cell>
          <cell r="F15">
            <v>46357</v>
          </cell>
          <cell r="G15">
            <v>4</v>
          </cell>
          <cell r="H15">
            <v>40</v>
          </cell>
          <cell r="I15">
            <v>18.666666666666668</v>
          </cell>
          <cell r="J15">
            <v>0</v>
          </cell>
          <cell r="K15">
            <v>169.86999999999998</v>
          </cell>
          <cell r="L15">
            <v>20</v>
          </cell>
          <cell r="M15">
            <v>0</v>
          </cell>
          <cell r="N15">
            <v>220.5</v>
          </cell>
          <cell r="O15">
            <v>-160</v>
          </cell>
          <cell r="P15">
            <v>-1740.83</v>
          </cell>
          <cell r="Q15">
            <v>0</v>
          </cell>
          <cell r="R15">
            <v>0</v>
          </cell>
          <cell r="S15">
            <v>0</v>
          </cell>
          <cell r="T15">
            <v>31</v>
          </cell>
          <cell r="U15">
            <v>31</v>
          </cell>
          <cell r="V15">
            <v>0</v>
          </cell>
          <cell r="W15">
            <v>0</v>
          </cell>
          <cell r="X15" t="str">
            <v>ACTIVE</v>
          </cell>
        </row>
        <row r="16">
          <cell r="A16" t="str">
            <v>IBAN</v>
          </cell>
          <cell r="B16" t="str">
            <v>LT913250041268993945</v>
          </cell>
          <cell r="F16" t="str">
            <v>TOTALS</v>
          </cell>
          <cell r="G16">
            <v>52</v>
          </cell>
          <cell r="I16">
            <v>223.99999999999997</v>
          </cell>
          <cell r="J16">
            <v>50.03</v>
          </cell>
          <cell r="K16">
            <v>169.86999999999998</v>
          </cell>
          <cell r="L16">
            <v>240</v>
          </cell>
          <cell r="M16">
            <v>19.5</v>
          </cell>
          <cell r="N16">
            <v>220.5</v>
          </cell>
          <cell r="P16">
            <v>-1740.83</v>
          </cell>
          <cell r="T16">
            <v>365</v>
          </cell>
          <cell r="V16">
            <v>0</v>
          </cell>
        </row>
        <row r="17">
          <cell r="A17" t="str">
            <v>Email</v>
          </cell>
          <cell r="B17" t="str">
            <v>rethusree7@gmail.com</v>
          </cell>
          <cell r="H17" t="str">
            <v>Balance to Pay/ Carry forward, Input at end of page</v>
          </cell>
          <cell r="K17">
            <v>169.86999999999998</v>
          </cell>
          <cell r="L17" t="str">
            <v>If paying part/ all of these please use table under December entry table</v>
          </cell>
          <cell r="P17">
            <v>-1740.83</v>
          </cell>
        </row>
        <row r="18">
          <cell r="A18" t="str">
            <v>DOB</v>
          </cell>
          <cell r="B18">
            <v>34142</v>
          </cell>
        </row>
        <row r="19">
          <cell r="A19" t="str">
            <v>date of First Employment</v>
          </cell>
          <cell r="B19">
            <v>45145</v>
          </cell>
          <cell r="F19" t="str">
            <v>Sreejith Rethu 335048A</v>
          </cell>
          <cell r="G19" t="str">
            <v>MAR1</v>
          </cell>
          <cell r="H19" t="str">
            <v>10. Trainee  Dental Assistant</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10. Trainee  Dental Assistant</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G21">
            <v>20.56</v>
          </cell>
          <cell r="H21">
            <v>41.35</v>
          </cell>
          <cell r="I21">
            <v>16.97</v>
          </cell>
          <cell r="J21">
            <v>36.04</v>
          </cell>
          <cell r="K21">
            <v>35.04</v>
          </cell>
          <cell r="L21">
            <v>149.95999999999998</v>
          </cell>
          <cell r="O21" t="str">
            <v>to</v>
          </cell>
          <cell r="R21" t="str">
            <v xml:space="preserve">Mondays </v>
          </cell>
        </row>
        <row r="22">
          <cell r="A22" t="str">
            <v>FS4 Status</v>
          </cell>
          <cell r="B22" t="str">
            <v>MAR1</v>
          </cell>
          <cell r="F22" t="str">
            <v>Overtime Hrs</v>
          </cell>
          <cell r="L22">
            <v>0</v>
          </cell>
          <cell r="O22" t="str">
            <v>to</v>
          </cell>
          <cell r="R22">
            <v>4</v>
          </cell>
          <cell r="V22" t="str">
            <v>TOT</v>
          </cell>
          <cell r="W22">
            <v>0</v>
          </cell>
        </row>
        <row r="23">
          <cell r="A23" t="str">
            <v>Hours agreed at start contract</v>
          </cell>
          <cell r="B23">
            <v>40</v>
          </cell>
          <cell r="F23" t="str">
            <v>VL</v>
          </cell>
          <cell r="G23">
            <v>18</v>
          </cell>
          <cell r="J23">
            <v>6</v>
          </cell>
          <cell r="K23">
            <v>3.53</v>
          </cell>
          <cell r="L23">
            <v>27.53</v>
          </cell>
          <cell r="R23" t="str">
            <v>SATURDAYS</v>
          </cell>
        </row>
        <row r="24">
          <cell r="A24" t="str">
            <v xml:space="preserve">TERM date This </v>
          </cell>
          <cell r="B24">
            <v>46387</v>
          </cell>
          <cell r="F24" t="str">
            <v>Unpaid Leave Hrs</v>
          </cell>
          <cell r="L24">
            <v>0</v>
          </cell>
          <cell r="R24">
            <v>5</v>
          </cell>
        </row>
        <row r="25">
          <cell r="F25" t="str">
            <v>SL</v>
          </cell>
          <cell r="I25">
            <v>19.5</v>
          </cell>
          <cell r="L25">
            <v>19.5</v>
          </cell>
        </row>
        <row r="26">
          <cell r="A26" t="str">
            <v>YEAR ENDING</v>
          </cell>
          <cell r="B26">
            <v>46387</v>
          </cell>
          <cell r="F26">
            <v>46023</v>
          </cell>
          <cell r="G26" t="str">
            <v>NEW LEAVE ENTITLEMENT</v>
          </cell>
          <cell r="H26" t="str">
            <v>VL = 192   OF   219</v>
          </cell>
          <cell r="I26" t="str">
            <v>SL = 91.87 %</v>
          </cell>
          <cell r="J26" t="str">
            <v>BANKED = 
-20.81 Hrs</v>
          </cell>
          <cell r="K26" t="str">
            <v>ADJ</v>
          </cell>
          <cell r="L26">
            <v>0</v>
          </cell>
        </row>
        <row r="27">
          <cell r="F27">
            <v>2023005</v>
          </cell>
          <cell r="G27">
            <v>18.666666666666668</v>
          </cell>
          <cell r="H27">
            <v>46023</v>
          </cell>
          <cell r="I27" t="str">
            <v>to</v>
          </cell>
          <cell r="J27">
            <v>46053</v>
          </cell>
          <cell r="K27" t="str">
            <v>Banked This Month</v>
          </cell>
          <cell r="L27">
            <v>-3.0100000000000193</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Sreejith Rethu 335048A</v>
          </cell>
          <cell r="G29" t="str">
            <v>MAR1</v>
          </cell>
          <cell r="H29" t="str">
            <v>10. Trainee  Dental Assistant</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G31">
            <v>38.33</v>
          </cell>
          <cell r="H31">
            <v>42.44</v>
          </cell>
          <cell r="I31">
            <v>25.93</v>
          </cell>
          <cell r="J31">
            <v>30.78</v>
          </cell>
          <cell r="L31">
            <v>137.47999999999999</v>
          </cell>
          <cell r="O31" t="str">
            <v>to</v>
          </cell>
          <cell r="R31" t="str">
            <v xml:space="preserve">Mondays </v>
          </cell>
        </row>
        <row r="32">
          <cell r="F32" t="str">
            <v>Overtime Hrs</v>
          </cell>
          <cell r="L32">
            <v>0</v>
          </cell>
          <cell r="O32" t="str">
            <v>to</v>
          </cell>
          <cell r="R32">
            <v>4</v>
          </cell>
          <cell r="V32" t="str">
            <v>TOT</v>
          </cell>
          <cell r="W32">
            <v>0</v>
          </cell>
        </row>
        <row r="33">
          <cell r="F33" t="str">
            <v>VL</v>
          </cell>
          <cell r="I33">
            <v>13.5</v>
          </cell>
          <cell r="J33">
            <v>9</v>
          </cell>
          <cell r="L33">
            <v>22.5</v>
          </cell>
          <cell r="R33" t="str">
            <v>SATURDAYS</v>
          </cell>
        </row>
        <row r="34">
          <cell r="F34" t="str">
            <v>Unpaid Leave Hrs</v>
          </cell>
          <cell r="L34">
            <v>0</v>
          </cell>
          <cell r="R34">
            <v>4</v>
          </cell>
        </row>
        <row r="35">
          <cell r="F35" t="str">
            <v>SL</v>
          </cell>
          <cell r="L35">
            <v>0</v>
          </cell>
          <cell r="T35" t="str">
            <v>MAR1</v>
          </cell>
        </row>
        <row r="36">
          <cell r="F36">
            <v>46054</v>
          </cell>
          <cell r="G36" t="str">
            <v>NEW LEAVE ENTITLEMENT</v>
          </cell>
          <cell r="H36" t="str">
            <v>VL = 169   OF   219</v>
          </cell>
          <cell r="I36" t="str">
            <v>SL = 91.87 %</v>
          </cell>
          <cell r="J36" t="str">
            <v>BANKED = 
-20.83 Hrs</v>
          </cell>
          <cell r="K36" t="str">
            <v>ADJ</v>
          </cell>
          <cell r="L36">
            <v>0</v>
          </cell>
        </row>
        <row r="37">
          <cell r="F37">
            <v>2023005</v>
          </cell>
          <cell r="G37">
            <v>18.666666666666668</v>
          </cell>
          <cell r="H37">
            <v>46054</v>
          </cell>
          <cell r="I37" t="str">
            <v>to</v>
          </cell>
          <cell r="J37">
            <v>46081</v>
          </cell>
          <cell r="K37" t="str">
            <v>Banked This Month</v>
          </cell>
          <cell r="L37">
            <v>-2.0000000000010232E-2</v>
          </cell>
          <cell r="M37" t="str">
            <v>UNPAID WEEKS</v>
          </cell>
          <cell r="N37">
            <v>0</v>
          </cell>
          <cell r="O37">
            <v>1</v>
          </cell>
          <cell r="P37" t="str">
            <v>Maternity</v>
          </cell>
          <cell r="Q37">
            <v>0</v>
          </cell>
        </row>
        <row r="39">
          <cell r="F39" t="str">
            <v>Sreejith Rethu 335048A</v>
          </cell>
          <cell r="G39" t="str">
            <v>MAR1</v>
          </cell>
          <cell r="H39" t="str">
            <v>10. Trainee  Dental Assistant</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1">
        <row r="1">
          <cell r="A1" t="str">
            <v>EMP NO&gt;</v>
          </cell>
          <cell r="B1">
            <v>2023006</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RMallan_Albani</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21.5</v>
          </cell>
          <cell r="P3">
            <v>0</v>
          </cell>
          <cell r="T3">
            <v>92</v>
          </cell>
        </row>
        <row r="4">
          <cell r="A4" t="str">
            <v>Period</v>
          </cell>
          <cell r="B4" t="str">
            <v>From</v>
          </cell>
          <cell r="C4" t="str">
            <v>To</v>
          </cell>
          <cell r="F4">
            <v>46023</v>
          </cell>
          <cell r="G4">
            <v>4</v>
          </cell>
          <cell r="H4">
            <v>40</v>
          </cell>
          <cell r="I4">
            <v>18.666666666666668</v>
          </cell>
          <cell r="J4">
            <v>27.490000000000002</v>
          </cell>
          <cell r="K4">
            <v>218.00999999999996</v>
          </cell>
          <cell r="L4">
            <v>20</v>
          </cell>
          <cell r="M4">
            <v>14.5</v>
          </cell>
          <cell r="N4">
            <v>225.5</v>
          </cell>
          <cell r="O4">
            <v>-9.9999999999980105E-3</v>
          </cell>
          <cell r="P4">
            <v>-9.9999999999980105E-3</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24.5</v>
          </cell>
          <cell r="K5">
            <v>193.50999999999996</v>
          </cell>
          <cell r="L5">
            <v>20</v>
          </cell>
          <cell r="M5">
            <v>0</v>
          </cell>
          <cell r="N5">
            <v>225.5</v>
          </cell>
          <cell r="O5">
            <v>-0.56000000000000227</v>
          </cell>
          <cell r="P5">
            <v>-0.57000000000000028</v>
          </cell>
          <cell r="Q5">
            <v>0</v>
          </cell>
          <cell r="R5">
            <v>0</v>
          </cell>
          <cell r="S5">
            <v>0</v>
          </cell>
          <cell r="T5">
            <v>28</v>
          </cell>
          <cell r="U5">
            <v>28</v>
          </cell>
          <cell r="V5">
            <v>0</v>
          </cell>
          <cell r="W5">
            <v>0</v>
          </cell>
          <cell r="X5" t="str">
            <v>ACTIVE</v>
          </cell>
        </row>
        <row r="6">
          <cell r="A6" t="str">
            <v>Surname</v>
          </cell>
          <cell r="B6" t="str">
            <v>Mallan_Albani</v>
          </cell>
          <cell r="F6">
            <v>46082</v>
          </cell>
          <cell r="G6">
            <v>5</v>
          </cell>
          <cell r="H6">
            <v>40</v>
          </cell>
          <cell r="I6">
            <v>18.666666666666668</v>
          </cell>
          <cell r="J6">
            <v>0</v>
          </cell>
          <cell r="K6">
            <v>193.50999999999996</v>
          </cell>
          <cell r="L6">
            <v>20</v>
          </cell>
          <cell r="M6">
            <v>0</v>
          </cell>
          <cell r="N6">
            <v>225.5</v>
          </cell>
          <cell r="O6">
            <v>-160</v>
          </cell>
          <cell r="P6">
            <v>-160.57</v>
          </cell>
          <cell r="Q6">
            <v>0</v>
          </cell>
          <cell r="R6">
            <v>0</v>
          </cell>
          <cell r="S6">
            <v>0</v>
          </cell>
          <cell r="T6">
            <v>31</v>
          </cell>
          <cell r="U6">
            <v>31</v>
          </cell>
          <cell r="V6">
            <v>0</v>
          </cell>
          <cell r="W6">
            <v>0</v>
          </cell>
          <cell r="X6" t="str">
            <v>ACTIVE</v>
          </cell>
        </row>
        <row r="7">
          <cell r="A7" t="str">
            <v>Name</v>
          </cell>
          <cell r="B7" t="str">
            <v>Rebecca</v>
          </cell>
          <cell r="F7">
            <v>46113</v>
          </cell>
          <cell r="G7">
            <v>4</v>
          </cell>
          <cell r="H7">
            <v>40</v>
          </cell>
          <cell r="I7">
            <v>18.666666666666668</v>
          </cell>
          <cell r="J7">
            <v>0</v>
          </cell>
          <cell r="K7">
            <v>193.50999999999996</v>
          </cell>
          <cell r="L7">
            <v>20</v>
          </cell>
          <cell r="M7">
            <v>0</v>
          </cell>
          <cell r="N7">
            <v>225.5</v>
          </cell>
          <cell r="O7">
            <v>-160</v>
          </cell>
          <cell r="P7">
            <v>-320.57</v>
          </cell>
          <cell r="Q7">
            <v>0</v>
          </cell>
          <cell r="R7">
            <v>0</v>
          </cell>
          <cell r="S7">
            <v>0</v>
          </cell>
          <cell r="T7">
            <v>30</v>
          </cell>
          <cell r="U7">
            <v>30</v>
          </cell>
          <cell r="V7">
            <v>0</v>
          </cell>
          <cell r="W7">
            <v>0</v>
          </cell>
          <cell r="X7" t="str">
            <v>ACTIVE</v>
          </cell>
        </row>
        <row r="8">
          <cell r="A8" t="str">
            <v>Address   House No.</v>
          </cell>
          <cell r="B8" t="str">
            <v xml:space="preserve">101A, Gnejna Mansions, Block G, Flat 2 </v>
          </cell>
          <cell r="F8">
            <v>46143</v>
          </cell>
          <cell r="G8">
            <v>4</v>
          </cell>
          <cell r="H8">
            <v>40</v>
          </cell>
          <cell r="I8">
            <v>18.666666666666668</v>
          </cell>
          <cell r="J8">
            <v>0</v>
          </cell>
          <cell r="K8">
            <v>193.50999999999996</v>
          </cell>
          <cell r="L8">
            <v>20</v>
          </cell>
          <cell r="M8">
            <v>0</v>
          </cell>
          <cell r="N8">
            <v>225.5</v>
          </cell>
          <cell r="O8">
            <v>-200</v>
          </cell>
          <cell r="P8">
            <v>-520.56999999999994</v>
          </cell>
          <cell r="Q8">
            <v>0</v>
          </cell>
          <cell r="R8">
            <v>0</v>
          </cell>
          <cell r="S8">
            <v>0</v>
          </cell>
          <cell r="T8">
            <v>31</v>
          </cell>
          <cell r="U8">
            <v>31</v>
          </cell>
          <cell r="V8">
            <v>0</v>
          </cell>
          <cell r="W8">
            <v>0</v>
          </cell>
          <cell r="X8" t="str">
            <v>ACTIVE</v>
          </cell>
        </row>
        <row r="9">
          <cell r="A9" t="str">
            <v>Str</v>
          </cell>
          <cell r="B9" t="str">
            <v>Triq Sant Antnin</v>
          </cell>
          <cell r="F9">
            <v>46174</v>
          </cell>
          <cell r="G9">
            <v>5</v>
          </cell>
          <cell r="H9">
            <v>40</v>
          </cell>
          <cell r="I9">
            <v>18.666666666666668</v>
          </cell>
          <cell r="J9">
            <v>0</v>
          </cell>
          <cell r="K9">
            <v>193.50999999999996</v>
          </cell>
          <cell r="L9">
            <v>20</v>
          </cell>
          <cell r="M9">
            <v>0</v>
          </cell>
          <cell r="N9">
            <v>225.5</v>
          </cell>
          <cell r="O9">
            <v>-160</v>
          </cell>
          <cell r="P9">
            <v>-680.56999999999994</v>
          </cell>
          <cell r="Q9">
            <v>0</v>
          </cell>
          <cell r="R9">
            <v>0</v>
          </cell>
          <cell r="S9">
            <v>0</v>
          </cell>
          <cell r="T9">
            <v>30</v>
          </cell>
          <cell r="U9">
            <v>30</v>
          </cell>
          <cell r="V9">
            <v>0</v>
          </cell>
          <cell r="W9">
            <v>0</v>
          </cell>
          <cell r="X9" t="str">
            <v>ACTIVE</v>
          </cell>
        </row>
        <row r="10">
          <cell r="A10" t="str">
            <v>Locality</v>
          </cell>
          <cell r="B10" t="str">
            <v>Zabbar</v>
          </cell>
          <cell r="F10">
            <v>46204</v>
          </cell>
          <cell r="G10">
            <v>4</v>
          </cell>
          <cell r="H10">
            <v>40</v>
          </cell>
          <cell r="I10">
            <v>18.666666666666668</v>
          </cell>
          <cell r="J10">
            <v>0</v>
          </cell>
          <cell r="K10">
            <v>193.50999999999996</v>
          </cell>
          <cell r="L10">
            <v>20</v>
          </cell>
          <cell r="M10">
            <v>0</v>
          </cell>
          <cell r="N10">
            <v>225.5</v>
          </cell>
          <cell r="O10">
            <v>-160</v>
          </cell>
          <cell r="P10">
            <v>-840.56999999999994</v>
          </cell>
          <cell r="Q10">
            <v>0</v>
          </cell>
          <cell r="R10">
            <v>0</v>
          </cell>
          <cell r="S10">
            <v>0</v>
          </cell>
          <cell r="T10">
            <v>31</v>
          </cell>
          <cell r="U10">
            <v>31</v>
          </cell>
          <cell r="V10">
            <v>0</v>
          </cell>
          <cell r="W10">
            <v>0</v>
          </cell>
          <cell r="X10" t="str">
            <v>ACTIVE</v>
          </cell>
        </row>
        <row r="11">
          <cell r="A11" t="str">
            <v xml:space="preserve">Postcode </v>
          </cell>
          <cell r="B11" t="str">
            <v>ZBR3472</v>
          </cell>
          <cell r="F11">
            <v>46235</v>
          </cell>
          <cell r="G11">
            <v>5</v>
          </cell>
          <cell r="H11">
            <v>40</v>
          </cell>
          <cell r="I11">
            <v>18.666666666666668</v>
          </cell>
          <cell r="J11">
            <v>0</v>
          </cell>
          <cell r="K11">
            <v>193.50999999999996</v>
          </cell>
          <cell r="L11">
            <v>20</v>
          </cell>
          <cell r="M11">
            <v>0</v>
          </cell>
          <cell r="N11">
            <v>225.5</v>
          </cell>
          <cell r="O11">
            <v>-200</v>
          </cell>
          <cell r="P11">
            <v>-1040.57</v>
          </cell>
          <cell r="Q11">
            <v>0</v>
          </cell>
          <cell r="R11">
            <v>0</v>
          </cell>
          <cell r="S11">
            <v>0</v>
          </cell>
          <cell r="T11">
            <v>31</v>
          </cell>
          <cell r="U11">
            <v>31</v>
          </cell>
          <cell r="V11">
            <v>0</v>
          </cell>
          <cell r="W11">
            <v>0</v>
          </cell>
          <cell r="X11" t="str">
            <v>ACTIVE</v>
          </cell>
        </row>
        <row r="12">
          <cell r="A12" t="str">
            <v>Telephone Number</v>
          </cell>
          <cell r="B12">
            <v>79953563</v>
          </cell>
          <cell r="F12">
            <v>46266</v>
          </cell>
          <cell r="G12">
            <v>4</v>
          </cell>
          <cell r="H12">
            <v>40</v>
          </cell>
          <cell r="I12">
            <v>18.666666666666668</v>
          </cell>
          <cell r="J12">
            <v>0</v>
          </cell>
          <cell r="K12">
            <v>193.50999999999996</v>
          </cell>
          <cell r="L12">
            <v>20</v>
          </cell>
          <cell r="M12">
            <v>0</v>
          </cell>
          <cell r="N12">
            <v>225.5</v>
          </cell>
          <cell r="O12">
            <v>-160</v>
          </cell>
          <cell r="P12">
            <v>-1200.57</v>
          </cell>
          <cell r="Q12">
            <v>0</v>
          </cell>
          <cell r="R12">
            <v>0</v>
          </cell>
          <cell r="S12">
            <v>0</v>
          </cell>
          <cell r="T12">
            <v>30</v>
          </cell>
          <cell r="U12">
            <v>30</v>
          </cell>
          <cell r="V12">
            <v>0</v>
          </cell>
          <cell r="W12">
            <v>0</v>
          </cell>
          <cell r="X12" t="str">
            <v>ACTIVE</v>
          </cell>
        </row>
        <row r="13">
          <cell r="A13" t="str">
            <v>Payee ID CARD No./IT Reg No.</v>
          </cell>
          <cell r="B13" t="str">
            <v>57896M</v>
          </cell>
          <cell r="F13">
            <v>46296</v>
          </cell>
          <cell r="G13">
            <v>4</v>
          </cell>
          <cell r="H13">
            <v>40</v>
          </cell>
          <cell r="I13">
            <v>18.666666666666668</v>
          </cell>
          <cell r="J13">
            <v>0</v>
          </cell>
          <cell r="K13">
            <v>193.50999999999996</v>
          </cell>
          <cell r="L13">
            <v>20</v>
          </cell>
          <cell r="M13">
            <v>0</v>
          </cell>
          <cell r="N13">
            <v>225.5</v>
          </cell>
          <cell r="O13">
            <v>-200</v>
          </cell>
          <cell r="P13">
            <v>-1400.57</v>
          </cell>
          <cell r="Q13">
            <v>0</v>
          </cell>
          <cell r="R13">
            <v>0</v>
          </cell>
          <cell r="S13">
            <v>0</v>
          </cell>
          <cell r="T13">
            <v>31</v>
          </cell>
          <cell r="U13">
            <v>31</v>
          </cell>
          <cell r="V13">
            <v>0</v>
          </cell>
          <cell r="W13">
            <v>0</v>
          </cell>
          <cell r="X13" t="str">
            <v>ACTIVE</v>
          </cell>
        </row>
        <row r="14">
          <cell r="A14" t="str">
            <v>Payee Social Security No.</v>
          </cell>
          <cell r="B14" t="str">
            <v>C49311131</v>
          </cell>
          <cell r="F14">
            <v>46327</v>
          </cell>
          <cell r="G14">
            <v>5</v>
          </cell>
          <cell r="H14">
            <v>40</v>
          </cell>
          <cell r="I14">
            <v>18.666666666666668</v>
          </cell>
          <cell r="J14">
            <v>0</v>
          </cell>
          <cell r="K14">
            <v>193.50999999999996</v>
          </cell>
          <cell r="L14">
            <v>20</v>
          </cell>
          <cell r="M14">
            <v>0</v>
          </cell>
          <cell r="N14">
            <v>225.5</v>
          </cell>
          <cell r="O14">
            <v>-160</v>
          </cell>
          <cell r="P14">
            <v>-1560.57</v>
          </cell>
          <cell r="Q14">
            <v>0</v>
          </cell>
          <cell r="R14">
            <v>0</v>
          </cell>
          <cell r="S14">
            <v>0</v>
          </cell>
          <cell r="T14">
            <v>30</v>
          </cell>
          <cell r="U14">
            <v>30</v>
          </cell>
          <cell r="V14">
            <v>0</v>
          </cell>
          <cell r="W14">
            <v>0</v>
          </cell>
          <cell r="X14" t="str">
            <v>ACTIVE</v>
          </cell>
        </row>
        <row r="15">
          <cell r="A15" t="str">
            <v>Spouse's ID Card/IT Reg no.</v>
          </cell>
          <cell r="B15" t="str">
            <v>155392M</v>
          </cell>
          <cell r="F15">
            <v>46357</v>
          </cell>
          <cell r="G15">
            <v>4</v>
          </cell>
          <cell r="H15">
            <v>40</v>
          </cell>
          <cell r="I15">
            <v>18.666666666666668</v>
          </cell>
          <cell r="J15">
            <v>0</v>
          </cell>
          <cell r="K15">
            <v>193.50999999999996</v>
          </cell>
          <cell r="L15">
            <v>20</v>
          </cell>
          <cell r="M15">
            <v>0</v>
          </cell>
          <cell r="N15">
            <v>225.5</v>
          </cell>
          <cell r="O15">
            <v>-160</v>
          </cell>
          <cell r="P15">
            <v>-1720.57</v>
          </cell>
          <cell r="Q15">
            <v>0</v>
          </cell>
          <cell r="R15">
            <v>0</v>
          </cell>
          <cell r="S15">
            <v>0</v>
          </cell>
          <cell r="T15">
            <v>31</v>
          </cell>
          <cell r="U15">
            <v>31</v>
          </cell>
          <cell r="V15">
            <v>0</v>
          </cell>
          <cell r="W15">
            <v>0</v>
          </cell>
          <cell r="X15" t="str">
            <v>ACTIVE</v>
          </cell>
        </row>
        <row r="16">
          <cell r="A16" t="str">
            <v>IBAN</v>
          </cell>
          <cell r="B16" t="str">
            <v>MT23VALL22013000000040019337517</v>
          </cell>
          <cell r="F16" t="str">
            <v>TOTALS</v>
          </cell>
          <cell r="G16">
            <v>52</v>
          </cell>
          <cell r="I16">
            <v>223.99999999999997</v>
          </cell>
          <cell r="J16">
            <v>51.99</v>
          </cell>
          <cell r="K16">
            <v>193.50999999999996</v>
          </cell>
          <cell r="L16">
            <v>240</v>
          </cell>
          <cell r="M16">
            <v>14.5</v>
          </cell>
          <cell r="N16">
            <v>225.5</v>
          </cell>
          <cell r="P16">
            <v>-1720.57</v>
          </cell>
          <cell r="T16">
            <v>365</v>
          </cell>
          <cell r="V16">
            <v>0</v>
          </cell>
        </row>
        <row r="17">
          <cell r="A17" t="str">
            <v>Email</v>
          </cell>
          <cell r="B17" t="str">
            <v>rebeccalbani@icloud.com</v>
          </cell>
          <cell r="H17" t="str">
            <v>Balance to Pay/ Carry forward, Input at end of page</v>
          </cell>
          <cell r="K17">
            <v>193.50999999999996</v>
          </cell>
          <cell r="L17" t="str">
            <v>If paying part/ all of these please use table under December entry table</v>
          </cell>
          <cell r="P17">
            <v>-1720.57</v>
          </cell>
        </row>
        <row r="18">
          <cell r="A18" t="str">
            <v>DOB</v>
          </cell>
          <cell r="B18">
            <v>35094</v>
          </cell>
        </row>
        <row r="19">
          <cell r="A19" t="str">
            <v>date of First Employment</v>
          </cell>
          <cell r="B19">
            <v>45173</v>
          </cell>
          <cell r="F19" t="str">
            <v>Mallan_Albani Rebecca 57896M</v>
          </cell>
          <cell r="G19" t="str">
            <v>PAR1</v>
          </cell>
          <cell r="H19" t="str">
            <v>8. Dental Assistant</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8. Dental Assistant</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G21">
            <v>18.559999999999999</v>
          </cell>
          <cell r="H21">
            <v>20.85</v>
          </cell>
          <cell r="I21">
            <v>38.549999999999997</v>
          </cell>
          <cell r="J21">
            <v>38.799999999999997</v>
          </cell>
          <cell r="K21">
            <v>41.24</v>
          </cell>
          <cell r="L21">
            <v>158</v>
          </cell>
          <cell r="O21" t="str">
            <v>to</v>
          </cell>
          <cell r="R21" t="str">
            <v xml:space="preserve">Mondays </v>
          </cell>
        </row>
        <row r="22">
          <cell r="A22" t="str">
            <v>FS4 Status</v>
          </cell>
          <cell r="B22" t="str">
            <v>PAR1</v>
          </cell>
          <cell r="F22" t="str">
            <v>Overtime Hrs</v>
          </cell>
          <cell r="L22">
            <v>0</v>
          </cell>
          <cell r="O22" t="str">
            <v>to</v>
          </cell>
          <cell r="R22">
            <v>4</v>
          </cell>
          <cell r="V22" t="str">
            <v>TOT</v>
          </cell>
          <cell r="W22">
            <v>0</v>
          </cell>
        </row>
        <row r="23">
          <cell r="A23" t="str">
            <v>Hours agreed at start contract</v>
          </cell>
          <cell r="B23">
            <v>40</v>
          </cell>
          <cell r="F23" t="str">
            <v>VL</v>
          </cell>
          <cell r="G23">
            <v>20</v>
          </cell>
          <cell r="H23">
            <v>4</v>
          </cell>
          <cell r="J23">
            <v>3.49</v>
          </cell>
          <cell r="L23">
            <v>27.490000000000002</v>
          </cell>
          <cell r="R23" t="str">
            <v>SATURDAYS</v>
          </cell>
        </row>
        <row r="24">
          <cell r="A24" t="str">
            <v xml:space="preserve">TERM date This </v>
          </cell>
          <cell r="B24">
            <v>46387</v>
          </cell>
          <cell r="F24" t="str">
            <v>Unpaid Leave Hrs</v>
          </cell>
          <cell r="L24">
            <v>0</v>
          </cell>
          <cell r="R24">
            <v>5</v>
          </cell>
        </row>
        <row r="25">
          <cell r="F25" t="str">
            <v>SL</v>
          </cell>
          <cell r="H25">
            <v>14.5</v>
          </cell>
          <cell r="L25">
            <v>14.5</v>
          </cell>
        </row>
        <row r="26">
          <cell r="A26" t="str">
            <v>YEAR ENDING</v>
          </cell>
          <cell r="B26">
            <v>46387</v>
          </cell>
          <cell r="F26">
            <v>46023</v>
          </cell>
          <cell r="G26" t="str">
            <v>NEW LEAVE ENTITLEMENT</v>
          </cell>
          <cell r="H26" t="str">
            <v>VL = 218   OF   245</v>
          </cell>
          <cell r="I26" t="str">
            <v>SL = 93.95 %</v>
          </cell>
          <cell r="J26" t="str">
            <v>BANKED = 
0 Hrs</v>
          </cell>
          <cell r="K26" t="str">
            <v>ADJ</v>
          </cell>
          <cell r="L26">
            <v>0</v>
          </cell>
        </row>
        <row r="27">
          <cell r="F27">
            <v>2023006</v>
          </cell>
          <cell r="G27">
            <v>18.666666666666668</v>
          </cell>
          <cell r="H27">
            <v>46023</v>
          </cell>
          <cell r="I27" t="str">
            <v>to</v>
          </cell>
          <cell r="J27">
            <v>46053</v>
          </cell>
          <cell r="K27" t="str">
            <v>Banked This Month</v>
          </cell>
          <cell r="L27">
            <v>-9.9999999999980105E-3</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Mallan_Albani Rebecca 57896M</v>
          </cell>
          <cell r="G29" t="str">
            <v>PAR1</v>
          </cell>
          <cell r="H29" t="str">
            <v>8. Dental Assistant</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G31">
            <v>41.94</v>
          </cell>
          <cell r="H31">
            <v>14.83</v>
          </cell>
          <cell r="I31">
            <v>34.74</v>
          </cell>
          <cell r="J31">
            <v>43.43</v>
          </cell>
          <cell r="L31">
            <v>134.94</v>
          </cell>
          <cell r="O31" t="str">
            <v>to</v>
          </cell>
          <cell r="R31" t="str">
            <v xml:space="preserve">Mondays </v>
          </cell>
        </row>
        <row r="32">
          <cell r="F32" t="str">
            <v>Overtime Hrs</v>
          </cell>
          <cell r="L32">
            <v>0</v>
          </cell>
          <cell r="O32" t="str">
            <v>to</v>
          </cell>
          <cell r="R32">
            <v>4</v>
          </cell>
          <cell r="V32" t="str">
            <v>TOT</v>
          </cell>
          <cell r="W32">
            <v>0</v>
          </cell>
        </row>
        <row r="33">
          <cell r="F33" t="str">
            <v>VL</v>
          </cell>
          <cell r="H33">
            <v>23</v>
          </cell>
          <cell r="I33">
            <v>1.5</v>
          </cell>
          <cell r="L33">
            <v>24.5</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193   OF   245</v>
          </cell>
          <cell r="I36" t="str">
            <v>SL = 93.95 %</v>
          </cell>
          <cell r="J36" t="str">
            <v>BANKED = 
-0.57 Hrs</v>
          </cell>
          <cell r="K36" t="str">
            <v>ADJ</v>
          </cell>
          <cell r="L36">
            <v>0</v>
          </cell>
        </row>
        <row r="37">
          <cell r="F37">
            <v>2023006</v>
          </cell>
          <cell r="G37">
            <v>18.666666666666668</v>
          </cell>
          <cell r="H37">
            <v>46054</v>
          </cell>
          <cell r="I37" t="str">
            <v>to</v>
          </cell>
          <cell r="J37">
            <v>46081</v>
          </cell>
          <cell r="K37" t="str">
            <v>Banked This Month</v>
          </cell>
          <cell r="L37">
            <v>-0.56000000000000227</v>
          </cell>
          <cell r="M37" t="str">
            <v>UNPAID WEEKS</v>
          </cell>
          <cell r="N37">
            <v>0</v>
          </cell>
          <cell r="O37">
            <v>1</v>
          </cell>
          <cell r="P37" t="str">
            <v>Maternity</v>
          </cell>
          <cell r="Q37">
            <v>0</v>
          </cell>
        </row>
        <row r="39">
          <cell r="F39" t="str">
            <v>Mallan_Albani Rebecca 57896M</v>
          </cell>
          <cell r="G39" t="str">
            <v>PAR1</v>
          </cell>
          <cell r="H39" t="str">
            <v>8. Dental Assistant</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2">
        <row r="1">
          <cell r="A1" t="str">
            <v>EMP NO&gt;</v>
          </cell>
          <cell r="B1">
            <v>2023007</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AHaneena</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7</v>
          </cell>
          <cell r="P3">
            <v>0</v>
          </cell>
          <cell r="T3">
            <v>92</v>
          </cell>
        </row>
        <row r="4">
          <cell r="A4" t="str">
            <v>Period</v>
          </cell>
          <cell r="B4" t="str">
            <v>From</v>
          </cell>
          <cell r="C4" t="str">
            <v>To</v>
          </cell>
          <cell r="F4">
            <v>46023</v>
          </cell>
          <cell r="G4">
            <v>4</v>
          </cell>
          <cell r="H4">
            <v>40</v>
          </cell>
          <cell r="I4">
            <v>18.666666666666668</v>
          </cell>
          <cell r="J4">
            <v>13.58</v>
          </cell>
          <cell r="K4">
            <v>217.41999999999996</v>
          </cell>
          <cell r="L4">
            <v>20</v>
          </cell>
          <cell r="M4">
            <v>0</v>
          </cell>
          <cell r="N4">
            <v>240</v>
          </cell>
          <cell r="O4">
            <v>1.5987211554602254E-14</v>
          </cell>
          <cell r="P4">
            <v>1.5987211554602254E-14</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0</v>
          </cell>
          <cell r="K5">
            <v>217.41999999999996</v>
          </cell>
          <cell r="L5">
            <v>20</v>
          </cell>
          <cell r="M5">
            <v>8</v>
          </cell>
          <cell r="N5">
            <v>232</v>
          </cell>
          <cell r="O5">
            <v>4.4700000000000273</v>
          </cell>
          <cell r="P5">
            <v>4.4700000000000433</v>
          </cell>
          <cell r="Q5">
            <v>0</v>
          </cell>
          <cell r="R5">
            <v>0</v>
          </cell>
          <cell r="S5">
            <v>0</v>
          </cell>
          <cell r="T5">
            <v>28</v>
          </cell>
          <cell r="U5">
            <v>28</v>
          </cell>
          <cell r="V5">
            <v>0</v>
          </cell>
          <cell r="W5">
            <v>0</v>
          </cell>
          <cell r="X5" t="str">
            <v>ACTIVE</v>
          </cell>
        </row>
        <row r="6">
          <cell r="A6" t="str">
            <v>Surname</v>
          </cell>
          <cell r="B6" t="str">
            <v>Haneena</v>
          </cell>
          <cell r="F6">
            <v>46082</v>
          </cell>
          <cell r="G6">
            <v>5</v>
          </cell>
          <cell r="H6">
            <v>40</v>
          </cell>
          <cell r="I6">
            <v>18.666666666666668</v>
          </cell>
          <cell r="J6">
            <v>0</v>
          </cell>
          <cell r="K6">
            <v>217.41999999999996</v>
          </cell>
          <cell r="L6">
            <v>20</v>
          </cell>
          <cell r="M6">
            <v>0</v>
          </cell>
          <cell r="N6">
            <v>232</v>
          </cell>
          <cell r="O6">
            <v>-160</v>
          </cell>
          <cell r="P6">
            <v>-155.52999999999994</v>
          </cell>
          <cell r="Q6">
            <v>0</v>
          </cell>
          <cell r="R6">
            <v>0</v>
          </cell>
          <cell r="S6">
            <v>0</v>
          </cell>
          <cell r="T6">
            <v>31</v>
          </cell>
          <cell r="U6">
            <v>31</v>
          </cell>
          <cell r="V6">
            <v>0</v>
          </cell>
          <cell r="W6">
            <v>0</v>
          </cell>
          <cell r="X6" t="str">
            <v>ACTIVE</v>
          </cell>
        </row>
        <row r="7">
          <cell r="A7" t="str">
            <v>Name</v>
          </cell>
          <cell r="B7" t="str">
            <v>Aishathul</v>
          </cell>
          <cell r="F7">
            <v>46113</v>
          </cell>
          <cell r="G7">
            <v>4</v>
          </cell>
          <cell r="H7">
            <v>40</v>
          </cell>
          <cell r="I7">
            <v>18.666666666666668</v>
          </cell>
          <cell r="J7">
            <v>0</v>
          </cell>
          <cell r="K7">
            <v>217.41999999999996</v>
          </cell>
          <cell r="L7">
            <v>20</v>
          </cell>
          <cell r="M7">
            <v>0</v>
          </cell>
          <cell r="N7">
            <v>232</v>
          </cell>
          <cell r="O7">
            <v>-160</v>
          </cell>
          <cell r="P7">
            <v>-315.52999999999997</v>
          </cell>
          <cell r="Q7">
            <v>0</v>
          </cell>
          <cell r="R7">
            <v>0</v>
          </cell>
          <cell r="S7">
            <v>0</v>
          </cell>
          <cell r="T7">
            <v>30</v>
          </cell>
          <cell r="U7">
            <v>30</v>
          </cell>
          <cell r="V7">
            <v>0</v>
          </cell>
          <cell r="W7">
            <v>0</v>
          </cell>
          <cell r="X7" t="str">
            <v>ACTIVE</v>
          </cell>
        </row>
        <row r="8">
          <cell r="A8" t="str">
            <v>Address   House No.</v>
          </cell>
          <cell r="B8" t="str">
            <v>Alagona Court, Flat 3,</v>
          </cell>
          <cell r="F8">
            <v>46143</v>
          </cell>
          <cell r="G8">
            <v>4</v>
          </cell>
          <cell r="H8">
            <v>40</v>
          </cell>
          <cell r="I8">
            <v>18.666666666666668</v>
          </cell>
          <cell r="J8">
            <v>0</v>
          </cell>
          <cell r="K8">
            <v>217.41999999999996</v>
          </cell>
          <cell r="L8">
            <v>20</v>
          </cell>
          <cell r="M8">
            <v>0</v>
          </cell>
          <cell r="N8">
            <v>232</v>
          </cell>
          <cell r="O8">
            <v>-200</v>
          </cell>
          <cell r="P8">
            <v>-515.53</v>
          </cell>
          <cell r="Q8">
            <v>0</v>
          </cell>
          <cell r="R8">
            <v>0</v>
          </cell>
          <cell r="S8">
            <v>0</v>
          </cell>
          <cell r="T8">
            <v>31</v>
          </cell>
          <cell r="U8">
            <v>31</v>
          </cell>
          <cell r="V8">
            <v>0</v>
          </cell>
          <cell r="W8">
            <v>0</v>
          </cell>
          <cell r="X8" t="str">
            <v>ACTIVE</v>
          </cell>
        </row>
        <row r="9">
          <cell r="A9" t="str">
            <v>Str</v>
          </cell>
          <cell r="B9" t="str">
            <v>Triq Borg</v>
          </cell>
          <cell r="F9">
            <v>46174</v>
          </cell>
          <cell r="G9">
            <v>5</v>
          </cell>
          <cell r="H9">
            <v>40</v>
          </cell>
          <cell r="I9">
            <v>18.666666666666668</v>
          </cell>
          <cell r="J9">
            <v>0</v>
          </cell>
          <cell r="K9">
            <v>217.41999999999996</v>
          </cell>
          <cell r="L9">
            <v>20</v>
          </cell>
          <cell r="M9">
            <v>0</v>
          </cell>
          <cell r="N9">
            <v>232</v>
          </cell>
          <cell r="O9">
            <v>-160</v>
          </cell>
          <cell r="P9">
            <v>-675.53</v>
          </cell>
          <cell r="Q9">
            <v>0</v>
          </cell>
          <cell r="R9">
            <v>0</v>
          </cell>
          <cell r="S9">
            <v>0</v>
          </cell>
          <cell r="T9">
            <v>30</v>
          </cell>
          <cell r="U9">
            <v>30</v>
          </cell>
          <cell r="V9">
            <v>0</v>
          </cell>
          <cell r="W9">
            <v>0</v>
          </cell>
          <cell r="X9" t="str">
            <v>ACTIVE</v>
          </cell>
        </row>
        <row r="10">
          <cell r="A10" t="str">
            <v>Locality</v>
          </cell>
          <cell r="B10" t="str">
            <v>Fleur-De-Lys Birkirkara</v>
          </cell>
          <cell r="F10">
            <v>46204</v>
          </cell>
          <cell r="G10">
            <v>4</v>
          </cell>
          <cell r="H10">
            <v>40</v>
          </cell>
          <cell r="I10">
            <v>18.666666666666668</v>
          </cell>
          <cell r="J10">
            <v>0</v>
          </cell>
          <cell r="K10">
            <v>217.41999999999996</v>
          </cell>
          <cell r="L10">
            <v>20</v>
          </cell>
          <cell r="M10">
            <v>0</v>
          </cell>
          <cell r="N10">
            <v>232</v>
          </cell>
          <cell r="O10">
            <v>-160</v>
          </cell>
          <cell r="P10">
            <v>-835.53</v>
          </cell>
          <cell r="Q10">
            <v>0</v>
          </cell>
          <cell r="R10">
            <v>0</v>
          </cell>
          <cell r="S10">
            <v>0</v>
          </cell>
          <cell r="T10">
            <v>31</v>
          </cell>
          <cell r="U10">
            <v>31</v>
          </cell>
          <cell r="V10">
            <v>0</v>
          </cell>
          <cell r="W10">
            <v>0</v>
          </cell>
          <cell r="X10" t="str">
            <v>ACTIVE</v>
          </cell>
        </row>
        <row r="11">
          <cell r="A11" t="str">
            <v xml:space="preserve">Postcode </v>
          </cell>
          <cell r="B11" t="str">
            <v>BKR4961</v>
          </cell>
          <cell r="F11">
            <v>46235</v>
          </cell>
          <cell r="G11">
            <v>5</v>
          </cell>
          <cell r="H11">
            <v>40</v>
          </cell>
          <cell r="I11">
            <v>18.666666666666668</v>
          </cell>
          <cell r="J11">
            <v>0</v>
          </cell>
          <cell r="K11">
            <v>217.41999999999996</v>
          </cell>
          <cell r="L11">
            <v>20</v>
          </cell>
          <cell r="M11">
            <v>0</v>
          </cell>
          <cell r="N11">
            <v>232</v>
          </cell>
          <cell r="O11">
            <v>-200</v>
          </cell>
          <cell r="P11">
            <v>-1035.53</v>
          </cell>
          <cell r="Q11">
            <v>0</v>
          </cell>
          <cell r="R11">
            <v>0</v>
          </cell>
          <cell r="S11">
            <v>0</v>
          </cell>
          <cell r="T11">
            <v>31</v>
          </cell>
          <cell r="U11">
            <v>31</v>
          </cell>
          <cell r="V11">
            <v>0</v>
          </cell>
          <cell r="W11">
            <v>0</v>
          </cell>
          <cell r="X11" t="str">
            <v>ACTIVE</v>
          </cell>
        </row>
        <row r="12">
          <cell r="A12" t="str">
            <v>Telephone Number</v>
          </cell>
          <cell r="B12">
            <v>79522404</v>
          </cell>
          <cell r="F12">
            <v>46266</v>
          </cell>
          <cell r="G12">
            <v>4</v>
          </cell>
          <cell r="H12">
            <v>40</v>
          </cell>
          <cell r="I12">
            <v>18.666666666666668</v>
          </cell>
          <cell r="J12">
            <v>0</v>
          </cell>
          <cell r="K12">
            <v>217.41999999999996</v>
          </cell>
          <cell r="L12">
            <v>20</v>
          </cell>
          <cell r="M12">
            <v>0</v>
          </cell>
          <cell r="N12">
            <v>232</v>
          </cell>
          <cell r="O12">
            <v>-160</v>
          </cell>
          <cell r="P12">
            <v>-1195.53</v>
          </cell>
          <cell r="Q12">
            <v>0</v>
          </cell>
          <cell r="R12">
            <v>0</v>
          </cell>
          <cell r="S12">
            <v>0</v>
          </cell>
          <cell r="T12">
            <v>30</v>
          </cell>
          <cell r="U12">
            <v>30</v>
          </cell>
          <cell r="V12">
            <v>0</v>
          </cell>
          <cell r="W12">
            <v>0</v>
          </cell>
          <cell r="X12" t="str">
            <v>ACTIVE</v>
          </cell>
        </row>
        <row r="13">
          <cell r="A13" t="str">
            <v>Payee ID CARD No./IT Reg No.</v>
          </cell>
          <cell r="B13" t="str">
            <v>395389A</v>
          </cell>
          <cell r="F13">
            <v>46296</v>
          </cell>
          <cell r="G13">
            <v>4</v>
          </cell>
          <cell r="H13">
            <v>40</v>
          </cell>
          <cell r="I13">
            <v>18.666666666666668</v>
          </cell>
          <cell r="J13">
            <v>0</v>
          </cell>
          <cell r="K13">
            <v>217.41999999999996</v>
          </cell>
          <cell r="L13">
            <v>20</v>
          </cell>
          <cell r="M13">
            <v>0</v>
          </cell>
          <cell r="N13">
            <v>232</v>
          </cell>
          <cell r="O13">
            <v>-200</v>
          </cell>
          <cell r="P13">
            <v>-1395.53</v>
          </cell>
          <cell r="Q13">
            <v>0</v>
          </cell>
          <cell r="R13">
            <v>0</v>
          </cell>
          <cell r="S13">
            <v>0</v>
          </cell>
          <cell r="T13">
            <v>31</v>
          </cell>
          <cell r="U13">
            <v>31</v>
          </cell>
          <cell r="V13">
            <v>0</v>
          </cell>
          <cell r="W13">
            <v>0</v>
          </cell>
          <cell r="X13" t="str">
            <v>ACTIVE</v>
          </cell>
        </row>
        <row r="14">
          <cell r="A14" t="str">
            <v>Payee Social Security No.</v>
          </cell>
          <cell r="B14" t="str">
            <v>A75221384</v>
          </cell>
          <cell r="F14">
            <v>46327</v>
          </cell>
          <cell r="G14">
            <v>5</v>
          </cell>
          <cell r="H14">
            <v>40</v>
          </cell>
          <cell r="I14">
            <v>18.666666666666668</v>
          </cell>
          <cell r="J14">
            <v>0</v>
          </cell>
          <cell r="K14">
            <v>217.41999999999996</v>
          </cell>
          <cell r="L14">
            <v>20</v>
          </cell>
          <cell r="M14">
            <v>0</v>
          </cell>
          <cell r="N14">
            <v>232</v>
          </cell>
          <cell r="O14">
            <v>-160</v>
          </cell>
          <cell r="P14">
            <v>-1555.53</v>
          </cell>
          <cell r="Q14">
            <v>0</v>
          </cell>
          <cell r="R14">
            <v>0</v>
          </cell>
          <cell r="S14">
            <v>0</v>
          </cell>
          <cell r="T14">
            <v>30</v>
          </cell>
          <cell r="U14">
            <v>30</v>
          </cell>
          <cell r="V14">
            <v>0</v>
          </cell>
          <cell r="W14">
            <v>0</v>
          </cell>
          <cell r="X14" t="str">
            <v>ACTIVE</v>
          </cell>
        </row>
        <row r="15">
          <cell r="A15" t="str">
            <v>Spouse's ID Card/IT Reg no.</v>
          </cell>
          <cell r="B15" t="str">
            <v>218673A</v>
          </cell>
          <cell r="F15">
            <v>46357</v>
          </cell>
          <cell r="G15">
            <v>4</v>
          </cell>
          <cell r="H15">
            <v>40</v>
          </cell>
          <cell r="I15">
            <v>18.666666666666668</v>
          </cell>
          <cell r="J15">
            <v>0</v>
          </cell>
          <cell r="K15">
            <v>217.41999999999996</v>
          </cell>
          <cell r="L15">
            <v>20</v>
          </cell>
          <cell r="M15">
            <v>0</v>
          </cell>
          <cell r="N15">
            <v>232</v>
          </cell>
          <cell r="O15">
            <v>-160</v>
          </cell>
          <cell r="P15">
            <v>-1715.53</v>
          </cell>
          <cell r="Q15">
            <v>0</v>
          </cell>
          <cell r="R15">
            <v>0</v>
          </cell>
          <cell r="S15">
            <v>0</v>
          </cell>
          <cell r="T15">
            <v>31</v>
          </cell>
          <cell r="U15">
            <v>31</v>
          </cell>
          <cell r="V15">
            <v>0</v>
          </cell>
          <cell r="W15">
            <v>0</v>
          </cell>
          <cell r="X15" t="str">
            <v>ACTIVE</v>
          </cell>
        </row>
        <row r="16">
          <cell r="A16" t="str">
            <v>IBAN</v>
          </cell>
          <cell r="B16" t="str">
            <v>MT37VALL22013000000050020334861</v>
          </cell>
          <cell r="F16" t="str">
            <v>TOTALS</v>
          </cell>
          <cell r="G16">
            <v>52</v>
          </cell>
          <cell r="I16">
            <v>223.99999999999997</v>
          </cell>
          <cell r="J16">
            <v>13.58</v>
          </cell>
          <cell r="K16">
            <v>217.41999999999996</v>
          </cell>
          <cell r="L16">
            <v>240</v>
          </cell>
          <cell r="M16">
            <v>8</v>
          </cell>
          <cell r="N16">
            <v>232</v>
          </cell>
          <cell r="P16">
            <v>-1715.53</v>
          </cell>
          <cell r="T16">
            <v>365</v>
          </cell>
          <cell r="V16">
            <v>0</v>
          </cell>
        </row>
        <row r="17">
          <cell r="A17" t="str">
            <v>Email</v>
          </cell>
          <cell r="B17" t="str">
            <v>hananaannu@gmail.com</v>
          </cell>
          <cell r="H17" t="str">
            <v>Balance to Pay/ Carry forward, Input at end of page</v>
          </cell>
          <cell r="K17">
            <v>217.41999999999996</v>
          </cell>
          <cell r="L17" t="str">
            <v>If paying part/ all of these please use table under December entry table</v>
          </cell>
          <cell r="P17">
            <v>-1715.53</v>
          </cell>
        </row>
        <row r="18">
          <cell r="A18" t="str">
            <v>DOB</v>
          </cell>
          <cell r="B18">
            <v>36248</v>
          </cell>
        </row>
        <row r="19">
          <cell r="A19" t="str">
            <v>date of First Employment</v>
          </cell>
          <cell r="B19">
            <v>45201</v>
          </cell>
          <cell r="F19" t="str">
            <v>Haneena Aishathul 395389A</v>
          </cell>
          <cell r="G19" t="str">
            <v>SIN</v>
          </cell>
          <cell r="H19" t="str">
            <v>7. Sup. Dental Assistant</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7. Sup. Dental Assistant</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G21">
            <v>22.49</v>
          </cell>
          <cell r="H21">
            <v>43.2</v>
          </cell>
          <cell r="I21">
            <v>40.14</v>
          </cell>
          <cell r="J21">
            <v>44.63</v>
          </cell>
          <cell r="K21">
            <v>35.96</v>
          </cell>
          <cell r="L21">
            <v>186.42000000000002</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G23">
            <v>13.58</v>
          </cell>
          <cell r="L23">
            <v>13.58</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217   OF   231</v>
          </cell>
          <cell r="I26" t="str">
            <v>SL = 100 %</v>
          </cell>
          <cell r="J26" t="str">
            <v>BANKED = 
0 Hrs</v>
          </cell>
          <cell r="K26" t="str">
            <v>ADJ</v>
          </cell>
          <cell r="L26">
            <v>0</v>
          </cell>
        </row>
        <row r="27">
          <cell r="F27">
            <v>2023007</v>
          </cell>
          <cell r="G27">
            <v>18.666666666666668</v>
          </cell>
          <cell r="H27">
            <v>46023</v>
          </cell>
          <cell r="I27" t="str">
            <v>to</v>
          </cell>
          <cell r="J27">
            <v>46053</v>
          </cell>
          <cell r="K27" t="str">
            <v>Banked This Month</v>
          </cell>
          <cell r="L27">
            <v>1.5987211554602254E-14</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Haneena Aishathul 395389A</v>
          </cell>
          <cell r="G29" t="str">
            <v>SIN</v>
          </cell>
          <cell r="H29" t="str">
            <v>7. Sup. Dental Assistant</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G31">
            <v>39.299999999999997</v>
          </cell>
          <cell r="H31">
            <v>34.130000000000003</v>
          </cell>
          <cell r="I31">
            <v>43.68</v>
          </cell>
          <cell r="J31">
            <v>39.36</v>
          </cell>
          <cell r="L31">
            <v>156.47000000000003</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H35">
            <v>8</v>
          </cell>
          <cell r="L35">
            <v>8</v>
          </cell>
        </row>
        <row r="36">
          <cell r="F36">
            <v>46054</v>
          </cell>
          <cell r="G36" t="str">
            <v>NEW LEAVE ENTITLEMENT</v>
          </cell>
          <cell r="H36" t="str">
            <v>VL = 217   OF   231</v>
          </cell>
          <cell r="I36" t="str">
            <v>SL = 96.66 %</v>
          </cell>
          <cell r="J36" t="str">
            <v>BANKED = 
4.47 Hrs</v>
          </cell>
          <cell r="K36" t="str">
            <v>ADJ</v>
          </cell>
          <cell r="L36">
            <v>0</v>
          </cell>
        </row>
        <row r="37">
          <cell r="F37">
            <v>2023007</v>
          </cell>
          <cell r="G37">
            <v>18.666666666666668</v>
          </cell>
          <cell r="H37">
            <v>46054</v>
          </cell>
          <cell r="I37" t="str">
            <v>to</v>
          </cell>
          <cell r="J37">
            <v>46081</v>
          </cell>
          <cell r="K37" t="str">
            <v>Banked This Month</v>
          </cell>
          <cell r="L37">
            <v>4.4700000000000273</v>
          </cell>
          <cell r="M37" t="str">
            <v>UNPAID WEEKS</v>
          </cell>
          <cell r="N37">
            <v>0</v>
          </cell>
          <cell r="O37">
            <v>1</v>
          </cell>
          <cell r="P37" t="str">
            <v>Maternity</v>
          </cell>
          <cell r="Q37">
            <v>0</v>
          </cell>
        </row>
        <row r="39">
          <cell r="F39" t="str">
            <v>Haneena Aishathul 395389A</v>
          </cell>
          <cell r="G39" t="str">
            <v>SIN</v>
          </cell>
          <cell r="H39" t="str">
            <v>7. Sup. Dental Assistant</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3">
        <row r="1">
          <cell r="A1" t="str">
            <v>EMP NO&gt;</v>
          </cell>
          <cell r="B1">
            <v>2023008</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ELama</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40</v>
          </cell>
          <cell r="I4">
            <v>18.666666666666668</v>
          </cell>
          <cell r="J4">
            <v>56.900000000000006</v>
          </cell>
          <cell r="K4">
            <v>167.09999999999997</v>
          </cell>
          <cell r="L4">
            <v>20</v>
          </cell>
          <cell r="M4">
            <v>0</v>
          </cell>
          <cell r="N4">
            <v>240</v>
          </cell>
          <cell r="O4">
            <v>0</v>
          </cell>
          <cell r="P4">
            <v>0</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28</v>
          </cell>
          <cell r="K5">
            <v>139.09999999999997</v>
          </cell>
          <cell r="L5">
            <v>20</v>
          </cell>
          <cell r="M5">
            <v>0</v>
          </cell>
          <cell r="N5">
            <v>240</v>
          </cell>
          <cell r="O5">
            <v>0.15000000000000568</v>
          </cell>
          <cell r="P5">
            <v>0.15000000000000568</v>
          </cell>
          <cell r="Q5">
            <v>0</v>
          </cell>
          <cell r="R5">
            <v>0</v>
          </cell>
          <cell r="S5">
            <v>0</v>
          </cell>
          <cell r="T5">
            <v>28</v>
          </cell>
          <cell r="U5">
            <v>28</v>
          </cell>
          <cell r="V5">
            <v>0</v>
          </cell>
          <cell r="W5">
            <v>0</v>
          </cell>
          <cell r="X5" t="str">
            <v>ACTIVE</v>
          </cell>
        </row>
        <row r="6">
          <cell r="A6" t="str">
            <v>Surname</v>
          </cell>
          <cell r="B6" t="str">
            <v>Lama</v>
          </cell>
          <cell r="F6">
            <v>46082</v>
          </cell>
          <cell r="G6">
            <v>5</v>
          </cell>
          <cell r="H6">
            <v>40</v>
          </cell>
          <cell r="I6">
            <v>18.666666666666668</v>
          </cell>
          <cell r="J6">
            <v>0</v>
          </cell>
          <cell r="K6">
            <v>139.09999999999997</v>
          </cell>
          <cell r="L6">
            <v>20</v>
          </cell>
          <cell r="M6">
            <v>0</v>
          </cell>
          <cell r="N6">
            <v>240</v>
          </cell>
          <cell r="O6">
            <v>-160</v>
          </cell>
          <cell r="P6">
            <v>-159.85</v>
          </cell>
          <cell r="Q6">
            <v>0</v>
          </cell>
          <cell r="R6">
            <v>0</v>
          </cell>
          <cell r="S6">
            <v>0</v>
          </cell>
          <cell r="T6">
            <v>31</v>
          </cell>
          <cell r="U6">
            <v>31</v>
          </cell>
          <cell r="V6">
            <v>0</v>
          </cell>
          <cell r="W6">
            <v>0</v>
          </cell>
          <cell r="X6" t="str">
            <v>ACTIVE</v>
          </cell>
        </row>
        <row r="7">
          <cell r="A7" t="str">
            <v>Name</v>
          </cell>
          <cell r="B7" t="str">
            <v>Elda</v>
          </cell>
          <cell r="F7">
            <v>46113</v>
          </cell>
          <cell r="G7">
            <v>4</v>
          </cell>
          <cell r="H7">
            <v>40</v>
          </cell>
          <cell r="I7">
            <v>18.666666666666668</v>
          </cell>
          <cell r="J7">
            <v>0</v>
          </cell>
          <cell r="K7">
            <v>139.09999999999997</v>
          </cell>
          <cell r="L7">
            <v>20</v>
          </cell>
          <cell r="M7">
            <v>0</v>
          </cell>
          <cell r="N7">
            <v>240</v>
          </cell>
          <cell r="O7">
            <v>-160</v>
          </cell>
          <cell r="P7">
            <v>-319.85000000000002</v>
          </cell>
          <cell r="Q7">
            <v>0</v>
          </cell>
          <cell r="R7">
            <v>0</v>
          </cell>
          <cell r="S7">
            <v>0</v>
          </cell>
          <cell r="T7">
            <v>30</v>
          </cell>
          <cell r="U7">
            <v>30</v>
          </cell>
          <cell r="V7">
            <v>0</v>
          </cell>
          <cell r="W7">
            <v>0</v>
          </cell>
          <cell r="X7" t="str">
            <v>ACTIVE</v>
          </cell>
        </row>
        <row r="8">
          <cell r="A8" t="str">
            <v>Address   House No.</v>
          </cell>
          <cell r="B8" t="str">
            <v>Nevada Court, Block A, Flat 5,</v>
          </cell>
          <cell r="F8">
            <v>46143</v>
          </cell>
          <cell r="G8">
            <v>4</v>
          </cell>
          <cell r="H8">
            <v>40</v>
          </cell>
          <cell r="I8">
            <v>18.666666666666668</v>
          </cell>
          <cell r="J8">
            <v>0</v>
          </cell>
          <cell r="K8">
            <v>139.09999999999997</v>
          </cell>
          <cell r="L8">
            <v>20</v>
          </cell>
          <cell r="M8">
            <v>0</v>
          </cell>
          <cell r="N8">
            <v>240</v>
          </cell>
          <cell r="O8">
            <v>-200</v>
          </cell>
          <cell r="P8">
            <v>-519.85</v>
          </cell>
          <cell r="Q8">
            <v>0</v>
          </cell>
          <cell r="R8">
            <v>0</v>
          </cell>
          <cell r="S8">
            <v>0</v>
          </cell>
          <cell r="T8">
            <v>31</v>
          </cell>
          <cell r="U8">
            <v>31</v>
          </cell>
          <cell r="V8">
            <v>0</v>
          </cell>
          <cell r="W8">
            <v>0</v>
          </cell>
          <cell r="X8" t="str">
            <v>ACTIVE</v>
          </cell>
        </row>
        <row r="9">
          <cell r="A9" t="str">
            <v>Str</v>
          </cell>
          <cell r="B9" t="str">
            <v>Triq Apap Bologna</v>
          </cell>
          <cell r="F9">
            <v>46174</v>
          </cell>
          <cell r="G9">
            <v>5</v>
          </cell>
          <cell r="H9">
            <v>40</v>
          </cell>
          <cell r="I9">
            <v>18.666666666666668</v>
          </cell>
          <cell r="J9">
            <v>0</v>
          </cell>
          <cell r="K9">
            <v>139.09999999999997</v>
          </cell>
          <cell r="L9">
            <v>20</v>
          </cell>
          <cell r="M9">
            <v>0</v>
          </cell>
          <cell r="N9">
            <v>240</v>
          </cell>
          <cell r="O9">
            <v>-160</v>
          </cell>
          <cell r="P9">
            <v>-679.85</v>
          </cell>
          <cell r="Q9">
            <v>0</v>
          </cell>
          <cell r="R9">
            <v>0</v>
          </cell>
          <cell r="S9">
            <v>0</v>
          </cell>
          <cell r="T9">
            <v>30</v>
          </cell>
          <cell r="U9">
            <v>30</v>
          </cell>
          <cell r="V9">
            <v>0</v>
          </cell>
          <cell r="W9">
            <v>0</v>
          </cell>
          <cell r="X9" t="str">
            <v>ACTIVE</v>
          </cell>
        </row>
        <row r="10">
          <cell r="A10" t="str">
            <v>Locality</v>
          </cell>
          <cell r="B10" t="str">
            <v>Marsascala</v>
          </cell>
          <cell r="F10">
            <v>46204</v>
          </cell>
          <cell r="G10">
            <v>4</v>
          </cell>
          <cell r="H10">
            <v>40</v>
          </cell>
          <cell r="I10">
            <v>18.666666666666668</v>
          </cell>
          <cell r="J10">
            <v>0</v>
          </cell>
          <cell r="K10">
            <v>139.09999999999997</v>
          </cell>
          <cell r="L10">
            <v>20</v>
          </cell>
          <cell r="M10">
            <v>0</v>
          </cell>
          <cell r="N10">
            <v>240</v>
          </cell>
          <cell r="O10">
            <v>-160</v>
          </cell>
          <cell r="P10">
            <v>-839.85</v>
          </cell>
          <cell r="Q10">
            <v>0</v>
          </cell>
          <cell r="R10">
            <v>0</v>
          </cell>
          <cell r="S10">
            <v>0</v>
          </cell>
          <cell r="T10">
            <v>31</v>
          </cell>
          <cell r="U10">
            <v>31</v>
          </cell>
          <cell r="V10">
            <v>0</v>
          </cell>
          <cell r="W10">
            <v>0</v>
          </cell>
          <cell r="X10" t="str">
            <v>ACTIVE</v>
          </cell>
        </row>
        <row r="11">
          <cell r="A11" t="str">
            <v xml:space="preserve">Postcode </v>
          </cell>
          <cell r="B11" t="str">
            <v>MSK2743</v>
          </cell>
          <cell r="F11">
            <v>46235</v>
          </cell>
          <cell r="G11">
            <v>5</v>
          </cell>
          <cell r="H11">
            <v>40</v>
          </cell>
          <cell r="I11">
            <v>18.666666666666668</v>
          </cell>
          <cell r="J11">
            <v>0</v>
          </cell>
          <cell r="K11">
            <v>139.09999999999997</v>
          </cell>
          <cell r="L11">
            <v>20</v>
          </cell>
          <cell r="M11">
            <v>0</v>
          </cell>
          <cell r="N11">
            <v>240</v>
          </cell>
          <cell r="O11">
            <v>-200</v>
          </cell>
          <cell r="P11">
            <v>-1039.8499999999999</v>
          </cell>
          <cell r="Q11">
            <v>0</v>
          </cell>
          <cell r="R11">
            <v>0</v>
          </cell>
          <cell r="S11">
            <v>0</v>
          </cell>
          <cell r="T11">
            <v>31</v>
          </cell>
          <cell r="U11">
            <v>31</v>
          </cell>
          <cell r="V11">
            <v>0</v>
          </cell>
          <cell r="W11">
            <v>0</v>
          </cell>
          <cell r="X11" t="str">
            <v>ACTIVE</v>
          </cell>
        </row>
        <row r="12">
          <cell r="A12" t="str">
            <v>Telephone Number</v>
          </cell>
          <cell r="B12">
            <v>99556467</v>
          </cell>
          <cell r="F12">
            <v>46266</v>
          </cell>
          <cell r="G12">
            <v>4</v>
          </cell>
          <cell r="H12">
            <v>40</v>
          </cell>
          <cell r="I12">
            <v>18.666666666666668</v>
          </cell>
          <cell r="J12">
            <v>0</v>
          </cell>
          <cell r="K12">
            <v>139.09999999999997</v>
          </cell>
          <cell r="L12">
            <v>20</v>
          </cell>
          <cell r="M12">
            <v>0</v>
          </cell>
          <cell r="N12">
            <v>240</v>
          </cell>
          <cell r="O12">
            <v>-160</v>
          </cell>
          <cell r="P12">
            <v>-1199.8499999999999</v>
          </cell>
          <cell r="Q12">
            <v>0</v>
          </cell>
          <cell r="R12">
            <v>0</v>
          </cell>
          <cell r="S12">
            <v>0</v>
          </cell>
          <cell r="T12">
            <v>30</v>
          </cell>
          <cell r="U12">
            <v>30</v>
          </cell>
          <cell r="V12">
            <v>0</v>
          </cell>
          <cell r="W12">
            <v>0</v>
          </cell>
          <cell r="X12" t="str">
            <v>ACTIVE</v>
          </cell>
        </row>
        <row r="13">
          <cell r="A13" t="str">
            <v>Payee ID CARD No./IT Reg No.</v>
          </cell>
          <cell r="B13" t="str">
            <v>293733A</v>
          </cell>
          <cell r="F13">
            <v>46296</v>
          </cell>
          <cell r="G13">
            <v>4</v>
          </cell>
          <cell r="H13">
            <v>40</v>
          </cell>
          <cell r="I13">
            <v>18.666666666666668</v>
          </cell>
          <cell r="J13">
            <v>0</v>
          </cell>
          <cell r="K13">
            <v>139.09999999999997</v>
          </cell>
          <cell r="L13">
            <v>20</v>
          </cell>
          <cell r="M13">
            <v>0</v>
          </cell>
          <cell r="N13">
            <v>240</v>
          </cell>
          <cell r="O13">
            <v>-200</v>
          </cell>
          <cell r="P13">
            <v>-1399.85</v>
          </cell>
          <cell r="Q13">
            <v>0</v>
          </cell>
          <cell r="R13">
            <v>0</v>
          </cell>
          <cell r="S13">
            <v>0</v>
          </cell>
          <cell r="T13">
            <v>31</v>
          </cell>
          <cell r="U13">
            <v>31</v>
          </cell>
          <cell r="V13">
            <v>0</v>
          </cell>
          <cell r="W13">
            <v>0</v>
          </cell>
          <cell r="X13" t="str">
            <v>ACTIVE</v>
          </cell>
        </row>
        <row r="14">
          <cell r="A14" t="str">
            <v>Payee Social Security No.</v>
          </cell>
          <cell r="B14" t="str">
            <v>C68076339</v>
          </cell>
          <cell r="F14">
            <v>46327</v>
          </cell>
          <cell r="G14">
            <v>5</v>
          </cell>
          <cell r="H14">
            <v>40</v>
          </cell>
          <cell r="I14">
            <v>18.666666666666668</v>
          </cell>
          <cell r="J14">
            <v>0</v>
          </cell>
          <cell r="K14">
            <v>139.09999999999997</v>
          </cell>
          <cell r="L14">
            <v>20</v>
          </cell>
          <cell r="M14">
            <v>0</v>
          </cell>
          <cell r="N14">
            <v>240</v>
          </cell>
          <cell r="O14">
            <v>-160</v>
          </cell>
          <cell r="P14">
            <v>-1559.85</v>
          </cell>
          <cell r="Q14">
            <v>0</v>
          </cell>
          <cell r="R14">
            <v>0</v>
          </cell>
          <cell r="S14">
            <v>0</v>
          </cell>
          <cell r="T14">
            <v>30</v>
          </cell>
          <cell r="U14">
            <v>30</v>
          </cell>
          <cell r="V14">
            <v>0</v>
          </cell>
          <cell r="W14">
            <v>0</v>
          </cell>
          <cell r="X14" t="str">
            <v>ACTIVE</v>
          </cell>
        </row>
        <row r="15">
          <cell r="A15" t="str">
            <v>Spouse's ID Card/IT Reg no.</v>
          </cell>
          <cell r="B15" t="str">
            <v>261247M</v>
          </cell>
          <cell r="F15">
            <v>46357</v>
          </cell>
          <cell r="G15">
            <v>4</v>
          </cell>
          <cell r="H15">
            <v>40</v>
          </cell>
          <cell r="I15">
            <v>18.666666666666668</v>
          </cell>
          <cell r="J15">
            <v>0</v>
          </cell>
          <cell r="K15">
            <v>139.09999999999997</v>
          </cell>
          <cell r="L15">
            <v>20</v>
          </cell>
          <cell r="M15">
            <v>0</v>
          </cell>
          <cell r="N15">
            <v>240</v>
          </cell>
          <cell r="O15">
            <v>-160</v>
          </cell>
          <cell r="P15">
            <v>-1719.85</v>
          </cell>
          <cell r="Q15">
            <v>0</v>
          </cell>
          <cell r="R15">
            <v>0</v>
          </cell>
          <cell r="S15">
            <v>0</v>
          </cell>
          <cell r="T15">
            <v>31</v>
          </cell>
          <cell r="U15">
            <v>31</v>
          </cell>
          <cell r="V15">
            <v>0</v>
          </cell>
          <cell r="W15">
            <v>0</v>
          </cell>
          <cell r="X15" t="str">
            <v>ACTIVE</v>
          </cell>
        </row>
        <row r="16">
          <cell r="A16" t="str">
            <v>IBAN</v>
          </cell>
          <cell r="B16" t="str">
            <v>MT41APSB77013000000049071920018</v>
          </cell>
          <cell r="F16" t="str">
            <v>TOTALS</v>
          </cell>
          <cell r="G16">
            <v>52</v>
          </cell>
          <cell r="I16">
            <v>223.99999999999997</v>
          </cell>
          <cell r="J16">
            <v>84.9</v>
          </cell>
          <cell r="K16">
            <v>139.09999999999997</v>
          </cell>
          <cell r="L16">
            <v>240</v>
          </cell>
          <cell r="M16">
            <v>0</v>
          </cell>
          <cell r="N16">
            <v>240</v>
          </cell>
          <cell r="P16">
            <v>-1719.85</v>
          </cell>
          <cell r="T16">
            <v>365</v>
          </cell>
          <cell r="V16">
            <v>0</v>
          </cell>
        </row>
        <row r="17">
          <cell r="A17" t="str">
            <v>Email</v>
          </cell>
          <cell r="B17" t="str">
            <v>eldalama90@gmail.com</v>
          </cell>
          <cell r="H17" t="str">
            <v>Balance to Pay/ Carry forward, Input at end of page</v>
          </cell>
          <cell r="K17">
            <v>139.09999999999997</v>
          </cell>
          <cell r="L17" t="str">
            <v>If paying part/ all of these please use table under December entry table</v>
          </cell>
          <cell r="P17">
            <v>-1719.85</v>
          </cell>
        </row>
        <row r="18">
          <cell r="A18" t="str">
            <v>DOB</v>
          </cell>
          <cell r="B18">
            <v>32947</v>
          </cell>
        </row>
        <row r="19">
          <cell r="A19" t="str">
            <v>date of First Employment</v>
          </cell>
          <cell r="B19">
            <v>45201</v>
          </cell>
          <cell r="F19" t="str">
            <v>Lama Elda 293733A</v>
          </cell>
          <cell r="G19" t="str">
            <v>PAR</v>
          </cell>
          <cell r="H19" t="str">
            <v>7. Sup. Dental Assistant</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7. Sup. Dental Assistant</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G21">
            <v>8</v>
          </cell>
          <cell r="H21">
            <v>10.34</v>
          </cell>
          <cell r="I21">
            <v>38.94</v>
          </cell>
          <cell r="J21">
            <v>43.97</v>
          </cell>
          <cell r="K21">
            <v>41.85</v>
          </cell>
          <cell r="L21">
            <v>143.1</v>
          </cell>
          <cell r="O21" t="str">
            <v>to</v>
          </cell>
          <cell r="R21" t="str">
            <v xml:space="preserve">Mondays </v>
          </cell>
        </row>
        <row r="22">
          <cell r="A22" t="str">
            <v>FS4 Status</v>
          </cell>
          <cell r="B22" t="str">
            <v>PAR</v>
          </cell>
          <cell r="F22" t="str">
            <v>Overtime Hrs</v>
          </cell>
          <cell r="L22">
            <v>0</v>
          </cell>
          <cell r="O22" t="str">
            <v>to</v>
          </cell>
          <cell r="R22">
            <v>4</v>
          </cell>
          <cell r="V22" t="str">
            <v>TOT</v>
          </cell>
          <cell r="W22">
            <v>0</v>
          </cell>
        </row>
        <row r="23">
          <cell r="A23" t="str">
            <v>Hours agreed at start contract</v>
          </cell>
          <cell r="B23">
            <v>40</v>
          </cell>
          <cell r="F23" t="str">
            <v>VL</v>
          </cell>
          <cell r="G23">
            <v>27.240000000000002</v>
          </cell>
          <cell r="H23">
            <v>29.66</v>
          </cell>
          <cell r="L23">
            <v>56.900000000000006</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167   OF   224</v>
          </cell>
          <cell r="I26" t="str">
            <v>SL = 100 %</v>
          </cell>
          <cell r="J26" t="str">
            <v>BANKED = 
0 Hrs</v>
          </cell>
          <cell r="K26" t="str">
            <v>ADJ</v>
          </cell>
          <cell r="L26">
            <v>0</v>
          </cell>
        </row>
        <row r="27">
          <cell r="F27">
            <v>2023008</v>
          </cell>
          <cell r="G27">
            <v>18.666666666666668</v>
          </cell>
          <cell r="H27">
            <v>46023</v>
          </cell>
          <cell r="I27" t="str">
            <v>to</v>
          </cell>
          <cell r="J27">
            <v>46053</v>
          </cell>
          <cell r="K27" t="str">
            <v>Banked This Month</v>
          </cell>
          <cell r="L27">
            <v>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Lama Elda 293733A</v>
          </cell>
          <cell r="G29" t="str">
            <v>PAR</v>
          </cell>
          <cell r="H29" t="str">
            <v>7. Sup. Dental Assistant</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G31">
            <v>33.340000000000003</v>
          </cell>
          <cell r="H31">
            <v>46.07</v>
          </cell>
          <cell r="I31">
            <v>16.23</v>
          </cell>
          <cell r="J31">
            <v>36.51</v>
          </cell>
          <cell r="L31">
            <v>132.15</v>
          </cell>
          <cell r="O31" t="str">
            <v>to</v>
          </cell>
          <cell r="R31" t="str">
            <v xml:space="preserve">Mondays </v>
          </cell>
        </row>
        <row r="32">
          <cell r="F32" t="str">
            <v>Overtime Hrs</v>
          </cell>
          <cell r="L32">
            <v>0</v>
          </cell>
          <cell r="O32" t="str">
            <v>to</v>
          </cell>
          <cell r="R32">
            <v>4</v>
          </cell>
          <cell r="V32" t="str">
            <v>TOT</v>
          </cell>
          <cell r="W32">
            <v>0</v>
          </cell>
        </row>
        <row r="33">
          <cell r="F33" t="str">
            <v>VL</v>
          </cell>
          <cell r="G33">
            <v>6</v>
          </cell>
          <cell r="I33">
            <v>22</v>
          </cell>
          <cell r="L33">
            <v>28</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139   OF   224</v>
          </cell>
          <cell r="I36" t="str">
            <v>SL = 100 %</v>
          </cell>
          <cell r="J36" t="str">
            <v>BANKED = 
0.15 Hrs</v>
          </cell>
          <cell r="K36" t="str">
            <v>ADJ</v>
          </cell>
          <cell r="L36">
            <v>0</v>
          </cell>
        </row>
        <row r="37">
          <cell r="F37">
            <v>2023008</v>
          </cell>
          <cell r="G37">
            <v>18.666666666666668</v>
          </cell>
          <cell r="H37">
            <v>46054</v>
          </cell>
          <cell r="I37" t="str">
            <v>to</v>
          </cell>
          <cell r="J37">
            <v>46081</v>
          </cell>
          <cell r="K37" t="str">
            <v>Banked This Month</v>
          </cell>
          <cell r="L37">
            <v>0.15000000000000568</v>
          </cell>
          <cell r="M37" t="str">
            <v>UNPAID WEEKS</v>
          </cell>
          <cell r="N37">
            <v>0</v>
          </cell>
          <cell r="O37">
            <v>1</v>
          </cell>
          <cell r="P37" t="str">
            <v>Maternity</v>
          </cell>
          <cell r="Q37">
            <v>0</v>
          </cell>
        </row>
        <row r="39">
          <cell r="F39" t="str">
            <v>Lama Elda 293733A</v>
          </cell>
          <cell r="G39" t="str">
            <v>PAR</v>
          </cell>
          <cell r="H39" t="str">
            <v>7. Sup. Dental Assistant</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4">
        <row r="1">
          <cell r="A1" t="str">
            <v>EMP NO&gt;</v>
          </cell>
          <cell r="B1">
            <v>2025001</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MAcero_Garzon</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40</v>
          </cell>
          <cell r="I4">
            <v>18.666666666666668</v>
          </cell>
          <cell r="J4">
            <v>27.55</v>
          </cell>
          <cell r="K4">
            <v>196.44999999999996</v>
          </cell>
          <cell r="L4">
            <v>20</v>
          </cell>
          <cell r="M4">
            <v>0</v>
          </cell>
          <cell r="N4">
            <v>240</v>
          </cell>
          <cell r="O4">
            <v>1.7763568394002505E-14</v>
          </cell>
          <cell r="P4">
            <v>1.7763568394002505E-14</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8.5</v>
          </cell>
          <cell r="K5">
            <v>187.94999999999996</v>
          </cell>
          <cell r="L5">
            <v>20</v>
          </cell>
          <cell r="M5">
            <v>15</v>
          </cell>
          <cell r="N5">
            <v>225</v>
          </cell>
          <cell r="O5">
            <v>0.75</v>
          </cell>
          <cell r="P5">
            <v>0.75000000000001776</v>
          </cell>
          <cell r="Q5">
            <v>0</v>
          </cell>
          <cell r="R5">
            <v>0</v>
          </cell>
          <cell r="S5">
            <v>0</v>
          </cell>
          <cell r="T5">
            <v>28</v>
          </cell>
          <cell r="U5">
            <v>28</v>
          </cell>
          <cell r="V5">
            <v>0</v>
          </cell>
          <cell r="W5">
            <v>0</v>
          </cell>
          <cell r="X5" t="str">
            <v>ACTIVE</v>
          </cell>
        </row>
        <row r="6">
          <cell r="A6" t="str">
            <v>Surname</v>
          </cell>
          <cell r="B6" t="str">
            <v>Acero_Garzon</v>
          </cell>
          <cell r="F6">
            <v>46082</v>
          </cell>
          <cell r="G6">
            <v>5</v>
          </cell>
          <cell r="H6">
            <v>40</v>
          </cell>
          <cell r="I6">
            <v>18.666666666666668</v>
          </cell>
          <cell r="J6">
            <v>0</v>
          </cell>
          <cell r="K6">
            <v>187.94999999999996</v>
          </cell>
          <cell r="L6">
            <v>20</v>
          </cell>
          <cell r="M6">
            <v>0</v>
          </cell>
          <cell r="N6">
            <v>225</v>
          </cell>
          <cell r="O6">
            <v>-160</v>
          </cell>
          <cell r="P6">
            <v>-159.24999999999997</v>
          </cell>
          <cell r="Q6">
            <v>0</v>
          </cell>
          <cell r="R6">
            <v>0</v>
          </cell>
          <cell r="S6">
            <v>0</v>
          </cell>
          <cell r="T6">
            <v>31</v>
          </cell>
          <cell r="U6">
            <v>31</v>
          </cell>
          <cell r="V6">
            <v>0</v>
          </cell>
          <cell r="W6">
            <v>0</v>
          </cell>
          <cell r="X6" t="str">
            <v>ACTIVE</v>
          </cell>
        </row>
        <row r="7">
          <cell r="A7" t="str">
            <v>Name</v>
          </cell>
          <cell r="B7" t="str">
            <v>Maria_Cristina</v>
          </cell>
          <cell r="F7">
            <v>46113</v>
          </cell>
          <cell r="G7">
            <v>4</v>
          </cell>
          <cell r="H7">
            <v>40</v>
          </cell>
          <cell r="I7">
            <v>18.666666666666668</v>
          </cell>
          <cell r="J7">
            <v>0</v>
          </cell>
          <cell r="K7">
            <v>187.94999999999996</v>
          </cell>
          <cell r="L7">
            <v>20</v>
          </cell>
          <cell r="M7">
            <v>0</v>
          </cell>
          <cell r="N7">
            <v>225</v>
          </cell>
          <cell r="O7">
            <v>-160</v>
          </cell>
          <cell r="P7">
            <v>-319.25</v>
          </cell>
          <cell r="Q7">
            <v>0</v>
          </cell>
          <cell r="R7">
            <v>0</v>
          </cell>
          <cell r="S7">
            <v>0</v>
          </cell>
          <cell r="T7">
            <v>30</v>
          </cell>
          <cell r="U7">
            <v>30</v>
          </cell>
          <cell r="V7">
            <v>0</v>
          </cell>
          <cell r="W7">
            <v>0</v>
          </cell>
          <cell r="X7" t="str">
            <v>ACTIVE</v>
          </cell>
        </row>
        <row r="8">
          <cell r="A8" t="str">
            <v>Address   House No.</v>
          </cell>
          <cell r="B8" t="str">
            <v>9, Central Court, Apt 4B</v>
          </cell>
          <cell r="F8">
            <v>46143</v>
          </cell>
          <cell r="G8">
            <v>4</v>
          </cell>
          <cell r="H8">
            <v>40</v>
          </cell>
          <cell r="I8">
            <v>18.666666666666668</v>
          </cell>
          <cell r="J8">
            <v>0</v>
          </cell>
          <cell r="K8">
            <v>187.94999999999996</v>
          </cell>
          <cell r="L8">
            <v>20</v>
          </cell>
          <cell r="M8">
            <v>0</v>
          </cell>
          <cell r="N8">
            <v>225</v>
          </cell>
          <cell r="O8">
            <v>-200</v>
          </cell>
          <cell r="P8">
            <v>-519.25</v>
          </cell>
          <cell r="Q8">
            <v>0</v>
          </cell>
          <cell r="R8">
            <v>0</v>
          </cell>
          <cell r="S8">
            <v>0</v>
          </cell>
          <cell r="T8">
            <v>31</v>
          </cell>
          <cell r="U8">
            <v>31</v>
          </cell>
          <cell r="V8">
            <v>0</v>
          </cell>
          <cell r="W8">
            <v>0</v>
          </cell>
          <cell r="X8" t="str">
            <v>ACTIVE</v>
          </cell>
        </row>
        <row r="9">
          <cell r="A9" t="str">
            <v>Str</v>
          </cell>
          <cell r="B9" t="str">
            <v>Triq Carmen Mallia</v>
          </cell>
          <cell r="F9">
            <v>46174</v>
          </cell>
          <cell r="G9">
            <v>5</v>
          </cell>
          <cell r="H9">
            <v>40</v>
          </cell>
          <cell r="I9">
            <v>18.666666666666668</v>
          </cell>
          <cell r="J9">
            <v>0</v>
          </cell>
          <cell r="K9">
            <v>187.94999999999996</v>
          </cell>
          <cell r="L9">
            <v>20</v>
          </cell>
          <cell r="M9">
            <v>0</v>
          </cell>
          <cell r="N9">
            <v>225</v>
          </cell>
          <cell r="O9">
            <v>-160</v>
          </cell>
          <cell r="P9">
            <v>-679.25</v>
          </cell>
          <cell r="Q9">
            <v>0</v>
          </cell>
          <cell r="R9">
            <v>0</v>
          </cell>
          <cell r="S9">
            <v>0</v>
          </cell>
          <cell r="T9">
            <v>30</v>
          </cell>
          <cell r="U9">
            <v>30</v>
          </cell>
          <cell r="V9">
            <v>0</v>
          </cell>
          <cell r="W9">
            <v>0</v>
          </cell>
          <cell r="X9" t="str">
            <v>ACTIVE</v>
          </cell>
        </row>
        <row r="10">
          <cell r="A10" t="str">
            <v>Locality</v>
          </cell>
          <cell r="B10" t="str">
            <v>San Gwann</v>
          </cell>
          <cell r="F10">
            <v>46204</v>
          </cell>
          <cell r="G10">
            <v>4</v>
          </cell>
          <cell r="H10">
            <v>40</v>
          </cell>
          <cell r="I10">
            <v>18.666666666666668</v>
          </cell>
          <cell r="J10">
            <v>0</v>
          </cell>
          <cell r="K10">
            <v>187.94999999999996</v>
          </cell>
          <cell r="L10">
            <v>20</v>
          </cell>
          <cell r="M10">
            <v>0</v>
          </cell>
          <cell r="N10">
            <v>225</v>
          </cell>
          <cell r="O10">
            <v>-160</v>
          </cell>
          <cell r="P10">
            <v>-839.25</v>
          </cell>
          <cell r="Q10">
            <v>0</v>
          </cell>
          <cell r="R10">
            <v>0</v>
          </cell>
          <cell r="S10">
            <v>0</v>
          </cell>
          <cell r="T10">
            <v>31</v>
          </cell>
          <cell r="U10">
            <v>31</v>
          </cell>
          <cell r="V10">
            <v>0</v>
          </cell>
          <cell r="W10">
            <v>0</v>
          </cell>
          <cell r="X10" t="str">
            <v>ACTIVE</v>
          </cell>
        </row>
        <row r="11">
          <cell r="A11" t="str">
            <v xml:space="preserve">Postcode </v>
          </cell>
          <cell r="B11" t="str">
            <v>SGN2201</v>
          </cell>
          <cell r="F11">
            <v>46235</v>
          </cell>
          <cell r="G11">
            <v>5</v>
          </cell>
          <cell r="H11">
            <v>40</v>
          </cell>
          <cell r="I11">
            <v>18.666666666666668</v>
          </cell>
          <cell r="J11">
            <v>0</v>
          </cell>
          <cell r="K11">
            <v>187.94999999999996</v>
          </cell>
          <cell r="L11">
            <v>20</v>
          </cell>
          <cell r="M11">
            <v>0</v>
          </cell>
          <cell r="N11">
            <v>225</v>
          </cell>
          <cell r="O11">
            <v>-200</v>
          </cell>
          <cell r="P11">
            <v>-1039.25</v>
          </cell>
          <cell r="Q11">
            <v>0</v>
          </cell>
          <cell r="R11">
            <v>0</v>
          </cell>
          <cell r="S11">
            <v>0</v>
          </cell>
          <cell r="T11">
            <v>31</v>
          </cell>
          <cell r="U11">
            <v>31</v>
          </cell>
          <cell r="V11">
            <v>0</v>
          </cell>
          <cell r="W11">
            <v>0</v>
          </cell>
          <cell r="X11" t="str">
            <v>ACTIVE</v>
          </cell>
        </row>
        <row r="12">
          <cell r="A12" t="str">
            <v>Telephone Number</v>
          </cell>
          <cell r="B12">
            <v>77214425</v>
          </cell>
          <cell r="F12">
            <v>46266</v>
          </cell>
          <cell r="G12">
            <v>4</v>
          </cell>
          <cell r="H12">
            <v>40</v>
          </cell>
          <cell r="I12">
            <v>18.666666666666668</v>
          </cell>
          <cell r="J12">
            <v>0</v>
          </cell>
          <cell r="K12">
            <v>187.94999999999996</v>
          </cell>
          <cell r="L12">
            <v>20</v>
          </cell>
          <cell r="M12">
            <v>0</v>
          </cell>
          <cell r="N12">
            <v>225</v>
          </cell>
          <cell r="O12">
            <v>-160</v>
          </cell>
          <cell r="P12">
            <v>-1199.25</v>
          </cell>
          <cell r="Q12">
            <v>0</v>
          </cell>
          <cell r="R12">
            <v>0</v>
          </cell>
          <cell r="S12">
            <v>0</v>
          </cell>
          <cell r="T12">
            <v>30</v>
          </cell>
          <cell r="U12">
            <v>30</v>
          </cell>
          <cell r="V12">
            <v>0</v>
          </cell>
          <cell r="W12">
            <v>0</v>
          </cell>
          <cell r="X12" t="str">
            <v>ACTIVE</v>
          </cell>
        </row>
        <row r="13">
          <cell r="A13" t="str">
            <v>Payee ID CARD No./IT Reg No.</v>
          </cell>
          <cell r="B13" t="str">
            <v>469971A</v>
          </cell>
          <cell r="F13">
            <v>46296</v>
          </cell>
          <cell r="G13">
            <v>4</v>
          </cell>
          <cell r="H13">
            <v>40</v>
          </cell>
          <cell r="I13">
            <v>18.666666666666668</v>
          </cell>
          <cell r="J13">
            <v>0</v>
          </cell>
          <cell r="K13">
            <v>187.94999999999996</v>
          </cell>
          <cell r="L13">
            <v>20</v>
          </cell>
          <cell r="M13">
            <v>0</v>
          </cell>
          <cell r="N13">
            <v>225</v>
          </cell>
          <cell r="O13">
            <v>-200</v>
          </cell>
          <cell r="P13">
            <v>-1399.25</v>
          </cell>
          <cell r="Q13">
            <v>0</v>
          </cell>
          <cell r="R13">
            <v>0</v>
          </cell>
          <cell r="S13">
            <v>0</v>
          </cell>
          <cell r="T13">
            <v>31</v>
          </cell>
          <cell r="U13">
            <v>31</v>
          </cell>
          <cell r="V13">
            <v>0</v>
          </cell>
          <cell r="W13">
            <v>0</v>
          </cell>
          <cell r="X13" t="str">
            <v>ACTIVE</v>
          </cell>
        </row>
        <row r="14">
          <cell r="A14" t="str">
            <v>Payee Social Security No.</v>
          </cell>
          <cell r="B14">
            <v>0</v>
          </cell>
          <cell r="F14">
            <v>46327</v>
          </cell>
          <cell r="G14">
            <v>5</v>
          </cell>
          <cell r="H14">
            <v>40</v>
          </cell>
          <cell r="I14">
            <v>18.666666666666668</v>
          </cell>
          <cell r="J14">
            <v>0</v>
          </cell>
          <cell r="K14">
            <v>187.94999999999996</v>
          </cell>
          <cell r="L14">
            <v>20</v>
          </cell>
          <cell r="M14">
            <v>0</v>
          </cell>
          <cell r="N14">
            <v>225</v>
          </cell>
          <cell r="O14">
            <v>-160</v>
          </cell>
          <cell r="P14">
            <v>-1559.25</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40</v>
          </cell>
          <cell r="I15">
            <v>18.666666666666668</v>
          </cell>
          <cell r="J15">
            <v>0</v>
          </cell>
          <cell r="K15">
            <v>187.94999999999996</v>
          </cell>
          <cell r="L15">
            <v>20</v>
          </cell>
          <cell r="M15">
            <v>0</v>
          </cell>
          <cell r="N15">
            <v>225</v>
          </cell>
          <cell r="O15">
            <v>-160</v>
          </cell>
          <cell r="P15">
            <v>-1719.25</v>
          </cell>
          <cell r="Q15">
            <v>0</v>
          </cell>
          <cell r="R15">
            <v>0</v>
          </cell>
          <cell r="S15">
            <v>0</v>
          </cell>
          <cell r="T15">
            <v>31</v>
          </cell>
          <cell r="U15">
            <v>31</v>
          </cell>
          <cell r="V15">
            <v>0</v>
          </cell>
          <cell r="W15">
            <v>0</v>
          </cell>
          <cell r="X15" t="str">
            <v>ACTIVE</v>
          </cell>
        </row>
        <row r="16">
          <cell r="A16" t="str">
            <v>IBAN</v>
          </cell>
          <cell r="B16" t="str">
            <v>MT07VALL22013000000050022501702</v>
          </cell>
          <cell r="F16" t="str">
            <v>TOTALS</v>
          </cell>
          <cell r="G16">
            <v>52</v>
          </cell>
          <cell r="I16">
            <v>223.99999999999997</v>
          </cell>
          <cell r="J16">
            <v>36.049999999999997</v>
          </cell>
          <cell r="K16">
            <v>187.94999999999996</v>
          </cell>
          <cell r="L16">
            <v>240</v>
          </cell>
          <cell r="M16">
            <v>15</v>
          </cell>
          <cell r="N16">
            <v>225</v>
          </cell>
          <cell r="P16">
            <v>-1719.25</v>
          </cell>
          <cell r="T16">
            <v>365</v>
          </cell>
          <cell r="V16">
            <v>0</v>
          </cell>
        </row>
        <row r="17">
          <cell r="A17" t="str">
            <v>Email</v>
          </cell>
          <cell r="B17" t="str">
            <v>mcacerog@unal.edu.co</v>
          </cell>
          <cell r="H17" t="str">
            <v>Balance to Pay/ Carry forward, Input at end of page</v>
          </cell>
          <cell r="K17">
            <v>187.94999999999996</v>
          </cell>
          <cell r="L17" t="str">
            <v>If paying part/ all of these please use table under December entry table</v>
          </cell>
          <cell r="P17">
            <v>-1719.25</v>
          </cell>
        </row>
        <row r="18">
          <cell r="A18" t="str">
            <v>DOB</v>
          </cell>
          <cell r="B18">
            <v>32577</v>
          </cell>
        </row>
        <row r="19">
          <cell r="A19" t="str">
            <v>date of First Employment</v>
          </cell>
          <cell r="B19">
            <v>45719</v>
          </cell>
          <cell r="F19" t="str">
            <v>Acero_Garzon Maria_Cristina 469971A</v>
          </cell>
          <cell r="G19" t="str">
            <v>SIN</v>
          </cell>
          <cell r="H19" t="str">
            <v>7. Sup. Dental Assistant</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7. Sup. Dental Assistant</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G21">
            <v>8</v>
          </cell>
          <cell r="H21">
            <v>46.51</v>
          </cell>
          <cell r="I21">
            <v>39.54</v>
          </cell>
          <cell r="J21">
            <v>38.56</v>
          </cell>
          <cell r="K21">
            <v>39.840000000000003</v>
          </cell>
          <cell r="L21">
            <v>172.45000000000002</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G23">
            <v>27.55</v>
          </cell>
          <cell r="L23">
            <v>27.55</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196   OF   224</v>
          </cell>
          <cell r="I26" t="str">
            <v>SL = 100 %</v>
          </cell>
          <cell r="J26" t="str">
            <v>BANKED = 
0 Hrs</v>
          </cell>
          <cell r="K26" t="str">
            <v>ADJ</v>
          </cell>
          <cell r="L26">
            <v>0</v>
          </cell>
        </row>
        <row r="27">
          <cell r="F27">
            <v>2025001</v>
          </cell>
          <cell r="G27">
            <v>18.666666666666668</v>
          </cell>
          <cell r="H27">
            <v>46023</v>
          </cell>
          <cell r="I27" t="str">
            <v>to</v>
          </cell>
          <cell r="J27">
            <v>46053</v>
          </cell>
          <cell r="K27" t="str">
            <v>Banked This Month</v>
          </cell>
          <cell r="L27">
            <v>1.7763568394002505E-14</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Acero_Garzon Maria_Cristina 469971A</v>
          </cell>
          <cell r="G29" t="str">
            <v>SIN</v>
          </cell>
          <cell r="H29" t="str">
            <v>7. Sup. Dental Assistant</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G31">
            <v>35.880000000000003</v>
          </cell>
          <cell r="H31">
            <v>37.06</v>
          </cell>
          <cell r="I31">
            <v>40.99</v>
          </cell>
          <cell r="J31">
            <v>23.32</v>
          </cell>
          <cell r="L31">
            <v>137.25</v>
          </cell>
          <cell r="O31" t="str">
            <v>to</v>
          </cell>
          <cell r="R31" t="str">
            <v xml:space="preserve">Mondays </v>
          </cell>
        </row>
        <row r="32">
          <cell r="F32" t="str">
            <v>Overtime Hrs</v>
          </cell>
          <cell r="L32">
            <v>0</v>
          </cell>
          <cell r="O32" t="str">
            <v>to</v>
          </cell>
          <cell r="R32">
            <v>4</v>
          </cell>
          <cell r="V32" t="str">
            <v>TOT</v>
          </cell>
          <cell r="W32">
            <v>0</v>
          </cell>
        </row>
        <row r="33">
          <cell r="F33" t="str">
            <v>VL</v>
          </cell>
          <cell r="G33">
            <v>3.5</v>
          </cell>
          <cell r="H33">
            <v>5</v>
          </cell>
          <cell r="L33">
            <v>8.5</v>
          </cell>
          <cell r="R33" t="str">
            <v>SATURDAYS</v>
          </cell>
        </row>
        <row r="34">
          <cell r="F34" t="str">
            <v>Unpaid Leave Hrs</v>
          </cell>
          <cell r="L34">
            <v>0</v>
          </cell>
          <cell r="R34">
            <v>4</v>
          </cell>
        </row>
        <row r="35">
          <cell r="F35" t="str">
            <v>SL</v>
          </cell>
          <cell r="J35">
            <v>15</v>
          </cell>
          <cell r="L35">
            <v>15</v>
          </cell>
        </row>
        <row r="36">
          <cell r="F36">
            <v>46054</v>
          </cell>
          <cell r="G36" t="str">
            <v>NEW LEAVE ENTITLEMENT</v>
          </cell>
          <cell r="H36" t="str">
            <v>VL = 187   OF   224</v>
          </cell>
          <cell r="I36" t="str">
            <v>SL = 93.75 %</v>
          </cell>
          <cell r="J36" t="str">
            <v>BANKED = 
0.75 Hrs</v>
          </cell>
          <cell r="K36" t="str">
            <v>ADJ</v>
          </cell>
          <cell r="L36">
            <v>0</v>
          </cell>
        </row>
        <row r="37">
          <cell r="F37">
            <v>2025001</v>
          </cell>
          <cell r="G37">
            <v>18.666666666666668</v>
          </cell>
          <cell r="H37">
            <v>46054</v>
          </cell>
          <cell r="I37" t="str">
            <v>to</v>
          </cell>
          <cell r="J37">
            <v>46081</v>
          </cell>
          <cell r="K37" t="str">
            <v>Banked This Month</v>
          </cell>
          <cell r="L37">
            <v>0.75</v>
          </cell>
          <cell r="M37" t="str">
            <v>UNPAID WEEKS</v>
          </cell>
          <cell r="N37">
            <v>0</v>
          </cell>
          <cell r="O37">
            <v>1</v>
          </cell>
          <cell r="P37" t="str">
            <v>Maternity</v>
          </cell>
          <cell r="Q37">
            <v>0</v>
          </cell>
        </row>
        <row r="39">
          <cell r="F39" t="str">
            <v>Acero_Garzon Maria_Cristina 469971A</v>
          </cell>
          <cell r="G39" t="str">
            <v>SIN</v>
          </cell>
          <cell r="H39" t="str">
            <v>7. Sup. Dental Assistant</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5">
        <row r="1">
          <cell r="A1" t="str">
            <v>EMP NO&gt;</v>
          </cell>
          <cell r="B1">
            <v>2025005</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AKunnamkudath</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1.5</v>
          </cell>
          <cell r="P3">
            <v>0.5</v>
          </cell>
          <cell r="T3">
            <v>59</v>
          </cell>
        </row>
        <row r="4">
          <cell r="A4" t="str">
            <v>Period</v>
          </cell>
          <cell r="B4" t="str">
            <v>From</v>
          </cell>
          <cell r="C4" t="str">
            <v>To</v>
          </cell>
          <cell r="F4">
            <v>46023</v>
          </cell>
          <cell r="G4">
            <v>4</v>
          </cell>
          <cell r="H4">
            <v>40</v>
          </cell>
          <cell r="I4">
            <v>18.666666666666668</v>
          </cell>
          <cell r="J4">
            <v>10.82</v>
          </cell>
          <cell r="K4">
            <v>214.67999999999998</v>
          </cell>
          <cell r="L4">
            <v>20</v>
          </cell>
          <cell r="M4">
            <v>16</v>
          </cell>
          <cell r="N4">
            <v>224</v>
          </cell>
          <cell r="O4">
            <v>-0.49000000000000199</v>
          </cell>
          <cell r="P4">
            <v>9.9999999999980105E-3</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0</v>
          </cell>
          <cell r="K5">
            <v>214.67999999999998</v>
          </cell>
          <cell r="L5">
            <v>20</v>
          </cell>
          <cell r="M5">
            <v>4.3600000000000003</v>
          </cell>
          <cell r="N5">
            <v>219.64</v>
          </cell>
          <cell r="O5">
            <v>0.76999999999999691</v>
          </cell>
          <cell r="P5">
            <v>0.77999999999999492</v>
          </cell>
          <cell r="Q5">
            <v>0</v>
          </cell>
          <cell r="R5">
            <v>0</v>
          </cell>
          <cell r="S5">
            <v>0</v>
          </cell>
          <cell r="T5">
            <v>28</v>
          </cell>
          <cell r="U5">
            <v>28</v>
          </cell>
          <cell r="V5">
            <v>0</v>
          </cell>
          <cell r="W5">
            <v>0</v>
          </cell>
          <cell r="X5" t="str">
            <v>ACTIVE</v>
          </cell>
        </row>
        <row r="6">
          <cell r="A6" t="str">
            <v>Surname</v>
          </cell>
          <cell r="B6" t="str">
            <v>Kunnamkudath</v>
          </cell>
          <cell r="F6">
            <v>46082</v>
          </cell>
          <cell r="G6">
            <v>5</v>
          </cell>
          <cell r="H6">
            <v>40</v>
          </cell>
          <cell r="I6">
            <v>18.666666666666668</v>
          </cell>
          <cell r="J6">
            <v>0</v>
          </cell>
          <cell r="K6">
            <v>214.67999999999998</v>
          </cell>
          <cell r="L6">
            <v>20</v>
          </cell>
          <cell r="M6">
            <v>0</v>
          </cell>
          <cell r="N6">
            <v>219.64</v>
          </cell>
          <cell r="O6">
            <v>-160</v>
          </cell>
          <cell r="P6">
            <v>-159.22</v>
          </cell>
          <cell r="Q6">
            <v>0</v>
          </cell>
          <cell r="R6">
            <v>0</v>
          </cell>
          <cell r="S6">
            <v>0</v>
          </cell>
          <cell r="T6">
            <v>31</v>
          </cell>
          <cell r="U6">
            <v>31</v>
          </cell>
          <cell r="V6">
            <v>0</v>
          </cell>
          <cell r="W6">
            <v>0</v>
          </cell>
          <cell r="X6" t="str">
            <v>ACTIVE</v>
          </cell>
        </row>
        <row r="7">
          <cell r="A7" t="str">
            <v>Name</v>
          </cell>
          <cell r="B7" t="str">
            <v>Anitta Simon</v>
          </cell>
          <cell r="F7">
            <v>46113</v>
          </cell>
          <cell r="G7">
            <v>4</v>
          </cell>
          <cell r="H7">
            <v>40</v>
          </cell>
          <cell r="I7">
            <v>18.666666666666668</v>
          </cell>
          <cell r="J7">
            <v>0</v>
          </cell>
          <cell r="K7">
            <v>214.67999999999998</v>
          </cell>
          <cell r="L7">
            <v>20</v>
          </cell>
          <cell r="M7">
            <v>0</v>
          </cell>
          <cell r="N7">
            <v>219.64</v>
          </cell>
          <cell r="O7">
            <v>-160</v>
          </cell>
          <cell r="P7">
            <v>-319.22000000000003</v>
          </cell>
          <cell r="Q7">
            <v>0</v>
          </cell>
          <cell r="R7">
            <v>0</v>
          </cell>
          <cell r="S7">
            <v>0</v>
          </cell>
          <cell r="T7">
            <v>30</v>
          </cell>
          <cell r="U7">
            <v>30</v>
          </cell>
          <cell r="V7">
            <v>0</v>
          </cell>
          <cell r="W7">
            <v>0</v>
          </cell>
          <cell r="X7" t="str">
            <v>ACTIVE</v>
          </cell>
        </row>
        <row r="8">
          <cell r="A8" t="str">
            <v>Address   House No.</v>
          </cell>
          <cell r="B8" t="str">
            <v>148, Flat 2A</v>
          </cell>
          <cell r="F8">
            <v>46143</v>
          </cell>
          <cell r="G8">
            <v>4</v>
          </cell>
          <cell r="H8">
            <v>40</v>
          </cell>
          <cell r="I8">
            <v>18.666666666666668</v>
          </cell>
          <cell r="J8">
            <v>0</v>
          </cell>
          <cell r="K8">
            <v>214.67999999999998</v>
          </cell>
          <cell r="L8">
            <v>20</v>
          </cell>
          <cell r="M8">
            <v>0</v>
          </cell>
          <cell r="N8">
            <v>219.64</v>
          </cell>
          <cell r="O8">
            <v>-200</v>
          </cell>
          <cell r="P8">
            <v>-519.22</v>
          </cell>
          <cell r="Q8">
            <v>0</v>
          </cell>
          <cell r="R8">
            <v>0</v>
          </cell>
          <cell r="S8">
            <v>0</v>
          </cell>
          <cell r="T8">
            <v>31</v>
          </cell>
          <cell r="U8">
            <v>31</v>
          </cell>
          <cell r="V8">
            <v>0</v>
          </cell>
          <cell r="W8">
            <v>0</v>
          </cell>
          <cell r="X8" t="str">
            <v>ACTIVE</v>
          </cell>
        </row>
        <row r="9">
          <cell r="A9" t="str">
            <v>Str</v>
          </cell>
          <cell r="B9" t="str">
            <v>Triq Hal Qormi</v>
          </cell>
          <cell r="F9">
            <v>46174</v>
          </cell>
          <cell r="G9">
            <v>5</v>
          </cell>
          <cell r="H9">
            <v>40</v>
          </cell>
          <cell r="I9">
            <v>18.666666666666668</v>
          </cell>
          <cell r="J9">
            <v>0</v>
          </cell>
          <cell r="K9">
            <v>214.67999999999998</v>
          </cell>
          <cell r="L9">
            <v>20</v>
          </cell>
          <cell r="M9">
            <v>0</v>
          </cell>
          <cell r="N9">
            <v>219.64</v>
          </cell>
          <cell r="O9">
            <v>-160</v>
          </cell>
          <cell r="P9">
            <v>-679.22</v>
          </cell>
          <cell r="Q9">
            <v>0</v>
          </cell>
          <cell r="R9">
            <v>0</v>
          </cell>
          <cell r="S9">
            <v>0</v>
          </cell>
          <cell r="T9">
            <v>30</v>
          </cell>
          <cell r="U9">
            <v>30</v>
          </cell>
          <cell r="V9">
            <v>0</v>
          </cell>
          <cell r="W9">
            <v>0</v>
          </cell>
          <cell r="X9" t="str">
            <v>ACTIVE</v>
          </cell>
        </row>
        <row r="10">
          <cell r="A10" t="str">
            <v>Locality</v>
          </cell>
          <cell r="B10" t="str">
            <v>Marsa</v>
          </cell>
          <cell r="F10">
            <v>46204</v>
          </cell>
          <cell r="G10">
            <v>4</v>
          </cell>
          <cell r="H10">
            <v>40</v>
          </cell>
          <cell r="I10">
            <v>18.666666666666668</v>
          </cell>
          <cell r="J10">
            <v>0</v>
          </cell>
          <cell r="K10">
            <v>214.67999999999998</v>
          </cell>
          <cell r="L10">
            <v>20</v>
          </cell>
          <cell r="M10">
            <v>0</v>
          </cell>
          <cell r="N10">
            <v>219.64</v>
          </cell>
          <cell r="O10">
            <v>-160</v>
          </cell>
          <cell r="P10">
            <v>-839.22</v>
          </cell>
          <cell r="Q10">
            <v>0</v>
          </cell>
          <cell r="R10">
            <v>0</v>
          </cell>
          <cell r="S10">
            <v>0</v>
          </cell>
          <cell r="T10">
            <v>31</v>
          </cell>
          <cell r="U10">
            <v>31</v>
          </cell>
          <cell r="V10">
            <v>0</v>
          </cell>
          <cell r="W10">
            <v>0</v>
          </cell>
          <cell r="X10" t="str">
            <v>ACTIVE</v>
          </cell>
        </row>
        <row r="11">
          <cell r="A11" t="str">
            <v xml:space="preserve">Postcode </v>
          </cell>
          <cell r="B11" t="str">
            <v>MRS9040</v>
          </cell>
          <cell r="F11">
            <v>46235</v>
          </cell>
          <cell r="G11">
            <v>5</v>
          </cell>
          <cell r="H11">
            <v>40</v>
          </cell>
          <cell r="I11">
            <v>18.666666666666668</v>
          </cell>
          <cell r="J11">
            <v>0</v>
          </cell>
          <cell r="K11">
            <v>214.67999999999998</v>
          </cell>
          <cell r="L11">
            <v>20</v>
          </cell>
          <cell r="M11">
            <v>0</v>
          </cell>
          <cell r="N11">
            <v>219.64</v>
          </cell>
          <cell r="O11">
            <v>-200</v>
          </cell>
          <cell r="P11">
            <v>-1039.22</v>
          </cell>
          <cell r="Q11">
            <v>0</v>
          </cell>
          <cell r="R11">
            <v>0</v>
          </cell>
          <cell r="S11">
            <v>0</v>
          </cell>
          <cell r="T11">
            <v>31</v>
          </cell>
          <cell r="U11">
            <v>31</v>
          </cell>
          <cell r="V11">
            <v>0</v>
          </cell>
          <cell r="W11">
            <v>0</v>
          </cell>
          <cell r="X11" t="str">
            <v>ACTIVE</v>
          </cell>
        </row>
        <row r="12">
          <cell r="A12" t="str">
            <v>Telephone Number</v>
          </cell>
          <cell r="B12">
            <v>77781700</v>
          </cell>
          <cell r="F12">
            <v>46266</v>
          </cell>
          <cell r="G12">
            <v>4</v>
          </cell>
          <cell r="H12">
            <v>40</v>
          </cell>
          <cell r="I12">
            <v>18.666666666666668</v>
          </cell>
          <cell r="J12">
            <v>0</v>
          </cell>
          <cell r="K12">
            <v>214.67999999999998</v>
          </cell>
          <cell r="L12">
            <v>20</v>
          </cell>
          <cell r="M12">
            <v>0</v>
          </cell>
          <cell r="N12">
            <v>219.64</v>
          </cell>
          <cell r="O12">
            <v>-160</v>
          </cell>
          <cell r="P12">
            <v>-1199.22</v>
          </cell>
          <cell r="Q12">
            <v>0</v>
          </cell>
          <cell r="R12">
            <v>0</v>
          </cell>
          <cell r="S12">
            <v>0</v>
          </cell>
          <cell r="T12">
            <v>30</v>
          </cell>
          <cell r="U12">
            <v>30</v>
          </cell>
          <cell r="V12">
            <v>0</v>
          </cell>
          <cell r="W12">
            <v>0</v>
          </cell>
          <cell r="X12" t="str">
            <v>ACTIVE</v>
          </cell>
        </row>
        <row r="13">
          <cell r="A13" t="str">
            <v>Payee ID CARD No./IT Reg No.</v>
          </cell>
          <cell r="B13" t="str">
            <v>453147A</v>
          </cell>
          <cell r="F13">
            <v>46296</v>
          </cell>
          <cell r="G13">
            <v>4</v>
          </cell>
          <cell r="H13">
            <v>40</v>
          </cell>
          <cell r="I13">
            <v>18.666666666666668</v>
          </cell>
          <cell r="J13">
            <v>0</v>
          </cell>
          <cell r="K13">
            <v>214.67999999999998</v>
          </cell>
          <cell r="L13">
            <v>20</v>
          </cell>
          <cell r="M13">
            <v>0</v>
          </cell>
          <cell r="N13">
            <v>219.64</v>
          </cell>
          <cell r="O13">
            <v>-200</v>
          </cell>
          <cell r="P13">
            <v>-1399.22</v>
          </cell>
          <cell r="Q13">
            <v>0</v>
          </cell>
          <cell r="R13">
            <v>0</v>
          </cell>
          <cell r="S13">
            <v>0</v>
          </cell>
          <cell r="T13">
            <v>31</v>
          </cell>
          <cell r="U13">
            <v>31</v>
          </cell>
          <cell r="V13">
            <v>0</v>
          </cell>
          <cell r="W13">
            <v>0</v>
          </cell>
          <cell r="X13" t="str">
            <v>ACTIVE</v>
          </cell>
        </row>
        <row r="14">
          <cell r="A14" t="str">
            <v>Payee Social Security No.</v>
          </cell>
          <cell r="B14">
            <v>0</v>
          </cell>
          <cell r="F14">
            <v>46327</v>
          </cell>
          <cell r="G14">
            <v>5</v>
          </cell>
          <cell r="H14">
            <v>40</v>
          </cell>
          <cell r="I14">
            <v>18.666666666666668</v>
          </cell>
          <cell r="J14">
            <v>0</v>
          </cell>
          <cell r="K14">
            <v>214.67999999999998</v>
          </cell>
          <cell r="L14">
            <v>20</v>
          </cell>
          <cell r="M14">
            <v>0</v>
          </cell>
          <cell r="N14">
            <v>219.64</v>
          </cell>
          <cell r="O14">
            <v>-160</v>
          </cell>
          <cell r="P14">
            <v>-1559.22</v>
          </cell>
          <cell r="Q14">
            <v>0</v>
          </cell>
          <cell r="R14">
            <v>0</v>
          </cell>
          <cell r="S14">
            <v>0</v>
          </cell>
          <cell r="T14">
            <v>30</v>
          </cell>
          <cell r="U14">
            <v>30</v>
          </cell>
          <cell r="V14">
            <v>0</v>
          </cell>
          <cell r="W14">
            <v>0</v>
          </cell>
          <cell r="X14" t="str">
            <v>ACTIVE</v>
          </cell>
        </row>
        <row r="15">
          <cell r="A15" t="str">
            <v>Spouse's ID Card/IT Reg no.</v>
          </cell>
          <cell r="B15" t="str">
            <v>219213A</v>
          </cell>
          <cell r="F15">
            <v>46357</v>
          </cell>
          <cell r="G15">
            <v>4</v>
          </cell>
          <cell r="H15">
            <v>40</v>
          </cell>
          <cell r="I15">
            <v>18.666666666666668</v>
          </cell>
          <cell r="J15">
            <v>0</v>
          </cell>
          <cell r="K15">
            <v>214.67999999999998</v>
          </cell>
          <cell r="L15">
            <v>20</v>
          </cell>
          <cell r="M15">
            <v>0</v>
          </cell>
          <cell r="N15">
            <v>219.64</v>
          </cell>
          <cell r="O15">
            <v>-160</v>
          </cell>
          <cell r="P15">
            <v>-1719.22</v>
          </cell>
          <cell r="Q15">
            <v>0</v>
          </cell>
          <cell r="R15">
            <v>0</v>
          </cell>
          <cell r="S15">
            <v>0</v>
          </cell>
          <cell r="T15">
            <v>31</v>
          </cell>
          <cell r="U15">
            <v>31</v>
          </cell>
          <cell r="V15">
            <v>0</v>
          </cell>
          <cell r="W15">
            <v>0</v>
          </cell>
          <cell r="X15" t="str">
            <v>ACTIVE</v>
          </cell>
        </row>
        <row r="16">
          <cell r="A16" t="str">
            <v>IBAN</v>
          </cell>
          <cell r="B16" t="str">
            <v>MT70VALL22013000000050022916504</v>
          </cell>
          <cell r="F16" t="str">
            <v>TOTALS</v>
          </cell>
          <cell r="G16">
            <v>52</v>
          </cell>
          <cell r="I16">
            <v>223.99999999999997</v>
          </cell>
          <cell r="J16">
            <v>10.82</v>
          </cell>
          <cell r="K16">
            <v>214.67999999999998</v>
          </cell>
          <cell r="L16">
            <v>240</v>
          </cell>
          <cell r="M16">
            <v>20.36</v>
          </cell>
          <cell r="N16">
            <v>219.64</v>
          </cell>
          <cell r="P16">
            <v>-1719.22</v>
          </cell>
          <cell r="T16">
            <v>365</v>
          </cell>
          <cell r="V16">
            <v>0</v>
          </cell>
        </row>
        <row r="17">
          <cell r="A17" t="str">
            <v>Email</v>
          </cell>
          <cell r="B17" t="str">
            <v>anittasimon261998@gmail.com</v>
          </cell>
          <cell r="H17" t="str">
            <v>Balance to Pay/ Carry forward, Input at end of page</v>
          </cell>
          <cell r="K17">
            <v>214.67999999999998</v>
          </cell>
          <cell r="L17" t="str">
            <v>If paying part/ all of these please use table under December entry table</v>
          </cell>
          <cell r="P17">
            <v>-1719.22</v>
          </cell>
        </row>
        <row r="18">
          <cell r="A18" t="str">
            <v>DOB</v>
          </cell>
          <cell r="B18">
            <v>35948</v>
          </cell>
        </row>
        <row r="19">
          <cell r="A19" t="str">
            <v>date of First Employment</v>
          </cell>
          <cell r="B19">
            <v>45964</v>
          </cell>
          <cell r="F19" t="str">
            <v>Kunnamkudath Anitta Simon 453147A</v>
          </cell>
          <cell r="G19" t="str">
            <v>SIN</v>
          </cell>
          <cell r="H19" t="str">
            <v>10. Trainee  Dental Assistant</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10. Trainee  Dental Assistant</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G21">
            <v>24.28</v>
          </cell>
          <cell r="H21">
            <v>42.47</v>
          </cell>
          <cell r="I21">
            <v>43.39</v>
          </cell>
          <cell r="J21">
            <v>45.31</v>
          </cell>
          <cell r="K21">
            <v>17.239999999999998</v>
          </cell>
          <cell r="L21">
            <v>172.69</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G23">
            <v>10.82</v>
          </cell>
          <cell r="L23">
            <v>10.82</v>
          </cell>
          <cell r="R23" t="str">
            <v>SATURDAYS</v>
          </cell>
        </row>
        <row r="24">
          <cell r="A24" t="str">
            <v xml:space="preserve">TERM date This </v>
          </cell>
          <cell r="B24">
            <v>46387</v>
          </cell>
          <cell r="F24" t="str">
            <v>Unpaid Leave Hrs</v>
          </cell>
          <cell r="L24">
            <v>0</v>
          </cell>
          <cell r="R24">
            <v>5</v>
          </cell>
        </row>
        <row r="25">
          <cell r="F25" t="str">
            <v>SL</v>
          </cell>
          <cell r="K25">
            <v>16</v>
          </cell>
          <cell r="L25">
            <v>16</v>
          </cell>
        </row>
        <row r="26">
          <cell r="A26" t="str">
            <v>YEAR ENDING</v>
          </cell>
          <cell r="B26">
            <v>46387</v>
          </cell>
          <cell r="F26">
            <v>46023</v>
          </cell>
          <cell r="G26" t="str">
            <v>NEW LEAVE ENTITLEMENT</v>
          </cell>
          <cell r="H26" t="str">
            <v>VL = 214   OF   225</v>
          </cell>
          <cell r="I26" t="str">
            <v>SL = 93.33 %</v>
          </cell>
          <cell r="J26" t="str">
            <v>BANKED = 
0 Hrs</v>
          </cell>
          <cell r="K26" t="str">
            <v>ADJ</v>
          </cell>
          <cell r="L26">
            <v>0</v>
          </cell>
        </row>
        <row r="27">
          <cell r="F27">
            <v>2025005</v>
          </cell>
          <cell r="G27">
            <v>18.666666666666668</v>
          </cell>
          <cell r="H27">
            <v>46023</v>
          </cell>
          <cell r="I27" t="str">
            <v>to</v>
          </cell>
          <cell r="J27">
            <v>46053</v>
          </cell>
          <cell r="K27" t="str">
            <v>Banked This Month</v>
          </cell>
          <cell r="L27">
            <v>-0.49000000000000199</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Kunnamkudath Anitta Simon 453147A</v>
          </cell>
          <cell r="G29" t="str">
            <v>SIN</v>
          </cell>
          <cell r="H29" t="str">
            <v>10. Trainee  Dental Assistant</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G31">
            <v>39.590000000000003</v>
          </cell>
          <cell r="H31">
            <v>41.23</v>
          </cell>
          <cell r="I31">
            <v>36.14</v>
          </cell>
          <cell r="J31">
            <v>39.450000000000003</v>
          </cell>
          <cell r="L31">
            <v>156.41</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I35">
            <v>4.3600000000000003</v>
          </cell>
          <cell r="L35">
            <v>4.3600000000000003</v>
          </cell>
        </row>
        <row r="36">
          <cell r="F36">
            <v>46054</v>
          </cell>
          <cell r="G36" t="str">
            <v>NEW LEAVE ENTITLEMENT</v>
          </cell>
          <cell r="H36" t="str">
            <v>VL = 214   OF   225</v>
          </cell>
          <cell r="I36" t="str">
            <v>SL = 91.51 %</v>
          </cell>
          <cell r="J36" t="str">
            <v>BANKED = 
0.77 Hrs</v>
          </cell>
          <cell r="K36" t="str">
            <v>ADJ</v>
          </cell>
          <cell r="L36">
            <v>0</v>
          </cell>
        </row>
        <row r="37">
          <cell r="F37">
            <v>2025005</v>
          </cell>
          <cell r="G37">
            <v>18.666666666666668</v>
          </cell>
          <cell r="H37">
            <v>46054</v>
          </cell>
          <cell r="I37" t="str">
            <v>to</v>
          </cell>
          <cell r="J37">
            <v>46081</v>
          </cell>
          <cell r="K37" t="str">
            <v>Banked This Month</v>
          </cell>
          <cell r="L37">
            <v>0.76999999999999691</v>
          </cell>
          <cell r="M37" t="str">
            <v>UNPAID WEEKS</v>
          </cell>
          <cell r="N37">
            <v>0</v>
          </cell>
          <cell r="O37">
            <v>1</v>
          </cell>
          <cell r="P37" t="str">
            <v>Maternity</v>
          </cell>
          <cell r="Q37">
            <v>0</v>
          </cell>
        </row>
        <row r="39">
          <cell r="F39" t="str">
            <v>Kunnamkudath Anitta Simon 453147A</v>
          </cell>
          <cell r="G39" t="str">
            <v>SIN</v>
          </cell>
          <cell r="H39" t="str">
            <v>10. Trainee  Dental Assistant</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6">
        <row r="1">
          <cell r="A1" t="str">
            <v>EMP NO&gt;</v>
          </cell>
          <cell r="B1">
            <v>2025003</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RAcharya</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40</v>
          </cell>
          <cell r="I4">
            <v>18.666666666666668</v>
          </cell>
          <cell r="J4">
            <v>0</v>
          </cell>
          <cell r="K4">
            <v>223.99999999999997</v>
          </cell>
          <cell r="L4">
            <v>20</v>
          </cell>
          <cell r="M4">
            <v>0</v>
          </cell>
          <cell r="N4">
            <v>240</v>
          </cell>
          <cell r="O4">
            <v>-200</v>
          </cell>
          <cell r="P4">
            <v>-200</v>
          </cell>
          <cell r="Q4">
            <v>0</v>
          </cell>
          <cell r="R4">
            <v>0</v>
          </cell>
          <cell r="S4">
            <v>0</v>
          </cell>
          <cell r="T4">
            <v>31</v>
          </cell>
          <cell r="U4">
            <v>31</v>
          </cell>
          <cell r="V4">
            <v>0</v>
          </cell>
          <cell r="W4">
            <v>0</v>
          </cell>
          <cell r="X4" t="str">
            <v>ACTIVE</v>
          </cell>
        </row>
        <row r="5">
          <cell r="B5">
            <v>46023</v>
          </cell>
          <cell r="C5">
            <v>46387</v>
          </cell>
          <cell r="F5">
            <v>46054</v>
          </cell>
          <cell r="G5">
            <v>4</v>
          </cell>
          <cell r="H5">
            <v>40</v>
          </cell>
          <cell r="I5">
            <v>18.666666666666668</v>
          </cell>
          <cell r="J5">
            <v>0</v>
          </cell>
          <cell r="K5">
            <v>223.99999999999997</v>
          </cell>
          <cell r="L5">
            <v>20</v>
          </cell>
          <cell r="M5">
            <v>0</v>
          </cell>
          <cell r="N5">
            <v>240</v>
          </cell>
          <cell r="O5">
            <v>-160</v>
          </cell>
          <cell r="P5">
            <v>-360</v>
          </cell>
          <cell r="Q5">
            <v>0</v>
          </cell>
          <cell r="R5">
            <v>0</v>
          </cell>
          <cell r="S5">
            <v>0</v>
          </cell>
          <cell r="T5">
            <v>28</v>
          </cell>
          <cell r="U5">
            <v>28</v>
          </cell>
          <cell r="V5">
            <v>0</v>
          </cell>
          <cell r="W5">
            <v>0</v>
          </cell>
          <cell r="X5" t="str">
            <v>ACTIVE</v>
          </cell>
        </row>
        <row r="6">
          <cell r="A6" t="str">
            <v>Surname</v>
          </cell>
          <cell r="B6" t="str">
            <v>Acharya</v>
          </cell>
          <cell r="F6">
            <v>46082</v>
          </cell>
          <cell r="G6">
            <v>5</v>
          </cell>
          <cell r="H6">
            <v>40</v>
          </cell>
          <cell r="I6">
            <v>18.666666666666668</v>
          </cell>
          <cell r="J6">
            <v>0</v>
          </cell>
          <cell r="K6">
            <v>223.99999999999997</v>
          </cell>
          <cell r="L6">
            <v>20</v>
          </cell>
          <cell r="M6">
            <v>0</v>
          </cell>
          <cell r="N6">
            <v>240</v>
          </cell>
          <cell r="O6">
            <v>-160</v>
          </cell>
          <cell r="P6">
            <v>-520</v>
          </cell>
          <cell r="Q6">
            <v>0</v>
          </cell>
          <cell r="R6">
            <v>0</v>
          </cell>
          <cell r="S6">
            <v>0</v>
          </cell>
          <cell r="T6">
            <v>31</v>
          </cell>
          <cell r="U6">
            <v>31</v>
          </cell>
          <cell r="V6">
            <v>0</v>
          </cell>
          <cell r="W6">
            <v>0</v>
          </cell>
          <cell r="X6" t="str">
            <v>ACTIVE</v>
          </cell>
        </row>
        <row r="7">
          <cell r="A7" t="str">
            <v>Name</v>
          </cell>
          <cell r="B7" t="str">
            <v>Ramkrishna</v>
          </cell>
          <cell r="F7">
            <v>46113</v>
          </cell>
          <cell r="G7">
            <v>4</v>
          </cell>
          <cell r="H7">
            <v>40</v>
          </cell>
          <cell r="I7">
            <v>18.666666666666668</v>
          </cell>
          <cell r="J7">
            <v>0</v>
          </cell>
          <cell r="K7">
            <v>223.99999999999997</v>
          </cell>
          <cell r="L7">
            <v>20</v>
          </cell>
          <cell r="M7">
            <v>0</v>
          </cell>
          <cell r="N7">
            <v>240</v>
          </cell>
          <cell r="O7">
            <v>-160</v>
          </cell>
          <cell r="P7">
            <v>-680</v>
          </cell>
          <cell r="Q7">
            <v>0</v>
          </cell>
          <cell r="R7">
            <v>0</v>
          </cell>
          <cell r="S7">
            <v>0</v>
          </cell>
          <cell r="T7">
            <v>30</v>
          </cell>
          <cell r="U7">
            <v>30</v>
          </cell>
          <cell r="V7">
            <v>0</v>
          </cell>
          <cell r="W7">
            <v>0</v>
          </cell>
          <cell r="X7" t="str">
            <v>ACTIVE</v>
          </cell>
        </row>
        <row r="8">
          <cell r="A8" t="str">
            <v>Address   House No.</v>
          </cell>
          <cell r="B8" t="str">
            <v>2, Hacienda Court, Flat 1</v>
          </cell>
          <cell r="F8">
            <v>46143</v>
          </cell>
          <cell r="G8">
            <v>4</v>
          </cell>
          <cell r="H8">
            <v>40</v>
          </cell>
          <cell r="I8">
            <v>18.666666666666668</v>
          </cell>
          <cell r="J8">
            <v>0</v>
          </cell>
          <cell r="K8">
            <v>223.99999999999997</v>
          </cell>
          <cell r="L8">
            <v>20</v>
          </cell>
          <cell r="M8">
            <v>0</v>
          </cell>
          <cell r="N8">
            <v>240</v>
          </cell>
          <cell r="O8">
            <v>-200</v>
          </cell>
          <cell r="P8">
            <v>-880</v>
          </cell>
          <cell r="Q8">
            <v>0</v>
          </cell>
          <cell r="R8">
            <v>0</v>
          </cell>
          <cell r="S8">
            <v>0</v>
          </cell>
          <cell r="T8">
            <v>31</v>
          </cell>
          <cell r="U8">
            <v>31</v>
          </cell>
          <cell r="V8">
            <v>0</v>
          </cell>
          <cell r="W8">
            <v>0</v>
          </cell>
          <cell r="X8" t="str">
            <v>ACTIVE</v>
          </cell>
        </row>
        <row r="9">
          <cell r="A9" t="str">
            <v>Str</v>
          </cell>
          <cell r="B9" t="str">
            <v>Triq id-Dulliegh</v>
          </cell>
          <cell r="F9">
            <v>46174</v>
          </cell>
          <cell r="G9">
            <v>5</v>
          </cell>
          <cell r="H9">
            <v>40</v>
          </cell>
          <cell r="I9">
            <v>18.666666666666668</v>
          </cell>
          <cell r="J9">
            <v>0</v>
          </cell>
          <cell r="K9">
            <v>223.99999999999997</v>
          </cell>
          <cell r="L9">
            <v>20</v>
          </cell>
          <cell r="M9">
            <v>0</v>
          </cell>
          <cell r="N9">
            <v>240</v>
          </cell>
          <cell r="O9">
            <v>-160</v>
          </cell>
          <cell r="P9">
            <v>-1040</v>
          </cell>
          <cell r="Q9">
            <v>0</v>
          </cell>
          <cell r="R9">
            <v>0</v>
          </cell>
          <cell r="S9">
            <v>0</v>
          </cell>
          <cell r="T9">
            <v>30</v>
          </cell>
          <cell r="U9">
            <v>30</v>
          </cell>
          <cell r="V9">
            <v>0</v>
          </cell>
          <cell r="W9">
            <v>0</v>
          </cell>
          <cell r="X9" t="str">
            <v>ACTIVE</v>
          </cell>
        </row>
        <row r="10">
          <cell r="A10" t="str">
            <v>Locality</v>
          </cell>
          <cell r="B10" t="str">
            <v>Zejtun</v>
          </cell>
          <cell r="F10">
            <v>46204</v>
          </cell>
          <cell r="G10">
            <v>4</v>
          </cell>
          <cell r="H10">
            <v>40</v>
          </cell>
          <cell r="I10">
            <v>18.666666666666668</v>
          </cell>
          <cell r="J10">
            <v>0</v>
          </cell>
          <cell r="K10">
            <v>223.99999999999997</v>
          </cell>
          <cell r="L10">
            <v>20</v>
          </cell>
          <cell r="M10">
            <v>0</v>
          </cell>
          <cell r="N10">
            <v>240</v>
          </cell>
          <cell r="O10">
            <v>-160</v>
          </cell>
          <cell r="P10">
            <v>-1200</v>
          </cell>
          <cell r="Q10">
            <v>0</v>
          </cell>
          <cell r="R10">
            <v>0</v>
          </cell>
          <cell r="S10">
            <v>0</v>
          </cell>
          <cell r="T10">
            <v>31</v>
          </cell>
          <cell r="U10">
            <v>31</v>
          </cell>
          <cell r="V10">
            <v>0</v>
          </cell>
          <cell r="W10">
            <v>0</v>
          </cell>
          <cell r="X10" t="str">
            <v>ACTIVE</v>
          </cell>
        </row>
        <row r="11">
          <cell r="A11" t="str">
            <v xml:space="preserve">Postcode </v>
          </cell>
          <cell r="B11" t="str">
            <v>ZTN4371</v>
          </cell>
          <cell r="F11">
            <v>46235</v>
          </cell>
          <cell r="G11">
            <v>5</v>
          </cell>
          <cell r="H11">
            <v>40</v>
          </cell>
          <cell r="I11">
            <v>18.666666666666668</v>
          </cell>
          <cell r="J11">
            <v>0</v>
          </cell>
          <cell r="K11">
            <v>223.99999999999997</v>
          </cell>
          <cell r="L11">
            <v>20</v>
          </cell>
          <cell r="M11">
            <v>0</v>
          </cell>
          <cell r="N11">
            <v>240</v>
          </cell>
          <cell r="O11">
            <v>-160</v>
          </cell>
          <cell r="P11">
            <v>-1360</v>
          </cell>
          <cell r="Q11">
            <v>0</v>
          </cell>
          <cell r="R11">
            <v>0</v>
          </cell>
          <cell r="S11">
            <v>0</v>
          </cell>
          <cell r="T11">
            <v>31</v>
          </cell>
          <cell r="U11">
            <v>31</v>
          </cell>
          <cell r="V11">
            <v>0</v>
          </cell>
          <cell r="W11">
            <v>0</v>
          </cell>
          <cell r="X11" t="str">
            <v>ACTIVE</v>
          </cell>
        </row>
        <row r="12">
          <cell r="A12" t="str">
            <v>Telephone Number</v>
          </cell>
          <cell r="B12">
            <v>99923286</v>
          </cell>
          <cell r="F12">
            <v>46266</v>
          </cell>
          <cell r="G12">
            <v>4</v>
          </cell>
          <cell r="H12">
            <v>40</v>
          </cell>
          <cell r="I12">
            <v>18.666666666666668</v>
          </cell>
          <cell r="J12">
            <v>0</v>
          </cell>
          <cell r="K12">
            <v>223.99999999999997</v>
          </cell>
          <cell r="L12">
            <v>20</v>
          </cell>
          <cell r="M12">
            <v>0</v>
          </cell>
          <cell r="N12">
            <v>240</v>
          </cell>
          <cell r="O12">
            <v>-160</v>
          </cell>
          <cell r="P12">
            <v>-1520</v>
          </cell>
          <cell r="Q12">
            <v>0</v>
          </cell>
          <cell r="R12">
            <v>0</v>
          </cell>
          <cell r="S12">
            <v>0</v>
          </cell>
          <cell r="T12">
            <v>30</v>
          </cell>
          <cell r="U12">
            <v>30</v>
          </cell>
          <cell r="V12">
            <v>0</v>
          </cell>
          <cell r="W12">
            <v>0</v>
          </cell>
          <cell r="X12" t="str">
            <v>ACTIVE</v>
          </cell>
        </row>
        <row r="13">
          <cell r="A13" t="str">
            <v>Payee ID CARD No./IT Reg No.</v>
          </cell>
          <cell r="B13" t="str">
            <v>302663A</v>
          </cell>
          <cell r="F13">
            <v>46296</v>
          </cell>
          <cell r="G13">
            <v>4</v>
          </cell>
          <cell r="H13">
            <v>40</v>
          </cell>
          <cell r="I13">
            <v>18.666666666666668</v>
          </cell>
          <cell r="J13">
            <v>0</v>
          </cell>
          <cell r="K13">
            <v>223.99999999999997</v>
          </cell>
          <cell r="L13">
            <v>20</v>
          </cell>
          <cell r="M13">
            <v>0</v>
          </cell>
          <cell r="N13">
            <v>240</v>
          </cell>
          <cell r="O13">
            <v>-200</v>
          </cell>
          <cell r="P13">
            <v>-1720</v>
          </cell>
          <cell r="Q13">
            <v>0</v>
          </cell>
          <cell r="R13">
            <v>0</v>
          </cell>
          <cell r="S13">
            <v>0</v>
          </cell>
          <cell r="T13">
            <v>31</v>
          </cell>
          <cell r="U13">
            <v>31</v>
          </cell>
          <cell r="V13">
            <v>0</v>
          </cell>
          <cell r="W13">
            <v>0</v>
          </cell>
          <cell r="X13" t="str">
            <v>ACTIVE</v>
          </cell>
        </row>
        <row r="14">
          <cell r="A14" t="str">
            <v>Payee Social Security No.</v>
          </cell>
          <cell r="B14">
            <v>0</v>
          </cell>
          <cell r="F14">
            <v>46327</v>
          </cell>
          <cell r="G14">
            <v>5</v>
          </cell>
          <cell r="H14">
            <v>40</v>
          </cell>
          <cell r="I14">
            <v>18.666666666666668</v>
          </cell>
          <cell r="J14">
            <v>0</v>
          </cell>
          <cell r="K14">
            <v>223.99999999999997</v>
          </cell>
          <cell r="L14">
            <v>20</v>
          </cell>
          <cell r="M14">
            <v>0</v>
          </cell>
          <cell r="N14">
            <v>240</v>
          </cell>
          <cell r="O14">
            <v>-160</v>
          </cell>
          <cell r="P14">
            <v>-1880</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40</v>
          </cell>
          <cell r="I15">
            <v>18.666666666666668</v>
          </cell>
          <cell r="J15">
            <v>0</v>
          </cell>
          <cell r="K15">
            <v>223.99999999999997</v>
          </cell>
          <cell r="L15">
            <v>20</v>
          </cell>
          <cell r="M15">
            <v>0</v>
          </cell>
          <cell r="N15">
            <v>240</v>
          </cell>
          <cell r="O15">
            <v>-160</v>
          </cell>
          <cell r="P15">
            <v>-2040</v>
          </cell>
          <cell r="Q15">
            <v>0</v>
          </cell>
          <cell r="R15">
            <v>0</v>
          </cell>
          <cell r="S15">
            <v>0</v>
          </cell>
          <cell r="T15">
            <v>31</v>
          </cell>
          <cell r="U15">
            <v>31</v>
          </cell>
          <cell r="V15">
            <v>0</v>
          </cell>
          <cell r="W15">
            <v>0</v>
          </cell>
          <cell r="X15" t="str">
            <v>ACTIVE</v>
          </cell>
        </row>
        <row r="16">
          <cell r="A16" t="str">
            <v>IBAN</v>
          </cell>
          <cell r="B16" t="str">
            <v>MT77VALL22013000000050020972692</v>
          </cell>
          <cell r="F16" t="str">
            <v>TOTALS</v>
          </cell>
          <cell r="G16">
            <v>52</v>
          </cell>
          <cell r="I16">
            <v>223.99999999999997</v>
          </cell>
          <cell r="J16">
            <v>0</v>
          </cell>
          <cell r="K16">
            <v>223.99999999999997</v>
          </cell>
          <cell r="L16">
            <v>240</v>
          </cell>
          <cell r="M16">
            <v>0</v>
          </cell>
          <cell r="N16">
            <v>240</v>
          </cell>
          <cell r="P16">
            <v>-2040</v>
          </cell>
          <cell r="T16">
            <v>365</v>
          </cell>
          <cell r="V16">
            <v>0</v>
          </cell>
        </row>
        <row r="17">
          <cell r="A17" t="str">
            <v>Email</v>
          </cell>
          <cell r="B17" t="str">
            <v>ramkrishnaacharya1997@gmail.com</v>
          </cell>
          <cell r="H17" t="str">
            <v>Balance to Pay/ Carry forward, Input at end of page</v>
          </cell>
          <cell r="K17">
            <v>223.99999999999997</v>
          </cell>
          <cell r="L17" t="str">
            <v>If paying part/ all of these please use table under December entry table</v>
          </cell>
          <cell r="P17">
            <v>-2040</v>
          </cell>
        </row>
        <row r="18">
          <cell r="A18" t="str">
            <v>DOB</v>
          </cell>
          <cell r="B18">
            <v>35641</v>
          </cell>
        </row>
        <row r="19">
          <cell r="A19" t="str">
            <v>date of First Employment</v>
          </cell>
          <cell r="B19">
            <v>45691</v>
          </cell>
          <cell r="F19" t="str">
            <v>Acharya Ramkrishna 302663A</v>
          </cell>
          <cell r="G19" t="str">
            <v>SIN</v>
          </cell>
          <cell r="H19" t="str">
            <v>13. Maintenance</v>
          </cell>
          <cell r="I19" t="str">
            <v>Hrs/Wk</v>
          </cell>
          <cell r="J19">
            <v>40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13. Maintenance</v>
          </cell>
          <cell r="F20">
            <v>4</v>
          </cell>
          <cell r="G20">
            <v>46025</v>
          </cell>
          <cell r="H20">
            <v>46032</v>
          </cell>
          <cell r="I20">
            <v>46039</v>
          </cell>
          <cell r="J20">
            <v>46046</v>
          </cell>
          <cell r="K20">
            <v>46053</v>
          </cell>
          <cell r="L20">
            <v>200</v>
          </cell>
          <cell r="O20" t="str">
            <v>to</v>
          </cell>
          <cell r="R20">
            <v>31</v>
          </cell>
          <cell r="S20" t="str">
            <v>Week 1</v>
          </cell>
          <cell r="T20" t="str">
            <v>Week 2</v>
          </cell>
          <cell r="U20" t="str">
            <v>Week 3</v>
          </cell>
          <cell r="V20" t="str">
            <v>Week 4</v>
          </cell>
          <cell r="W20" t="str">
            <v>Week 5</v>
          </cell>
        </row>
        <row r="21">
          <cell r="A21" t="str">
            <v>Ft/PT at Start Year</v>
          </cell>
          <cell r="B21" t="str">
            <v>FT</v>
          </cell>
          <cell r="F21" t="str">
            <v>Normal Hrs Worked (excl Ls)</v>
          </cell>
          <cell r="L21">
            <v>0</v>
          </cell>
          <cell r="O21" t="str">
            <v>to</v>
          </cell>
          <cell r="R21" t="str">
            <v xml:space="preserve">Mondays </v>
          </cell>
        </row>
        <row r="22">
          <cell r="A22" t="str">
            <v>FS4 Status</v>
          </cell>
          <cell r="B22" t="str">
            <v>SIN</v>
          </cell>
          <cell r="F22" t="str">
            <v>Overtime Hrs</v>
          </cell>
          <cell r="L22">
            <v>0</v>
          </cell>
          <cell r="O22" t="str">
            <v>to</v>
          </cell>
          <cell r="R22">
            <v>4</v>
          </cell>
          <cell r="V22" t="str">
            <v>TOT</v>
          </cell>
          <cell r="W22">
            <v>0</v>
          </cell>
        </row>
        <row r="23">
          <cell r="A23" t="str">
            <v>Hours agreed at start contract</v>
          </cell>
          <cell r="B23">
            <v>40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224   OF   224</v>
          </cell>
          <cell r="I26" t="str">
            <v>SL = 100 %</v>
          </cell>
          <cell r="J26" t="str">
            <v>BANKED = 
-200 Hrs</v>
          </cell>
          <cell r="K26" t="str">
            <v>ADJ</v>
          </cell>
          <cell r="L26">
            <v>0</v>
          </cell>
        </row>
        <row r="27">
          <cell r="F27">
            <v>2025003</v>
          </cell>
          <cell r="G27">
            <v>18.666666666666668</v>
          </cell>
          <cell r="H27">
            <v>46023</v>
          </cell>
          <cell r="I27" t="str">
            <v>to</v>
          </cell>
          <cell r="J27">
            <v>46053</v>
          </cell>
          <cell r="K27" t="str">
            <v>Banked This Month</v>
          </cell>
          <cell r="L27">
            <v>-200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Acharya Ramkrishna 302663A</v>
          </cell>
          <cell r="G29" t="str">
            <v>SIN</v>
          </cell>
          <cell r="H29" t="str">
            <v>13. Maintenance</v>
          </cell>
          <cell r="I29" t="str">
            <v>Hrs/Wk</v>
          </cell>
          <cell r="J29">
            <v>40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v>160</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row>
        <row r="32">
          <cell r="F32" t="str">
            <v>Overtime Hrs</v>
          </cell>
          <cell r="L32">
            <v>0</v>
          </cell>
          <cell r="O32" t="str">
            <v>to</v>
          </cell>
          <cell r="R32">
            <v>4</v>
          </cell>
          <cell r="V32" t="str">
            <v>TOT</v>
          </cell>
          <cell r="W32">
            <v>0</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224   OF   224</v>
          </cell>
          <cell r="I36" t="str">
            <v>SL = 100 %</v>
          </cell>
          <cell r="J36" t="str">
            <v>BANKED = 
-360 Hrs</v>
          </cell>
          <cell r="K36" t="str">
            <v>ADJ</v>
          </cell>
          <cell r="L36">
            <v>0</v>
          </cell>
        </row>
        <row r="37">
          <cell r="F37">
            <v>2025003</v>
          </cell>
          <cell r="G37">
            <v>18.666666666666668</v>
          </cell>
          <cell r="H37">
            <v>46054</v>
          </cell>
          <cell r="I37" t="str">
            <v>to</v>
          </cell>
          <cell r="J37">
            <v>46081</v>
          </cell>
          <cell r="K37" t="str">
            <v>Banked This Month</v>
          </cell>
          <cell r="L37">
            <v>-160</v>
          </cell>
          <cell r="M37" t="str">
            <v>UNPAID WEEKS</v>
          </cell>
          <cell r="N37">
            <v>0</v>
          </cell>
          <cell r="O37">
            <v>1</v>
          </cell>
          <cell r="P37" t="str">
            <v>Maternity</v>
          </cell>
          <cell r="Q37">
            <v>0</v>
          </cell>
        </row>
        <row r="39">
          <cell r="F39" t="str">
            <v>Acharya Ramkrishna 302663A</v>
          </cell>
          <cell r="G39" t="str">
            <v>SIN</v>
          </cell>
          <cell r="H39" t="str">
            <v>13. Maintenance</v>
          </cell>
          <cell r="I39" t="str">
            <v>Hrs/Wk</v>
          </cell>
          <cell r="J39">
            <v>40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7">
        <row r="1">
          <cell r="A1" t="str">
            <v>EMP NO&gt;</v>
          </cell>
          <cell r="B1">
            <v>2024002</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MEllul</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0</v>
          </cell>
          <cell r="I4">
            <v>0</v>
          </cell>
          <cell r="J4">
            <v>0</v>
          </cell>
          <cell r="K4">
            <v>0</v>
          </cell>
          <cell r="L4">
            <v>0</v>
          </cell>
          <cell r="M4">
            <v>0</v>
          </cell>
          <cell r="N4">
            <v>0</v>
          </cell>
          <cell r="O4">
            <v>0</v>
          </cell>
          <cell r="P4">
            <v>0</v>
          </cell>
          <cell r="Q4">
            <v>0</v>
          </cell>
          <cell r="R4">
            <v>0</v>
          </cell>
          <cell r="S4">
            <v>0</v>
          </cell>
          <cell r="T4">
            <v>31</v>
          </cell>
          <cell r="U4">
            <v>31</v>
          </cell>
          <cell r="V4">
            <v>0</v>
          </cell>
          <cell r="W4">
            <v>65.180000000000007</v>
          </cell>
          <cell r="X4" t="str">
            <v>ACTIVE</v>
          </cell>
        </row>
        <row r="5">
          <cell r="B5">
            <v>46023</v>
          </cell>
          <cell r="C5">
            <v>46387</v>
          </cell>
          <cell r="F5">
            <v>46054</v>
          </cell>
          <cell r="G5">
            <v>4</v>
          </cell>
          <cell r="H5">
            <v>0</v>
          </cell>
          <cell r="I5">
            <v>0</v>
          </cell>
          <cell r="J5">
            <v>0</v>
          </cell>
          <cell r="K5">
            <v>0</v>
          </cell>
          <cell r="L5">
            <v>0</v>
          </cell>
          <cell r="M5">
            <v>0</v>
          </cell>
          <cell r="N5">
            <v>0</v>
          </cell>
          <cell r="O5">
            <v>0</v>
          </cell>
          <cell r="P5">
            <v>0</v>
          </cell>
          <cell r="Q5">
            <v>0</v>
          </cell>
          <cell r="R5">
            <v>0</v>
          </cell>
          <cell r="S5">
            <v>0</v>
          </cell>
          <cell r="T5">
            <v>28</v>
          </cell>
          <cell r="U5">
            <v>28</v>
          </cell>
          <cell r="V5">
            <v>0</v>
          </cell>
          <cell r="W5">
            <v>52.180000000000007</v>
          </cell>
          <cell r="X5" t="str">
            <v>ACTIVE</v>
          </cell>
        </row>
        <row r="6">
          <cell r="A6" t="str">
            <v>Surname</v>
          </cell>
          <cell r="B6" t="str">
            <v>Ellul</v>
          </cell>
          <cell r="F6">
            <v>46082</v>
          </cell>
          <cell r="G6">
            <v>5</v>
          </cell>
          <cell r="H6">
            <v>0</v>
          </cell>
          <cell r="I6">
            <v>0</v>
          </cell>
          <cell r="J6">
            <v>0</v>
          </cell>
          <cell r="K6">
            <v>0</v>
          </cell>
          <cell r="L6">
            <v>0</v>
          </cell>
          <cell r="M6">
            <v>0</v>
          </cell>
          <cell r="N6">
            <v>0</v>
          </cell>
          <cell r="O6">
            <v>0</v>
          </cell>
          <cell r="P6">
            <v>0</v>
          </cell>
          <cell r="Q6">
            <v>0</v>
          </cell>
          <cell r="R6">
            <v>0</v>
          </cell>
          <cell r="S6">
            <v>0</v>
          </cell>
          <cell r="T6">
            <v>31</v>
          </cell>
          <cell r="U6">
            <v>31</v>
          </cell>
          <cell r="V6">
            <v>0</v>
          </cell>
          <cell r="W6">
            <v>0</v>
          </cell>
          <cell r="X6" t="str">
            <v>ACTIVE</v>
          </cell>
        </row>
        <row r="7">
          <cell r="A7" t="str">
            <v>Name</v>
          </cell>
          <cell r="B7" t="str">
            <v>Maria</v>
          </cell>
          <cell r="F7">
            <v>46113</v>
          </cell>
          <cell r="G7">
            <v>4</v>
          </cell>
          <cell r="H7">
            <v>0</v>
          </cell>
          <cell r="I7">
            <v>0</v>
          </cell>
          <cell r="J7">
            <v>0</v>
          </cell>
          <cell r="K7">
            <v>0</v>
          </cell>
          <cell r="L7">
            <v>0</v>
          </cell>
          <cell r="M7">
            <v>0</v>
          </cell>
          <cell r="N7">
            <v>0</v>
          </cell>
          <cell r="O7">
            <v>0</v>
          </cell>
          <cell r="P7">
            <v>0</v>
          </cell>
          <cell r="Q7">
            <v>0</v>
          </cell>
          <cell r="R7">
            <v>0</v>
          </cell>
          <cell r="S7">
            <v>0</v>
          </cell>
          <cell r="T7">
            <v>30</v>
          </cell>
          <cell r="U7">
            <v>30</v>
          </cell>
          <cell r="V7">
            <v>0</v>
          </cell>
          <cell r="W7">
            <v>0</v>
          </cell>
          <cell r="X7" t="str">
            <v>ACTIVE</v>
          </cell>
        </row>
        <row r="8">
          <cell r="A8" t="str">
            <v>Address   House No.</v>
          </cell>
          <cell r="B8" t="str">
            <v>79, Qalb ta` Gesu</v>
          </cell>
          <cell r="F8">
            <v>46143</v>
          </cell>
          <cell r="G8">
            <v>4</v>
          </cell>
          <cell r="H8">
            <v>0</v>
          </cell>
          <cell r="I8">
            <v>0</v>
          </cell>
          <cell r="J8">
            <v>0</v>
          </cell>
          <cell r="K8">
            <v>0</v>
          </cell>
          <cell r="L8">
            <v>0</v>
          </cell>
          <cell r="M8">
            <v>0</v>
          </cell>
          <cell r="N8">
            <v>0</v>
          </cell>
          <cell r="O8">
            <v>0</v>
          </cell>
          <cell r="P8">
            <v>0</v>
          </cell>
          <cell r="Q8">
            <v>0</v>
          </cell>
          <cell r="R8">
            <v>0</v>
          </cell>
          <cell r="S8">
            <v>0</v>
          </cell>
          <cell r="T8">
            <v>31</v>
          </cell>
          <cell r="U8">
            <v>31</v>
          </cell>
          <cell r="V8">
            <v>0</v>
          </cell>
          <cell r="W8">
            <v>0</v>
          </cell>
          <cell r="X8" t="str">
            <v>ACTIVE</v>
          </cell>
        </row>
        <row r="9">
          <cell r="A9" t="str">
            <v>Str</v>
          </cell>
          <cell r="B9" t="str">
            <v>Triq Frans Grech</v>
          </cell>
          <cell r="F9">
            <v>46174</v>
          </cell>
          <cell r="G9">
            <v>5</v>
          </cell>
          <cell r="H9">
            <v>0</v>
          </cell>
          <cell r="I9">
            <v>0</v>
          </cell>
          <cell r="J9">
            <v>0</v>
          </cell>
          <cell r="K9">
            <v>0</v>
          </cell>
          <cell r="L9">
            <v>0</v>
          </cell>
          <cell r="M9">
            <v>0</v>
          </cell>
          <cell r="N9">
            <v>0</v>
          </cell>
          <cell r="O9">
            <v>0</v>
          </cell>
          <cell r="P9">
            <v>0</v>
          </cell>
          <cell r="Q9">
            <v>0</v>
          </cell>
          <cell r="R9">
            <v>0</v>
          </cell>
          <cell r="S9">
            <v>0</v>
          </cell>
          <cell r="T9">
            <v>30</v>
          </cell>
          <cell r="U9">
            <v>30</v>
          </cell>
          <cell r="V9">
            <v>0</v>
          </cell>
          <cell r="W9">
            <v>0</v>
          </cell>
          <cell r="X9" t="str">
            <v>ACTIVE</v>
          </cell>
        </row>
        <row r="10">
          <cell r="A10" t="str">
            <v>Locality</v>
          </cell>
          <cell r="B10" t="str">
            <v>Marsascala</v>
          </cell>
          <cell r="F10">
            <v>46204</v>
          </cell>
          <cell r="G10">
            <v>4</v>
          </cell>
          <cell r="H10">
            <v>0</v>
          </cell>
          <cell r="I10">
            <v>0</v>
          </cell>
          <cell r="J10">
            <v>0</v>
          </cell>
          <cell r="K10">
            <v>0</v>
          </cell>
          <cell r="L10">
            <v>0</v>
          </cell>
          <cell r="M10">
            <v>0</v>
          </cell>
          <cell r="N10">
            <v>0</v>
          </cell>
          <cell r="O10">
            <v>0</v>
          </cell>
          <cell r="P10">
            <v>0</v>
          </cell>
          <cell r="Q10">
            <v>0</v>
          </cell>
          <cell r="R10">
            <v>0</v>
          </cell>
          <cell r="S10">
            <v>0</v>
          </cell>
          <cell r="T10">
            <v>31</v>
          </cell>
          <cell r="U10">
            <v>31</v>
          </cell>
          <cell r="V10">
            <v>0</v>
          </cell>
          <cell r="W10">
            <v>0</v>
          </cell>
          <cell r="X10" t="str">
            <v>ACTIVE</v>
          </cell>
        </row>
        <row r="11">
          <cell r="A11" t="str">
            <v xml:space="preserve">Postcode </v>
          </cell>
          <cell r="B11" t="str">
            <v>MSK1245</v>
          </cell>
          <cell r="F11">
            <v>46235</v>
          </cell>
          <cell r="G11">
            <v>5</v>
          </cell>
          <cell r="H11">
            <v>0</v>
          </cell>
          <cell r="I11">
            <v>0</v>
          </cell>
          <cell r="J11">
            <v>0</v>
          </cell>
          <cell r="K11">
            <v>0</v>
          </cell>
          <cell r="L11">
            <v>0</v>
          </cell>
          <cell r="M11">
            <v>0</v>
          </cell>
          <cell r="N11">
            <v>0</v>
          </cell>
          <cell r="O11">
            <v>0</v>
          </cell>
          <cell r="P11">
            <v>0</v>
          </cell>
          <cell r="Q11">
            <v>0</v>
          </cell>
          <cell r="R11">
            <v>0</v>
          </cell>
          <cell r="S11">
            <v>0</v>
          </cell>
          <cell r="T11">
            <v>31</v>
          </cell>
          <cell r="U11">
            <v>31</v>
          </cell>
          <cell r="V11">
            <v>0</v>
          </cell>
          <cell r="W11">
            <v>0</v>
          </cell>
          <cell r="X11" t="str">
            <v>ACTIVE</v>
          </cell>
        </row>
        <row r="12">
          <cell r="A12" t="str">
            <v>Telephone Number</v>
          </cell>
          <cell r="B12">
            <v>79705790</v>
          </cell>
          <cell r="F12">
            <v>46266</v>
          </cell>
          <cell r="G12">
            <v>4</v>
          </cell>
          <cell r="H12">
            <v>0</v>
          </cell>
          <cell r="I12">
            <v>0</v>
          </cell>
          <cell r="J12">
            <v>0</v>
          </cell>
          <cell r="K12">
            <v>0</v>
          </cell>
          <cell r="L12">
            <v>0</v>
          </cell>
          <cell r="M12">
            <v>0</v>
          </cell>
          <cell r="N12">
            <v>0</v>
          </cell>
          <cell r="O12">
            <v>0</v>
          </cell>
          <cell r="P12">
            <v>0</v>
          </cell>
          <cell r="Q12">
            <v>0</v>
          </cell>
          <cell r="R12">
            <v>0</v>
          </cell>
          <cell r="S12">
            <v>0</v>
          </cell>
          <cell r="T12">
            <v>30</v>
          </cell>
          <cell r="U12">
            <v>30</v>
          </cell>
          <cell r="V12">
            <v>0</v>
          </cell>
          <cell r="W12">
            <v>0</v>
          </cell>
          <cell r="X12" t="str">
            <v>ACTIVE</v>
          </cell>
        </row>
        <row r="13">
          <cell r="A13" t="str">
            <v>Payee ID CARD No./IT Reg No.</v>
          </cell>
          <cell r="B13" t="str">
            <v>302481M</v>
          </cell>
          <cell r="F13">
            <v>46296</v>
          </cell>
          <cell r="G13">
            <v>4</v>
          </cell>
          <cell r="H13">
            <v>0</v>
          </cell>
          <cell r="I13">
            <v>0</v>
          </cell>
          <cell r="J13">
            <v>0</v>
          </cell>
          <cell r="K13">
            <v>0</v>
          </cell>
          <cell r="L13">
            <v>0</v>
          </cell>
          <cell r="M13">
            <v>0</v>
          </cell>
          <cell r="N13">
            <v>0</v>
          </cell>
          <cell r="O13">
            <v>0</v>
          </cell>
          <cell r="P13">
            <v>0</v>
          </cell>
          <cell r="Q13">
            <v>0</v>
          </cell>
          <cell r="R13">
            <v>0</v>
          </cell>
          <cell r="S13">
            <v>0</v>
          </cell>
          <cell r="T13">
            <v>31</v>
          </cell>
          <cell r="U13">
            <v>31</v>
          </cell>
          <cell r="V13">
            <v>0</v>
          </cell>
          <cell r="W13">
            <v>0</v>
          </cell>
          <cell r="X13" t="str">
            <v>ACTIVE</v>
          </cell>
        </row>
        <row r="14">
          <cell r="A14" t="str">
            <v>Payee Social Security No.</v>
          </cell>
          <cell r="B14" t="str">
            <v>A36848548</v>
          </cell>
          <cell r="F14">
            <v>46327</v>
          </cell>
          <cell r="G14">
            <v>5</v>
          </cell>
          <cell r="H14">
            <v>0</v>
          </cell>
          <cell r="I14">
            <v>0</v>
          </cell>
          <cell r="J14">
            <v>0</v>
          </cell>
          <cell r="K14">
            <v>0</v>
          </cell>
          <cell r="L14">
            <v>0</v>
          </cell>
          <cell r="M14">
            <v>0</v>
          </cell>
          <cell r="N14">
            <v>0</v>
          </cell>
          <cell r="O14">
            <v>0</v>
          </cell>
          <cell r="P14">
            <v>0</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0</v>
          </cell>
          <cell r="I15">
            <v>0</v>
          </cell>
          <cell r="J15">
            <v>0</v>
          </cell>
          <cell r="K15">
            <v>0</v>
          </cell>
          <cell r="L15">
            <v>0</v>
          </cell>
          <cell r="M15">
            <v>0</v>
          </cell>
          <cell r="N15">
            <v>0</v>
          </cell>
          <cell r="O15">
            <v>0</v>
          </cell>
          <cell r="P15">
            <v>0</v>
          </cell>
          <cell r="Q15">
            <v>0</v>
          </cell>
          <cell r="R15">
            <v>0</v>
          </cell>
          <cell r="S15">
            <v>0</v>
          </cell>
          <cell r="T15">
            <v>31</v>
          </cell>
          <cell r="U15">
            <v>31</v>
          </cell>
          <cell r="V15">
            <v>0</v>
          </cell>
          <cell r="W15">
            <v>0</v>
          </cell>
          <cell r="X15" t="str">
            <v>ACTIVE</v>
          </cell>
        </row>
        <row r="16">
          <cell r="A16" t="str">
            <v>IBAN</v>
          </cell>
          <cell r="B16" t="str">
            <v>MT97VALL22013000000017316123017</v>
          </cell>
          <cell r="F16" t="str">
            <v>TOTALS</v>
          </cell>
          <cell r="G16">
            <v>52</v>
          </cell>
          <cell r="I16">
            <v>0</v>
          </cell>
          <cell r="J16">
            <v>0</v>
          </cell>
          <cell r="K16">
            <v>0</v>
          </cell>
          <cell r="L16">
            <v>0</v>
          </cell>
          <cell r="M16">
            <v>0</v>
          </cell>
          <cell r="N16">
            <v>0</v>
          </cell>
          <cell r="P16">
            <v>0</v>
          </cell>
          <cell r="T16">
            <v>365</v>
          </cell>
          <cell r="V16">
            <v>0</v>
          </cell>
        </row>
        <row r="17">
          <cell r="A17" t="str">
            <v>Email</v>
          </cell>
          <cell r="B17" t="str">
            <v>mariaellul18@yahoo.co.uk</v>
          </cell>
          <cell r="H17" t="str">
            <v>Balance to Pay/ Carry forward, Input at end of page</v>
          </cell>
          <cell r="K17">
            <v>0</v>
          </cell>
          <cell r="L17" t="str">
            <v>If paying part/ all of these please use table under December entry table</v>
          </cell>
          <cell r="P17">
            <v>0</v>
          </cell>
        </row>
        <row r="18">
          <cell r="A18" t="str">
            <v>DOB</v>
          </cell>
          <cell r="B18">
            <v>29755</v>
          </cell>
        </row>
        <row r="19">
          <cell r="A19" t="str">
            <v>date of First Employment</v>
          </cell>
          <cell r="B19">
            <v>45383</v>
          </cell>
          <cell r="F19" t="str">
            <v>Ellul Maria 302481M</v>
          </cell>
          <cell r="G19">
            <v>0</v>
          </cell>
          <cell r="H19" t="str">
            <v>9. Receptionist</v>
          </cell>
          <cell r="I19" t="str">
            <v>Hrs/Wk</v>
          </cell>
          <cell r="J19">
            <v>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9. Receptionist</v>
          </cell>
          <cell r="F20">
            <v>4</v>
          </cell>
          <cell r="G20">
            <v>46025</v>
          </cell>
          <cell r="H20">
            <v>46032</v>
          </cell>
          <cell r="I20">
            <v>46039</v>
          </cell>
          <cell r="J20">
            <v>46046</v>
          </cell>
          <cell r="K20">
            <v>46053</v>
          </cell>
          <cell r="L20" t="str">
            <v>N/A</v>
          </cell>
          <cell r="O20" t="str">
            <v>to</v>
          </cell>
          <cell r="R20">
            <v>31</v>
          </cell>
          <cell r="S20" t="str">
            <v>Week 1</v>
          </cell>
          <cell r="T20" t="str">
            <v>Week 2</v>
          </cell>
          <cell r="U20" t="str">
            <v>Week 3</v>
          </cell>
          <cell r="V20" t="str">
            <v>Week 4</v>
          </cell>
          <cell r="W20" t="str">
            <v>Week 5</v>
          </cell>
        </row>
        <row r="21">
          <cell r="A21" t="str">
            <v>Ft/PT at Start Year</v>
          </cell>
          <cell r="B21" t="str">
            <v>PT_CASUAL</v>
          </cell>
          <cell r="F21" t="str">
            <v>Normal Hrs Worked (excl Ls)</v>
          </cell>
          <cell r="L21">
            <v>0</v>
          </cell>
          <cell r="O21" t="str">
            <v>to</v>
          </cell>
          <cell r="R21" t="str">
            <v xml:space="preserve">Mondays </v>
          </cell>
          <cell r="S21">
            <v>6.73</v>
          </cell>
          <cell r="T21">
            <v>13.52</v>
          </cell>
          <cell r="U21">
            <v>15.68</v>
          </cell>
          <cell r="V21">
            <v>14.04</v>
          </cell>
          <cell r="W21">
            <v>15.21</v>
          </cell>
        </row>
        <row r="22">
          <cell r="A22" t="str">
            <v>FS4 Status</v>
          </cell>
          <cell r="B22">
            <v>0</v>
          </cell>
          <cell r="F22" t="str">
            <v>Overtime Hrs</v>
          </cell>
          <cell r="L22">
            <v>0</v>
          </cell>
          <cell r="O22" t="str">
            <v>to</v>
          </cell>
          <cell r="R22">
            <v>4</v>
          </cell>
          <cell r="V22" t="str">
            <v>TOT</v>
          </cell>
          <cell r="W22">
            <v>65.180000000000007</v>
          </cell>
        </row>
        <row r="23">
          <cell r="A23" t="str">
            <v>Hours agreed at start contract</v>
          </cell>
          <cell r="B23">
            <v>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0   OF   0</v>
          </cell>
          <cell r="I26" t="e">
            <v>#DIV/0!</v>
          </cell>
          <cell r="J26" t="str">
            <v>BANKED = 
0 Hrs</v>
          </cell>
          <cell r="K26" t="str">
            <v>ADJ</v>
          </cell>
          <cell r="L26">
            <v>0</v>
          </cell>
        </row>
        <row r="27">
          <cell r="F27">
            <v>2024002</v>
          </cell>
          <cell r="G27">
            <v>0</v>
          </cell>
          <cell r="H27">
            <v>46023</v>
          </cell>
          <cell r="I27" t="str">
            <v>to</v>
          </cell>
          <cell r="J27">
            <v>46053</v>
          </cell>
          <cell r="K27" t="str">
            <v>Banked This Month</v>
          </cell>
          <cell r="L27">
            <v>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Ellul Maria 302481M</v>
          </cell>
          <cell r="G29">
            <v>0</v>
          </cell>
          <cell r="H29" t="str">
            <v>9. Receptionist</v>
          </cell>
          <cell r="I29" t="str">
            <v>Hrs/Wk</v>
          </cell>
          <cell r="J29">
            <v>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t="str">
            <v>N/A</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cell r="S31">
            <v>12.21</v>
          </cell>
          <cell r="T31">
            <v>15.77</v>
          </cell>
          <cell r="U31">
            <v>11.39</v>
          </cell>
          <cell r="V31">
            <v>12.81</v>
          </cell>
        </row>
        <row r="32">
          <cell r="F32" t="str">
            <v>Overtime Hrs</v>
          </cell>
          <cell r="L32">
            <v>0</v>
          </cell>
          <cell r="O32" t="str">
            <v>to</v>
          </cell>
          <cell r="R32">
            <v>4</v>
          </cell>
          <cell r="V32" t="str">
            <v>TOT</v>
          </cell>
          <cell r="W32">
            <v>52.180000000000007</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0   OF   0</v>
          </cell>
          <cell r="I36" t="e">
            <v>#DIV/0!</v>
          </cell>
          <cell r="J36" t="str">
            <v>BANKED = 
0 Hrs</v>
          </cell>
          <cell r="K36" t="str">
            <v>ADJ</v>
          </cell>
          <cell r="L36">
            <v>0</v>
          </cell>
        </row>
        <row r="37">
          <cell r="F37">
            <v>2024002</v>
          </cell>
          <cell r="G37">
            <v>0</v>
          </cell>
          <cell r="H37">
            <v>46054</v>
          </cell>
          <cell r="I37" t="str">
            <v>to</v>
          </cell>
          <cell r="J37">
            <v>46081</v>
          </cell>
          <cell r="K37" t="str">
            <v>Banked This Month</v>
          </cell>
          <cell r="L37">
            <v>0</v>
          </cell>
          <cell r="M37" t="str">
            <v>UNPAID WEEKS</v>
          </cell>
          <cell r="N37">
            <v>0</v>
          </cell>
          <cell r="O37">
            <v>1</v>
          </cell>
          <cell r="P37" t="str">
            <v>Maternity</v>
          </cell>
          <cell r="Q37">
            <v>0</v>
          </cell>
        </row>
        <row r="39">
          <cell r="F39" t="str">
            <v>Ellul Maria 302481M</v>
          </cell>
          <cell r="G39">
            <v>0</v>
          </cell>
          <cell r="H39" t="str">
            <v>9. Receptionist</v>
          </cell>
          <cell r="I39" t="str">
            <v>Hrs/Wk</v>
          </cell>
          <cell r="J39">
            <v>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8">
        <row r="1">
          <cell r="A1" t="str">
            <v>EMP NO&gt;</v>
          </cell>
          <cell r="B1">
            <v>2025006</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ECurmi</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0</v>
          </cell>
          <cell r="I4">
            <v>0</v>
          </cell>
          <cell r="J4">
            <v>0</v>
          </cell>
          <cell r="K4">
            <v>0</v>
          </cell>
          <cell r="L4">
            <v>0</v>
          </cell>
          <cell r="M4">
            <v>0</v>
          </cell>
          <cell r="N4">
            <v>0</v>
          </cell>
          <cell r="O4">
            <v>0</v>
          </cell>
          <cell r="P4">
            <v>0</v>
          </cell>
          <cell r="Q4">
            <v>0</v>
          </cell>
          <cell r="R4">
            <v>0</v>
          </cell>
          <cell r="S4">
            <v>0</v>
          </cell>
          <cell r="T4">
            <v>31</v>
          </cell>
          <cell r="U4">
            <v>31</v>
          </cell>
          <cell r="V4">
            <v>0</v>
          </cell>
          <cell r="W4">
            <v>41.839999999999996</v>
          </cell>
          <cell r="X4" t="str">
            <v>ACTIVE</v>
          </cell>
        </row>
        <row r="5">
          <cell r="B5">
            <v>46023</v>
          </cell>
          <cell r="C5">
            <v>46387</v>
          </cell>
          <cell r="F5">
            <v>46054</v>
          </cell>
          <cell r="G5">
            <v>4</v>
          </cell>
          <cell r="H5">
            <v>0</v>
          </cell>
          <cell r="I5">
            <v>0</v>
          </cell>
          <cell r="J5">
            <v>0</v>
          </cell>
          <cell r="K5">
            <v>0</v>
          </cell>
          <cell r="L5">
            <v>0</v>
          </cell>
          <cell r="M5">
            <v>0</v>
          </cell>
          <cell r="N5">
            <v>0</v>
          </cell>
          <cell r="O5">
            <v>0</v>
          </cell>
          <cell r="P5">
            <v>0</v>
          </cell>
          <cell r="Q5">
            <v>0</v>
          </cell>
          <cell r="R5">
            <v>0</v>
          </cell>
          <cell r="S5">
            <v>0</v>
          </cell>
          <cell r="T5">
            <v>28</v>
          </cell>
          <cell r="U5">
            <v>28</v>
          </cell>
          <cell r="V5">
            <v>0</v>
          </cell>
          <cell r="W5">
            <v>45.989999999999995</v>
          </cell>
          <cell r="X5" t="str">
            <v>ACTIVE</v>
          </cell>
        </row>
        <row r="6">
          <cell r="A6" t="str">
            <v>Surname</v>
          </cell>
          <cell r="B6" t="str">
            <v>Curmi</v>
          </cell>
          <cell r="F6">
            <v>46082</v>
          </cell>
          <cell r="G6">
            <v>5</v>
          </cell>
          <cell r="H6">
            <v>0</v>
          </cell>
          <cell r="I6">
            <v>0</v>
          </cell>
          <cell r="J6">
            <v>0</v>
          </cell>
          <cell r="K6">
            <v>0</v>
          </cell>
          <cell r="L6">
            <v>0</v>
          </cell>
          <cell r="M6">
            <v>0</v>
          </cell>
          <cell r="N6">
            <v>0</v>
          </cell>
          <cell r="O6">
            <v>0</v>
          </cell>
          <cell r="P6">
            <v>0</v>
          </cell>
          <cell r="Q6">
            <v>0</v>
          </cell>
          <cell r="R6">
            <v>0</v>
          </cell>
          <cell r="S6">
            <v>0</v>
          </cell>
          <cell r="T6">
            <v>31</v>
          </cell>
          <cell r="U6">
            <v>31</v>
          </cell>
          <cell r="V6">
            <v>0</v>
          </cell>
          <cell r="W6">
            <v>0</v>
          </cell>
          <cell r="X6" t="str">
            <v>ACTIVE</v>
          </cell>
        </row>
        <row r="7">
          <cell r="A7" t="str">
            <v>Name</v>
          </cell>
          <cell r="B7" t="str">
            <v>Emma</v>
          </cell>
          <cell r="F7">
            <v>46113</v>
          </cell>
          <cell r="G7">
            <v>4</v>
          </cell>
          <cell r="H7">
            <v>0</v>
          </cell>
          <cell r="I7">
            <v>0</v>
          </cell>
          <cell r="J7">
            <v>0</v>
          </cell>
          <cell r="K7">
            <v>0</v>
          </cell>
          <cell r="L7">
            <v>0</v>
          </cell>
          <cell r="M7">
            <v>0</v>
          </cell>
          <cell r="N7">
            <v>0</v>
          </cell>
          <cell r="O7">
            <v>0</v>
          </cell>
          <cell r="P7">
            <v>0</v>
          </cell>
          <cell r="Q7">
            <v>0</v>
          </cell>
          <cell r="R7">
            <v>0</v>
          </cell>
          <cell r="S7">
            <v>0</v>
          </cell>
          <cell r="T7">
            <v>30</v>
          </cell>
          <cell r="U7">
            <v>30</v>
          </cell>
          <cell r="V7">
            <v>0</v>
          </cell>
          <cell r="W7">
            <v>0</v>
          </cell>
          <cell r="X7" t="str">
            <v>ACTIVE</v>
          </cell>
        </row>
        <row r="8">
          <cell r="A8" t="str">
            <v>Address   House No.</v>
          </cell>
          <cell r="B8" t="str">
            <v>St. Mary's Flats, Flat 1</v>
          </cell>
          <cell r="F8">
            <v>46143</v>
          </cell>
          <cell r="G8">
            <v>4</v>
          </cell>
          <cell r="H8">
            <v>0</v>
          </cell>
          <cell r="I8">
            <v>0</v>
          </cell>
          <cell r="J8">
            <v>0</v>
          </cell>
          <cell r="K8">
            <v>0</v>
          </cell>
          <cell r="L8">
            <v>0</v>
          </cell>
          <cell r="M8">
            <v>0</v>
          </cell>
          <cell r="N8">
            <v>0</v>
          </cell>
          <cell r="O8">
            <v>0</v>
          </cell>
          <cell r="P8">
            <v>0</v>
          </cell>
          <cell r="Q8">
            <v>0</v>
          </cell>
          <cell r="R8">
            <v>0</v>
          </cell>
          <cell r="S8">
            <v>0</v>
          </cell>
          <cell r="T8">
            <v>31</v>
          </cell>
          <cell r="U8">
            <v>31</v>
          </cell>
          <cell r="V8">
            <v>0</v>
          </cell>
          <cell r="W8">
            <v>0</v>
          </cell>
          <cell r="X8" t="str">
            <v>ACTIVE</v>
          </cell>
        </row>
        <row r="9">
          <cell r="A9" t="str">
            <v>Str</v>
          </cell>
          <cell r="B9" t="str">
            <v>Triq Nicolo Baldacchino</v>
          </cell>
          <cell r="F9">
            <v>46174</v>
          </cell>
          <cell r="G9">
            <v>5</v>
          </cell>
          <cell r="H9">
            <v>0</v>
          </cell>
          <cell r="I9">
            <v>0</v>
          </cell>
          <cell r="J9">
            <v>0</v>
          </cell>
          <cell r="K9">
            <v>0</v>
          </cell>
          <cell r="L9">
            <v>0</v>
          </cell>
          <cell r="M9">
            <v>0</v>
          </cell>
          <cell r="N9">
            <v>0</v>
          </cell>
          <cell r="O9">
            <v>0</v>
          </cell>
          <cell r="P9">
            <v>0</v>
          </cell>
          <cell r="Q9">
            <v>0</v>
          </cell>
          <cell r="R9">
            <v>0</v>
          </cell>
          <cell r="S9">
            <v>0</v>
          </cell>
          <cell r="T9">
            <v>30</v>
          </cell>
          <cell r="U9">
            <v>30</v>
          </cell>
          <cell r="V9">
            <v>0</v>
          </cell>
          <cell r="W9">
            <v>0</v>
          </cell>
          <cell r="X9" t="str">
            <v>ACTIVE</v>
          </cell>
        </row>
        <row r="10">
          <cell r="A10" t="str">
            <v>Locality</v>
          </cell>
          <cell r="B10" t="str">
            <v>Siggiewi</v>
          </cell>
          <cell r="F10">
            <v>46204</v>
          </cell>
          <cell r="G10">
            <v>4</v>
          </cell>
          <cell r="H10">
            <v>0</v>
          </cell>
          <cell r="I10">
            <v>0</v>
          </cell>
          <cell r="J10">
            <v>0</v>
          </cell>
          <cell r="K10">
            <v>0</v>
          </cell>
          <cell r="L10">
            <v>0</v>
          </cell>
          <cell r="M10">
            <v>0</v>
          </cell>
          <cell r="N10">
            <v>0</v>
          </cell>
          <cell r="O10">
            <v>0</v>
          </cell>
          <cell r="P10">
            <v>0</v>
          </cell>
          <cell r="Q10">
            <v>0</v>
          </cell>
          <cell r="R10">
            <v>0</v>
          </cell>
          <cell r="S10">
            <v>0</v>
          </cell>
          <cell r="T10">
            <v>31</v>
          </cell>
          <cell r="U10">
            <v>31</v>
          </cell>
          <cell r="V10">
            <v>0</v>
          </cell>
          <cell r="W10">
            <v>0</v>
          </cell>
          <cell r="X10" t="str">
            <v>ACTIVE</v>
          </cell>
        </row>
        <row r="11">
          <cell r="A11" t="str">
            <v xml:space="preserve">Postcode </v>
          </cell>
          <cell r="B11" t="str">
            <v>SGW2111</v>
          </cell>
          <cell r="F11">
            <v>46235</v>
          </cell>
          <cell r="G11">
            <v>5</v>
          </cell>
          <cell r="H11">
            <v>0</v>
          </cell>
          <cell r="I11">
            <v>0</v>
          </cell>
          <cell r="J11">
            <v>0</v>
          </cell>
          <cell r="K11">
            <v>0</v>
          </cell>
          <cell r="L11">
            <v>0</v>
          </cell>
          <cell r="M11">
            <v>0</v>
          </cell>
          <cell r="N11">
            <v>0</v>
          </cell>
          <cell r="O11">
            <v>0</v>
          </cell>
          <cell r="P11">
            <v>0</v>
          </cell>
          <cell r="Q11">
            <v>0</v>
          </cell>
          <cell r="R11">
            <v>0</v>
          </cell>
          <cell r="S11">
            <v>0</v>
          </cell>
          <cell r="T11">
            <v>31</v>
          </cell>
          <cell r="U11">
            <v>31</v>
          </cell>
          <cell r="V11">
            <v>0</v>
          </cell>
          <cell r="W11">
            <v>0</v>
          </cell>
          <cell r="X11" t="str">
            <v>ACTIVE</v>
          </cell>
        </row>
        <row r="12">
          <cell r="A12" t="str">
            <v>Telephone Number</v>
          </cell>
          <cell r="B12">
            <v>99702533</v>
          </cell>
          <cell r="F12">
            <v>46266</v>
          </cell>
          <cell r="G12">
            <v>4</v>
          </cell>
          <cell r="H12">
            <v>0</v>
          </cell>
          <cell r="I12">
            <v>0</v>
          </cell>
          <cell r="J12">
            <v>0</v>
          </cell>
          <cell r="K12">
            <v>0</v>
          </cell>
          <cell r="L12">
            <v>0</v>
          </cell>
          <cell r="M12">
            <v>0</v>
          </cell>
          <cell r="N12">
            <v>0</v>
          </cell>
          <cell r="O12">
            <v>0</v>
          </cell>
          <cell r="P12">
            <v>0</v>
          </cell>
          <cell r="Q12">
            <v>0</v>
          </cell>
          <cell r="R12">
            <v>0</v>
          </cell>
          <cell r="S12">
            <v>0</v>
          </cell>
          <cell r="T12">
            <v>30</v>
          </cell>
          <cell r="U12">
            <v>30</v>
          </cell>
          <cell r="V12">
            <v>0</v>
          </cell>
          <cell r="W12">
            <v>0</v>
          </cell>
          <cell r="X12" t="str">
            <v>ACTIVE</v>
          </cell>
        </row>
        <row r="13">
          <cell r="A13" t="str">
            <v>Payee ID CARD No./IT Reg No.</v>
          </cell>
          <cell r="B13" t="str">
            <v>10506L</v>
          </cell>
          <cell r="F13">
            <v>46296</v>
          </cell>
          <cell r="G13">
            <v>4</v>
          </cell>
          <cell r="H13">
            <v>0</v>
          </cell>
          <cell r="I13">
            <v>0</v>
          </cell>
          <cell r="J13">
            <v>0</v>
          </cell>
          <cell r="K13">
            <v>0</v>
          </cell>
          <cell r="L13">
            <v>0</v>
          </cell>
          <cell r="M13">
            <v>0</v>
          </cell>
          <cell r="N13">
            <v>0</v>
          </cell>
          <cell r="O13">
            <v>0</v>
          </cell>
          <cell r="P13">
            <v>0</v>
          </cell>
          <cell r="Q13">
            <v>0</v>
          </cell>
          <cell r="R13">
            <v>0</v>
          </cell>
          <cell r="S13">
            <v>0</v>
          </cell>
          <cell r="T13">
            <v>31</v>
          </cell>
          <cell r="U13">
            <v>31</v>
          </cell>
          <cell r="V13">
            <v>0</v>
          </cell>
          <cell r="W13">
            <v>0</v>
          </cell>
          <cell r="X13" t="str">
            <v>ACTIVE</v>
          </cell>
        </row>
        <row r="14">
          <cell r="A14" t="str">
            <v>Payee Social Security No.</v>
          </cell>
          <cell r="B14" t="str">
            <v>D67754097</v>
          </cell>
          <cell r="F14">
            <v>46327</v>
          </cell>
          <cell r="G14">
            <v>5</v>
          </cell>
          <cell r="H14">
            <v>0</v>
          </cell>
          <cell r="I14">
            <v>0</v>
          </cell>
          <cell r="J14">
            <v>0</v>
          </cell>
          <cell r="K14">
            <v>0</v>
          </cell>
          <cell r="L14">
            <v>0</v>
          </cell>
          <cell r="M14">
            <v>0</v>
          </cell>
          <cell r="N14">
            <v>0</v>
          </cell>
          <cell r="O14">
            <v>0</v>
          </cell>
          <cell r="P14">
            <v>0</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0</v>
          </cell>
          <cell r="I15">
            <v>0</v>
          </cell>
          <cell r="J15">
            <v>0</v>
          </cell>
          <cell r="K15">
            <v>0</v>
          </cell>
          <cell r="L15">
            <v>0</v>
          </cell>
          <cell r="M15">
            <v>0</v>
          </cell>
          <cell r="N15">
            <v>0</v>
          </cell>
          <cell r="O15">
            <v>0</v>
          </cell>
          <cell r="P15">
            <v>0</v>
          </cell>
          <cell r="Q15">
            <v>0</v>
          </cell>
          <cell r="R15">
            <v>0</v>
          </cell>
          <cell r="S15">
            <v>0</v>
          </cell>
          <cell r="T15">
            <v>31</v>
          </cell>
          <cell r="U15">
            <v>31</v>
          </cell>
          <cell r="V15">
            <v>0</v>
          </cell>
          <cell r="W15">
            <v>0</v>
          </cell>
          <cell r="X15" t="str">
            <v>ACTIVE</v>
          </cell>
        </row>
        <row r="16">
          <cell r="A16" t="str">
            <v>IBAN</v>
          </cell>
          <cell r="B16" t="str">
            <v>MT46VALL22013000000050017560693</v>
          </cell>
          <cell r="F16" t="str">
            <v>TOTALS</v>
          </cell>
          <cell r="G16">
            <v>52</v>
          </cell>
          <cell r="I16">
            <v>0</v>
          </cell>
          <cell r="J16">
            <v>0</v>
          </cell>
          <cell r="K16">
            <v>0</v>
          </cell>
          <cell r="L16">
            <v>0</v>
          </cell>
          <cell r="M16">
            <v>0</v>
          </cell>
          <cell r="N16">
            <v>0</v>
          </cell>
          <cell r="P16">
            <v>0</v>
          </cell>
          <cell r="T16">
            <v>365</v>
          </cell>
          <cell r="V16">
            <v>0</v>
          </cell>
        </row>
        <row r="17">
          <cell r="A17" t="str">
            <v>Email</v>
          </cell>
          <cell r="B17" t="str">
            <v>emmacurmi06@gmail.com</v>
          </cell>
          <cell r="H17" t="str">
            <v>Balance to Pay/ Carry forward, Input at end of page</v>
          </cell>
          <cell r="K17">
            <v>0</v>
          </cell>
          <cell r="L17" t="str">
            <v>If paying part/ all of these please use table under December entry table</v>
          </cell>
          <cell r="P17">
            <v>0</v>
          </cell>
        </row>
        <row r="18">
          <cell r="A18" t="str">
            <v>DOB</v>
          </cell>
          <cell r="B18">
            <v>38718</v>
          </cell>
        </row>
        <row r="19">
          <cell r="A19" t="str">
            <v>date of First Employment</v>
          </cell>
          <cell r="B19">
            <v>45810</v>
          </cell>
          <cell r="F19" t="str">
            <v>Curmi Emma 10506L</v>
          </cell>
          <cell r="G19">
            <v>0</v>
          </cell>
          <cell r="H19" t="str">
            <v>10. Trainee  Dental Assistant</v>
          </cell>
          <cell r="I19" t="str">
            <v>Hrs/Wk</v>
          </cell>
          <cell r="J19">
            <v>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10. Trainee  Dental Assistant</v>
          </cell>
          <cell r="F20">
            <v>4</v>
          </cell>
          <cell r="G20">
            <v>46025</v>
          </cell>
          <cell r="H20">
            <v>46032</v>
          </cell>
          <cell r="I20">
            <v>46039</v>
          </cell>
          <cell r="J20">
            <v>46046</v>
          </cell>
          <cell r="K20">
            <v>46053</v>
          </cell>
          <cell r="L20" t="str">
            <v>N/A</v>
          </cell>
          <cell r="O20" t="str">
            <v>to</v>
          </cell>
          <cell r="R20">
            <v>31</v>
          </cell>
          <cell r="S20" t="str">
            <v>Week 1</v>
          </cell>
          <cell r="T20" t="str">
            <v>Week 2</v>
          </cell>
          <cell r="U20" t="str">
            <v>Week 3</v>
          </cell>
          <cell r="V20" t="str">
            <v>Week 4</v>
          </cell>
          <cell r="W20" t="str">
            <v>Week 5</v>
          </cell>
        </row>
        <row r="21">
          <cell r="A21" t="str">
            <v>Ft/PT at Start Year</v>
          </cell>
          <cell r="B21" t="str">
            <v>PT_CASUAL</v>
          </cell>
          <cell r="F21" t="str">
            <v>Normal Hrs Worked (excl Ls)</v>
          </cell>
          <cell r="L21">
            <v>0</v>
          </cell>
          <cell r="O21" t="str">
            <v>to</v>
          </cell>
          <cell r="R21" t="str">
            <v xml:space="preserve">Mondays </v>
          </cell>
          <cell r="S21">
            <v>5.27</v>
          </cell>
          <cell r="T21">
            <v>13.53</v>
          </cell>
          <cell r="U21">
            <v>18.75</v>
          </cell>
          <cell r="V21">
            <v>4.29</v>
          </cell>
        </row>
        <row r="22">
          <cell r="A22" t="str">
            <v>FS4 Status</v>
          </cell>
          <cell r="B22">
            <v>0</v>
          </cell>
          <cell r="F22" t="str">
            <v>Overtime Hrs</v>
          </cell>
          <cell r="L22">
            <v>0</v>
          </cell>
          <cell r="O22" t="str">
            <v>to</v>
          </cell>
          <cell r="R22">
            <v>4</v>
          </cell>
          <cell r="V22" t="str">
            <v>TOT</v>
          </cell>
          <cell r="W22">
            <v>41.839999999999996</v>
          </cell>
        </row>
        <row r="23">
          <cell r="A23" t="str">
            <v>Hours agreed at start contract</v>
          </cell>
          <cell r="B23">
            <v>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0   OF   0</v>
          </cell>
          <cell r="I26" t="e">
            <v>#DIV/0!</v>
          </cell>
          <cell r="J26" t="str">
            <v>BANKED = 
0 Hrs</v>
          </cell>
          <cell r="K26" t="str">
            <v>ADJ</v>
          </cell>
          <cell r="L26">
            <v>0</v>
          </cell>
        </row>
        <row r="27">
          <cell r="F27">
            <v>2025006</v>
          </cell>
          <cell r="G27">
            <v>0</v>
          </cell>
          <cell r="H27">
            <v>46023</v>
          </cell>
          <cell r="I27" t="str">
            <v>to</v>
          </cell>
          <cell r="J27">
            <v>46053</v>
          </cell>
          <cell r="K27" t="str">
            <v>Banked This Month</v>
          </cell>
          <cell r="L27">
            <v>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Curmi Emma 10506L</v>
          </cell>
          <cell r="G29">
            <v>0</v>
          </cell>
          <cell r="H29" t="str">
            <v>10. Trainee  Dental Assistant</v>
          </cell>
          <cell r="I29" t="str">
            <v>Hrs/Wk</v>
          </cell>
          <cell r="J29">
            <v>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t="str">
            <v>N/A</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cell r="S31">
            <v>10.91</v>
          </cell>
          <cell r="T31">
            <v>8.7200000000000006</v>
          </cell>
          <cell r="U31">
            <v>21.7</v>
          </cell>
          <cell r="V31">
            <v>4.66</v>
          </cell>
        </row>
        <row r="32">
          <cell r="F32" t="str">
            <v>Overtime Hrs</v>
          </cell>
          <cell r="L32">
            <v>0</v>
          </cell>
          <cell r="O32" t="str">
            <v>to</v>
          </cell>
          <cell r="R32">
            <v>4</v>
          </cell>
          <cell r="V32" t="str">
            <v>TOT</v>
          </cell>
          <cell r="W32">
            <v>45.989999999999995</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0   OF   0</v>
          </cell>
          <cell r="I36" t="e">
            <v>#DIV/0!</v>
          </cell>
          <cell r="J36" t="str">
            <v>BANKED = 
0 Hrs</v>
          </cell>
          <cell r="K36" t="str">
            <v>ADJ</v>
          </cell>
          <cell r="L36">
            <v>0</v>
          </cell>
        </row>
        <row r="37">
          <cell r="F37">
            <v>2025006</v>
          </cell>
          <cell r="G37">
            <v>0</v>
          </cell>
          <cell r="H37">
            <v>46054</v>
          </cell>
          <cell r="I37" t="str">
            <v>to</v>
          </cell>
          <cell r="J37">
            <v>46081</v>
          </cell>
          <cell r="K37" t="str">
            <v>Banked This Month</v>
          </cell>
          <cell r="L37">
            <v>0</v>
          </cell>
          <cell r="M37" t="str">
            <v>UNPAID WEEKS</v>
          </cell>
          <cell r="N37">
            <v>0</v>
          </cell>
          <cell r="O37">
            <v>1</v>
          </cell>
          <cell r="P37" t="str">
            <v>Maternity</v>
          </cell>
          <cell r="Q37">
            <v>0</v>
          </cell>
        </row>
        <row r="39">
          <cell r="F39" t="str">
            <v>Curmi Emma 10506L</v>
          </cell>
          <cell r="G39">
            <v>0</v>
          </cell>
          <cell r="H39" t="str">
            <v>10. Trainee  Dental Assistant</v>
          </cell>
          <cell r="I39" t="str">
            <v>Hrs/Wk</v>
          </cell>
          <cell r="J39">
            <v>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19">
        <row r="1">
          <cell r="A1" t="str">
            <v>EMP NO&gt;</v>
          </cell>
          <cell r="B1">
            <v>2025007</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AFalzon</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92</v>
          </cell>
        </row>
        <row r="4">
          <cell r="A4" t="str">
            <v>Period</v>
          </cell>
          <cell r="B4" t="str">
            <v>From</v>
          </cell>
          <cell r="C4" t="str">
            <v>To</v>
          </cell>
          <cell r="F4">
            <v>46023</v>
          </cell>
          <cell r="G4">
            <v>4</v>
          </cell>
          <cell r="H4">
            <v>0</v>
          </cell>
          <cell r="I4">
            <v>0</v>
          </cell>
          <cell r="J4">
            <v>0</v>
          </cell>
          <cell r="K4">
            <v>0</v>
          </cell>
          <cell r="L4">
            <v>0</v>
          </cell>
          <cell r="M4">
            <v>0</v>
          </cell>
          <cell r="N4">
            <v>0</v>
          </cell>
          <cell r="O4">
            <v>0</v>
          </cell>
          <cell r="P4">
            <v>0</v>
          </cell>
          <cell r="Q4">
            <v>0</v>
          </cell>
          <cell r="R4">
            <v>0</v>
          </cell>
          <cell r="S4">
            <v>0</v>
          </cell>
          <cell r="T4">
            <v>31</v>
          </cell>
          <cell r="U4">
            <v>31</v>
          </cell>
          <cell r="V4">
            <v>0</v>
          </cell>
          <cell r="W4">
            <v>12.93</v>
          </cell>
          <cell r="X4" t="str">
            <v>ACTIVE</v>
          </cell>
        </row>
        <row r="5">
          <cell r="B5">
            <v>46023</v>
          </cell>
          <cell r="C5">
            <v>46387</v>
          </cell>
          <cell r="F5">
            <v>46054</v>
          </cell>
          <cell r="G5">
            <v>4</v>
          </cell>
          <cell r="H5">
            <v>0</v>
          </cell>
          <cell r="I5">
            <v>0</v>
          </cell>
          <cell r="J5">
            <v>0</v>
          </cell>
          <cell r="K5">
            <v>0</v>
          </cell>
          <cell r="L5">
            <v>0</v>
          </cell>
          <cell r="M5">
            <v>0</v>
          </cell>
          <cell r="N5">
            <v>0</v>
          </cell>
          <cell r="O5">
            <v>0</v>
          </cell>
          <cell r="P5">
            <v>0</v>
          </cell>
          <cell r="Q5">
            <v>0</v>
          </cell>
          <cell r="R5">
            <v>0</v>
          </cell>
          <cell r="S5">
            <v>0</v>
          </cell>
          <cell r="T5">
            <v>28</v>
          </cell>
          <cell r="U5">
            <v>28</v>
          </cell>
          <cell r="V5">
            <v>0</v>
          </cell>
          <cell r="W5">
            <v>43.31</v>
          </cell>
          <cell r="X5" t="str">
            <v>ACTIVE</v>
          </cell>
        </row>
        <row r="6">
          <cell r="A6" t="str">
            <v>Surname</v>
          </cell>
          <cell r="B6" t="str">
            <v>Falzon</v>
          </cell>
          <cell r="F6">
            <v>46082</v>
          </cell>
          <cell r="G6">
            <v>5</v>
          </cell>
          <cell r="H6">
            <v>0</v>
          </cell>
          <cell r="I6">
            <v>0</v>
          </cell>
          <cell r="J6">
            <v>0</v>
          </cell>
          <cell r="K6">
            <v>0</v>
          </cell>
          <cell r="L6">
            <v>0</v>
          </cell>
          <cell r="M6">
            <v>0</v>
          </cell>
          <cell r="N6">
            <v>0</v>
          </cell>
          <cell r="O6">
            <v>0</v>
          </cell>
          <cell r="P6">
            <v>0</v>
          </cell>
          <cell r="Q6">
            <v>0</v>
          </cell>
          <cell r="R6">
            <v>0</v>
          </cell>
          <cell r="S6">
            <v>0</v>
          </cell>
          <cell r="T6">
            <v>31</v>
          </cell>
          <cell r="U6">
            <v>31</v>
          </cell>
          <cell r="V6">
            <v>0</v>
          </cell>
          <cell r="W6">
            <v>0</v>
          </cell>
          <cell r="X6" t="str">
            <v>ACTIVE</v>
          </cell>
        </row>
        <row r="7">
          <cell r="A7" t="str">
            <v>Name</v>
          </cell>
          <cell r="B7" t="str">
            <v>Andae</v>
          </cell>
          <cell r="F7">
            <v>46113</v>
          </cell>
          <cell r="G7">
            <v>4</v>
          </cell>
          <cell r="H7">
            <v>0</v>
          </cell>
          <cell r="I7">
            <v>0</v>
          </cell>
          <cell r="J7">
            <v>0</v>
          </cell>
          <cell r="K7">
            <v>0</v>
          </cell>
          <cell r="L7">
            <v>0</v>
          </cell>
          <cell r="M7">
            <v>0</v>
          </cell>
          <cell r="N7">
            <v>0</v>
          </cell>
          <cell r="O7">
            <v>0</v>
          </cell>
          <cell r="P7">
            <v>0</v>
          </cell>
          <cell r="Q7">
            <v>0</v>
          </cell>
          <cell r="R7">
            <v>0</v>
          </cell>
          <cell r="S7">
            <v>0</v>
          </cell>
          <cell r="T7">
            <v>30</v>
          </cell>
          <cell r="U7">
            <v>30</v>
          </cell>
          <cell r="V7">
            <v>0</v>
          </cell>
          <cell r="W7">
            <v>0</v>
          </cell>
          <cell r="X7" t="str">
            <v>ACTIVE</v>
          </cell>
        </row>
        <row r="8">
          <cell r="A8" t="str">
            <v>Address   House No.</v>
          </cell>
          <cell r="B8" t="str">
            <v>BLK I, Ent A, Flat 7</v>
          </cell>
          <cell r="F8">
            <v>46143</v>
          </cell>
          <cell r="G8">
            <v>4</v>
          </cell>
          <cell r="H8">
            <v>0</v>
          </cell>
          <cell r="I8">
            <v>0</v>
          </cell>
          <cell r="J8">
            <v>0</v>
          </cell>
          <cell r="K8">
            <v>0</v>
          </cell>
          <cell r="L8">
            <v>0</v>
          </cell>
          <cell r="M8">
            <v>0</v>
          </cell>
          <cell r="N8">
            <v>0</v>
          </cell>
          <cell r="O8">
            <v>0</v>
          </cell>
          <cell r="P8">
            <v>0</v>
          </cell>
          <cell r="Q8">
            <v>0</v>
          </cell>
          <cell r="R8">
            <v>0</v>
          </cell>
          <cell r="S8">
            <v>0</v>
          </cell>
          <cell r="T8">
            <v>31</v>
          </cell>
          <cell r="U8">
            <v>31</v>
          </cell>
          <cell r="V8">
            <v>0</v>
          </cell>
          <cell r="W8">
            <v>0</v>
          </cell>
          <cell r="X8" t="str">
            <v>ACTIVE</v>
          </cell>
        </row>
        <row r="9">
          <cell r="A9" t="str">
            <v>Str</v>
          </cell>
          <cell r="B9" t="str">
            <v>Triq Wied in-Noqor</v>
          </cell>
          <cell r="F9">
            <v>46174</v>
          </cell>
          <cell r="G9">
            <v>5</v>
          </cell>
          <cell r="H9">
            <v>0</v>
          </cell>
          <cell r="I9">
            <v>0</v>
          </cell>
          <cell r="J9">
            <v>0</v>
          </cell>
          <cell r="K9">
            <v>0</v>
          </cell>
          <cell r="L9">
            <v>0</v>
          </cell>
          <cell r="M9">
            <v>0</v>
          </cell>
          <cell r="N9">
            <v>0</v>
          </cell>
          <cell r="O9">
            <v>0</v>
          </cell>
          <cell r="P9">
            <v>0</v>
          </cell>
          <cell r="Q9">
            <v>0</v>
          </cell>
          <cell r="R9">
            <v>0</v>
          </cell>
          <cell r="S9">
            <v>0</v>
          </cell>
          <cell r="T9">
            <v>30</v>
          </cell>
          <cell r="U9">
            <v>30</v>
          </cell>
          <cell r="V9">
            <v>0</v>
          </cell>
          <cell r="W9">
            <v>0</v>
          </cell>
          <cell r="X9" t="str">
            <v>ACTIVE</v>
          </cell>
        </row>
        <row r="10">
          <cell r="A10" t="str">
            <v>Locality</v>
          </cell>
          <cell r="B10" t="str">
            <v>Hal-Farrug, Luqa</v>
          </cell>
          <cell r="F10">
            <v>46204</v>
          </cell>
          <cell r="G10">
            <v>4</v>
          </cell>
          <cell r="H10">
            <v>0</v>
          </cell>
          <cell r="I10">
            <v>0</v>
          </cell>
          <cell r="J10">
            <v>0</v>
          </cell>
          <cell r="K10">
            <v>0</v>
          </cell>
          <cell r="L10">
            <v>0</v>
          </cell>
          <cell r="M10">
            <v>0</v>
          </cell>
          <cell r="N10">
            <v>0</v>
          </cell>
          <cell r="O10">
            <v>0</v>
          </cell>
          <cell r="P10">
            <v>0</v>
          </cell>
          <cell r="Q10">
            <v>0</v>
          </cell>
          <cell r="R10">
            <v>0</v>
          </cell>
          <cell r="S10">
            <v>0</v>
          </cell>
          <cell r="T10">
            <v>31</v>
          </cell>
          <cell r="U10">
            <v>31</v>
          </cell>
          <cell r="V10">
            <v>0</v>
          </cell>
          <cell r="W10">
            <v>0</v>
          </cell>
          <cell r="X10" t="str">
            <v>ACTIVE</v>
          </cell>
        </row>
        <row r="11">
          <cell r="A11" t="str">
            <v xml:space="preserve">Postcode </v>
          </cell>
          <cell r="B11" t="str">
            <v>LQA3092</v>
          </cell>
          <cell r="F11">
            <v>46235</v>
          </cell>
          <cell r="G11">
            <v>5</v>
          </cell>
          <cell r="H11">
            <v>0</v>
          </cell>
          <cell r="I11">
            <v>0</v>
          </cell>
          <cell r="J11">
            <v>0</v>
          </cell>
          <cell r="K11">
            <v>0</v>
          </cell>
          <cell r="L11">
            <v>0</v>
          </cell>
          <cell r="M11">
            <v>0</v>
          </cell>
          <cell r="N11">
            <v>0</v>
          </cell>
          <cell r="O11">
            <v>0</v>
          </cell>
          <cell r="P11">
            <v>0</v>
          </cell>
          <cell r="Q11">
            <v>0</v>
          </cell>
          <cell r="R11">
            <v>0</v>
          </cell>
          <cell r="S11">
            <v>0</v>
          </cell>
          <cell r="T11">
            <v>31</v>
          </cell>
          <cell r="U11">
            <v>31</v>
          </cell>
          <cell r="V11">
            <v>0</v>
          </cell>
          <cell r="W11">
            <v>0</v>
          </cell>
          <cell r="X11" t="str">
            <v>ACTIVE</v>
          </cell>
        </row>
        <row r="12">
          <cell r="A12" t="str">
            <v>Telephone Number</v>
          </cell>
          <cell r="B12">
            <v>79352476</v>
          </cell>
          <cell r="F12">
            <v>46266</v>
          </cell>
          <cell r="G12">
            <v>4</v>
          </cell>
          <cell r="H12">
            <v>0</v>
          </cell>
          <cell r="I12">
            <v>0</v>
          </cell>
          <cell r="J12">
            <v>0</v>
          </cell>
          <cell r="K12">
            <v>0</v>
          </cell>
          <cell r="L12">
            <v>0</v>
          </cell>
          <cell r="M12">
            <v>0</v>
          </cell>
          <cell r="N12">
            <v>0</v>
          </cell>
          <cell r="O12">
            <v>0</v>
          </cell>
          <cell r="P12">
            <v>0</v>
          </cell>
          <cell r="Q12">
            <v>0</v>
          </cell>
          <cell r="R12">
            <v>0</v>
          </cell>
          <cell r="S12">
            <v>0</v>
          </cell>
          <cell r="T12">
            <v>30</v>
          </cell>
          <cell r="U12">
            <v>30</v>
          </cell>
          <cell r="V12">
            <v>0</v>
          </cell>
          <cell r="W12">
            <v>0</v>
          </cell>
          <cell r="X12" t="str">
            <v>ACTIVE</v>
          </cell>
        </row>
        <row r="13">
          <cell r="A13" t="str">
            <v>Payee ID CARD No./IT Reg No.</v>
          </cell>
          <cell r="B13" t="str">
            <v>229506L</v>
          </cell>
          <cell r="F13">
            <v>46296</v>
          </cell>
          <cell r="G13">
            <v>4</v>
          </cell>
          <cell r="H13">
            <v>0</v>
          </cell>
          <cell r="I13">
            <v>0</v>
          </cell>
          <cell r="J13">
            <v>0</v>
          </cell>
          <cell r="K13">
            <v>0</v>
          </cell>
          <cell r="L13">
            <v>0</v>
          </cell>
          <cell r="M13">
            <v>0</v>
          </cell>
          <cell r="N13">
            <v>0</v>
          </cell>
          <cell r="O13">
            <v>0</v>
          </cell>
          <cell r="P13">
            <v>0</v>
          </cell>
          <cell r="Q13">
            <v>0</v>
          </cell>
          <cell r="R13">
            <v>0</v>
          </cell>
          <cell r="S13">
            <v>0</v>
          </cell>
          <cell r="T13">
            <v>31</v>
          </cell>
          <cell r="U13">
            <v>31</v>
          </cell>
          <cell r="V13">
            <v>0</v>
          </cell>
          <cell r="W13">
            <v>0</v>
          </cell>
          <cell r="X13" t="str">
            <v>ACTIVE</v>
          </cell>
        </row>
        <row r="14">
          <cell r="A14" t="str">
            <v>Payee Social Security No.</v>
          </cell>
          <cell r="B14">
            <v>0</v>
          </cell>
          <cell r="F14">
            <v>46327</v>
          </cell>
          <cell r="G14">
            <v>5</v>
          </cell>
          <cell r="H14">
            <v>0</v>
          </cell>
          <cell r="I14">
            <v>0</v>
          </cell>
          <cell r="J14">
            <v>0</v>
          </cell>
          <cell r="K14">
            <v>0</v>
          </cell>
          <cell r="L14">
            <v>0</v>
          </cell>
          <cell r="M14">
            <v>0</v>
          </cell>
          <cell r="N14">
            <v>0</v>
          </cell>
          <cell r="O14">
            <v>0</v>
          </cell>
          <cell r="P14">
            <v>0</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0</v>
          </cell>
          <cell r="I15">
            <v>0</v>
          </cell>
          <cell r="J15">
            <v>0</v>
          </cell>
          <cell r="K15">
            <v>0</v>
          </cell>
          <cell r="L15">
            <v>0</v>
          </cell>
          <cell r="M15">
            <v>0</v>
          </cell>
          <cell r="N15">
            <v>0</v>
          </cell>
          <cell r="O15">
            <v>0</v>
          </cell>
          <cell r="P15">
            <v>0</v>
          </cell>
          <cell r="Q15">
            <v>0</v>
          </cell>
          <cell r="R15">
            <v>0</v>
          </cell>
          <cell r="S15">
            <v>0</v>
          </cell>
          <cell r="T15">
            <v>31</v>
          </cell>
          <cell r="U15">
            <v>31</v>
          </cell>
          <cell r="V15">
            <v>0</v>
          </cell>
          <cell r="W15">
            <v>0</v>
          </cell>
          <cell r="X15" t="str">
            <v>ACTIVE</v>
          </cell>
        </row>
        <row r="16">
          <cell r="A16" t="str">
            <v>IBAN</v>
          </cell>
          <cell r="B16" t="str">
            <v>MT17VALL22013000000050017709140</v>
          </cell>
          <cell r="F16" t="str">
            <v>TOTALS</v>
          </cell>
          <cell r="G16">
            <v>52</v>
          </cell>
          <cell r="I16">
            <v>0</v>
          </cell>
          <cell r="J16">
            <v>0</v>
          </cell>
          <cell r="K16">
            <v>0</v>
          </cell>
          <cell r="L16">
            <v>0</v>
          </cell>
          <cell r="M16">
            <v>0</v>
          </cell>
          <cell r="N16">
            <v>0</v>
          </cell>
          <cell r="P16">
            <v>0</v>
          </cell>
          <cell r="T16">
            <v>365</v>
          </cell>
          <cell r="V16">
            <v>0</v>
          </cell>
        </row>
        <row r="17">
          <cell r="A17" t="str">
            <v>Email</v>
          </cell>
          <cell r="B17" t="str">
            <v>afalzon986@gmail.com</v>
          </cell>
          <cell r="H17" t="str">
            <v>Balance to Pay/ Carry forward, Input at end of page</v>
          </cell>
          <cell r="K17">
            <v>0</v>
          </cell>
          <cell r="L17" t="str">
            <v>If paying part/ all of these please use table under December entry table</v>
          </cell>
          <cell r="P17">
            <v>0</v>
          </cell>
        </row>
        <row r="18">
          <cell r="A18" t="str">
            <v>DOB</v>
          </cell>
          <cell r="B18">
            <v>38910</v>
          </cell>
        </row>
        <row r="19">
          <cell r="A19" t="str">
            <v>date of First Employment</v>
          </cell>
          <cell r="B19">
            <v>45840</v>
          </cell>
          <cell r="F19" t="str">
            <v>Falzon Andae 229506L</v>
          </cell>
          <cell r="G19">
            <v>0</v>
          </cell>
          <cell r="H19" t="str">
            <v>10. Trainee  Dental Assistant</v>
          </cell>
          <cell r="I19" t="str">
            <v>Hrs/Wk</v>
          </cell>
          <cell r="J19">
            <v>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10. Trainee  Dental Assistant</v>
          </cell>
          <cell r="F20">
            <v>4</v>
          </cell>
          <cell r="G20">
            <v>46025</v>
          </cell>
          <cell r="H20">
            <v>46032</v>
          </cell>
          <cell r="I20">
            <v>46039</v>
          </cell>
          <cell r="J20">
            <v>46046</v>
          </cell>
          <cell r="K20">
            <v>46053</v>
          </cell>
          <cell r="L20" t="str">
            <v>N/A</v>
          </cell>
          <cell r="O20" t="str">
            <v>to</v>
          </cell>
          <cell r="R20">
            <v>31</v>
          </cell>
          <cell r="S20" t="str">
            <v>Week 1</v>
          </cell>
          <cell r="T20" t="str">
            <v>Week 2</v>
          </cell>
          <cell r="U20" t="str">
            <v>Week 3</v>
          </cell>
          <cell r="V20" t="str">
            <v>Week 4</v>
          </cell>
          <cell r="W20" t="str">
            <v>Week 5</v>
          </cell>
        </row>
        <row r="21">
          <cell r="A21" t="str">
            <v>Ft/PT at Start Year</v>
          </cell>
          <cell r="B21" t="str">
            <v>PT_CASUAL</v>
          </cell>
          <cell r="F21" t="str">
            <v>Normal Hrs Worked (excl Ls)</v>
          </cell>
          <cell r="L21">
            <v>0</v>
          </cell>
          <cell r="O21" t="str">
            <v>to</v>
          </cell>
          <cell r="R21" t="str">
            <v xml:space="preserve">Mondays </v>
          </cell>
          <cell r="S21">
            <v>6.73</v>
          </cell>
          <cell r="T21">
            <v>6.2</v>
          </cell>
        </row>
        <row r="22">
          <cell r="A22" t="str">
            <v>FS4 Status</v>
          </cell>
          <cell r="B22">
            <v>0</v>
          </cell>
          <cell r="F22" t="str">
            <v>Overtime Hrs</v>
          </cell>
          <cell r="L22">
            <v>0</v>
          </cell>
          <cell r="O22" t="str">
            <v>to</v>
          </cell>
          <cell r="R22">
            <v>4</v>
          </cell>
          <cell r="V22" t="str">
            <v>TOT</v>
          </cell>
          <cell r="W22">
            <v>12.93</v>
          </cell>
        </row>
        <row r="23">
          <cell r="A23" t="str">
            <v>Hours agreed at start contract</v>
          </cell>
          <cell r="B23">
            <v>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0   OF   0</v>
          </cell>
          <cell r="I26" t="e">
            <v>#DIV/0!</v>
          </cell>
          <cell r="J26" t="str">
            <v>BANKED = 
0 Hrs</v>
          </cell>
          <cell r="K26" t="str">
            <v>ADJ</v>
          </cell>
          <cell r="L26">
            <v>0</v>
          </cell>
        </row>
        <row r="27">
          <cell r="F27">
            <v>2025007</v>
          </cell>
          <cell r="G27">
            <v>0</v>
          </cell>
          <cell r="H27">
            <v>46023</v>
          </cell>
          <cell r="I27" t="str">
            <v>to</v>
          </cell>
          <cell r="J27">
            <v>46053</v>
          </cell>
          <cell r="K27" t="str">
            <v>Banked This Month</v>
          </cell>
          <cell r="L27">
            <v>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Falzon Andae 229506L</v>
          </cell>
          <cell r="G29">
            <v>0</v>
          </cell>
          <cell r="H29" t="str">
            <v>10. Trainee  Dental Assistant</v>
          </cell>
          <cell r="I29" t="str">
            <v>Hrs/Wk</v>
          </cell>
          <cell r="J29">
            <v>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t="str">
            <v>N/A</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cell r="S31">
            <v>10.27</v>
          </cell>
          <cell r="T31">
            <v>15.48</v>
          </cell>
          <cell r="U31">
            <v>10.32</v>
          </cell>
          <cell r="V31">
            <v>7.24</v>
          </cell>
        </row>
        <row r="32">
          <cell r="F32" t="str">
            <v>Overtime Hrs</v>
          </cell>
          <cell r="L32">
            <v>0</v>
          </cell>
          <cell r="O32" t="str">
            <v>to</v>
          </cell>
          <cell r="R32">
            <v>4</v>
          </cell>
          <cell r="V32" t="str">
            <v>TOT</v>
          </cell>
          <cell r="W32">
            <v>43.31</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0   OF   0</v>
          </cell>
          <cell r="I36" t="e">
            <v>#DIV/0!</v>
          </cell>
          <cell r="J36" t="str">
            <v>BANKED = 
0 Hrs</v>
          </cell>
          <cell r="K36" t="str">
            <v>ADJ</v>
          </cell>
          <cell r="L36">
            <v>0</v>
          </cell>
        </row>
        <row r="37">
          <cell r="F37">
            <v>2025007</v>
          </cell>
          <cell r="G37">
            <v>0</v>
          </cell>
          <cell r="H37">
            <v>46054</v>
          </cell>
          <cell r="I37" t="str">
            <v>to</v>
          </cell>
          <cell r="J37">
            <v>46081</v>
          </cell>
          <cell r="K37" t="str">
            <v>Banked This Month</v>
          </cell>
          <cell r="L37">
            <v>0</v>
          </cell>
          <cell r="M37" t="str">
            <v>UNPAID WEEKS</v>
          </cell>
          <cell r="N37">
            <v>0</v>
          </cell>
          <cell r="O37">
            <v>1</v>
          </cell>
          <cell r="P37" t="str">
            <v>Maternity</v>
          </cell>
          <cell r="Q37">
            <v>0</v>
          </cell>
        </row>
        <row r="39">
          <cell r="F39" t="str">
            <v>Falzon Andae 229506L</v>
          </cell>
          <cell r="G39">
            <v>0</v>
          </cell>
          <cell r="H39" t="str">
            <v>10. Trainee  Dental Assistant</v>
          </cell>
          <cell r="I39" t="str">
            <v>Hrs/Wk</v>
          </cell>
          <cell r="J39">
            <v>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20">
        <row r="1">
          <cell r="A1" t="str">
            <v>EMP NO&gt;</v>
          </cell>
          <cell r="B1">
            <v>2025011</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str">
            <v>ACTIVE</v>
          </cell>
          <cell r="C2">
            <v>46023</v>
          </cell>
          <cell r="F2" t="str">
            <v>ZMifsud</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v>59</v>
          </cell>
        </row>
        <row r="4">
          <cell r="A4" t="str">
            <v>Period</v>
          </cell>
          <cell r="B4" t="str">
            <v>From</v>
          </cell>
          <cell r="C4" t="str">
            <v>To</v>
          </cell>
          <cell r="F4">
            <v>46023</v>
          </cell>
          <cell r="G4">
            <v>4</v>
          </cell>
          <cell r="H4">
            <v>0</v>
          </cell>
          <cell r="I4">
            <v>0</v>
          </cell>
          <cell r="J4">
            <v>0</v>
          </cell>
          <cell r="K4">
            <v>0</v>
          </cell>
          <cell r="L4">
            <v>0</v>
          </cell>
          <cell r="M4">
            <v>0</v>
          </cell>
          <cell r="N4">
            <v>0</v>
          </cell>
          <cell r="O4">
            <v>0</v>
          </cell>
          <cell r="P4">
            <v>0</v>
          </cell>
          <cell r="Q4">
            <v>0</v>
          </cell>
          <cell r="R4">
            <v>0</v>
          </cell>
          <cell r="S4">
            <v>0</v>
          </cell>
          <cell r="T4">
            <v>31</v>
          </cell>
          <cell r="U4">
            <v>31</v>
          </cell>
          <cell r="V4">
            <v>0</v>
          </cell>
          <cell r="W4">
            <v>21.1</v>
          </cell>
          <cell r="X4" t="str">
            <v>ACTIVE</v>
          </cell>
        </row>
        <row r="5">
          <cell r="B5">
            <v>46023</v>
          </cell>
          <cell r="C5">
            <v>46387</v>
          </cell>
          <cell r="F5">
            <v>46054</v>
          </cell>
          <cell r="G5">
            <v>4</v>
          </cell>
          <cell r="H5">
            <v>0</v>
          </cell>
          <cell r="I5">
            <v>0</v>
          </cell>
          <cell r="J5">
            <v>0</v>
          </cell>
          <cell r="K5">
            <v>0</v>
          </cell>
          <cell r="L5">
            <v>0</v>
          </cell>
          <cell r="M5">
            <v>0</v>
          </cell>
          <cell r="N5">
            <v>0</v>
          </cell>
          <cell r="O5">
            <v>0</v>
          </cell>
          <cell r="P5">
            <v>0</v>
          </cell>
          <cell r="Q5">
            <v>0</v>
          </cell>
          <cell r="R5">
            <v>0</v>
          </cell>
          <cell r="S5">
            <v>0</v>
          </cell>
          <cell r="T5">
            <v>28</v>
          </cell>
          <cell r="U5">
            <v>28</v>
          </cell>
          <cell r="V5">
            <v>0</v>
          </cell>
          <cell r="W5">
            <v>17.93</v>
          </cell>
          <cell r="X5" t="str">
            <v>ACTIVE</v>
          </cell>
        </row>
        <row r="6">
          <cell r="A6" t="str">
            <v>Surname</v>
          </cell>
          <cell r="B6" t="str">
            <v>Mifsud</v>
          </cell>
          <cell r="F6">
            <v>46082</v>
          </cell>
          <cell r="G6">
            <v>5</v>
          </cell>
          <cell r="H6">
            <v>0</v>
          </cell>
          <cell r="I6">
            <v>0</v>
          </cell>
          <cell r="J6">
            <v>0</v>
          </cell>
          <cell r="K6">
            <v>0</v>
          </cell>
          <cell r="L6">
            <v>0</v>
          </cell>
          <cell r="M6">
            <v>0</v>
          </cell>
          <cell r="N6">
            <v>0</v>
          </cell>
          <cell r="O6">
            <v>0</v>
          </cell>
          <cell r="P6">
            <v>0</v>
          </cell>
          <cell r="Q6">
            <v>0</v>
          </cell>
          <cell r="R6">
            <v>0</v>
          </cell>
          <cell r="S6">
            <v>0</v>
          </cell>
          <cell r="T6">
            <v>31</v>
          </cell>
          <cell r="U6">
            <v>31</v>
          </cell>
          <cell r="V6">
            <v>0</v>
          </cell>
          <cell r="W6">
            <v>0</v>
          </cell>
          <cell r="X6" t="str">
            <v>ACTIVE</v>
          </cell>
        </row>
        <row r="7">
          <cell r="A7" t="str">
            <v>Name</v>
          </cell>
          <cell r="B7" t="str">
            <v>Zaira</v>
          </cell>
          <cell r="F7">
            <v>46113</v>
          </cell>
          <cell r="G7">
            <v>4</v>
          </cell>
          <cell r="H7">
            <v>0</v>
          </cell>
          <cell r="I7">
            <v>0</v>
          </cell>
          <cell r="J7">
            <v>0</v>
          </cell>
          <cell r="K7">
            <v>0</v>
          </cell>
          <cell r="L7">
            <v>0</v>
          </cell>
          <cell r="M7">
            <v>0</v>
          </cell>
          <cell r="N7">
            <v>0</v>
          </cell>
          <cell r="O7">
            <v>0</v>
          </cell>
          <cell r="P7">
            <v>0</v>
          </cell>
          <cell r="Q7">
            <v>0</v>
          </cell>
          <cell r="R7">
            <v>0</v>
          </cell>
          <cell r="S7">
            <v>0</v>
          </cell>
          <cell r="T7">
            <v>30</v>
          </cell>
          <cell r="U7">
            <v>30</v>
          </cell>
          <cell r="V7">
            <v>0</v>
          </cell>
          <cell r="W7">
            <v>0</v>
          </cell>
          <cell r="X7" t="str">
            <v>ACTIVE</v>
          </cell>
        </row>
        <row r="8">
          <cell r="A8" t="str">
            <v>Address   House No.</v>
          </cell>
          <cell r="B8" t="str">
            <v>53, Flat 2</v>
          </cell>
          <cell r="F8">
            <v>46143</v>
          </cell>
          <cell r="G8">
            <v>4</v>
          </cell>
          <cell r="H8">
            <v>0</v>
          </cell>
          <cell r="I8">
            <v>0</v>
          </cell>
          <cell r="J8">
            <v>0</v>
          </cell>
          <cell r="K8">
            <v>0</v>
          </cell>
          <cell r="L8">
            <v>0</v>
          </cell>
          <cell r="M8">
            <v>0</v>
          </cell>
          <cell r="N8">
            <v>0</v>
          </cell>
          <cell r="O8">
            <v>0</v>
          </cell>
          <cell r="P8">
            <v>0</v>
          </cell>
          <cell r="Q8">
            <v>0</v>
          </cell>
          <cell r="R8">
            <v>0</v>
          </cell>
          <cell r="S8">
            <v>0</v>
          </cell>
          <cell r="T8">
            <v>31</v>
          </cell>
          <cell r="U8">
            <v>31</v>
          </cell>
          <cell r="V8">
            <v>0</v>
          </cell>
          <cell r="W8">
            <v>0</v>
          </cell>
          <cell r="X8" t="str">
            <v>ACTIVE</v>
          </cell>
        </row>
        <row r="9">
          <cell r="A9" t="str">
            <v>Str</v>
          </cell>
          <cell r="B9" t="str">
            <v>Triq il-Gross</v>
          </cell>
          <cell r="F9">
            <v>46174</v>
          </cell>
          <cell r="G9">
            <v>5</v>
          </cell>
          <cell r="H9">
            <v>0</v>
          </cell>
          <cell r="I9">
            <v>0</v>
          </cell>
          <cell r="J9">
            <v>0</v>
          </cell>
          <cell r="K9">
            <v>0</v>
          </cell>
          <cell r="L9">
            <v>0</v>
          </cell>
          <cell r="M9">
            <v>0</v>
          </cell>
          <cell r="N9">
            <v>0</v>
          </cell>
          <cell r="O9">
            <v>0</v>
          </cell>
          <cell r="P9">
            <v>0</v>
          </cell>
          <cell r="Q9">
            <v>0</v>
          </cell>
          <cell r="R9">
            <v>0</v>
          </cell>
          <cell r="S9">
            <v>0</v>
          </cell>
          <cell r="T9">
            <v>30</v>
          </cell>
          <cell r="U9">
            <v>30</v>
          </cell>
          <cell r="V9">
            <v>0</v>
          </cell>
          <cell r="W9">
            <v>0</v>
          </cell>
          <cell r="X9" t="str">
            <v>ACTIVE</v>
          </cell>
        </row>
        <row r="10">
          <cell r="A10" t="str">
            <v>Locality</v>
          </cell>
          <cell r="B10" t="str">
            <v>Marsascala</v>
          </cell>
          <cell r="F10">
            <v>46204</v>
          </cell>
          <cell r="G10">
            <v>4</v>
          </cell>
          <cell r="H10">
            <v>0</v>
          </cell>
          <cell r="I10">
            <v>0</v>
          </cell>
          <cell r="J10">
            <v>0</v>
          </cell>
          <cell r="K10">
            <v>0</v>
          </cell>
          <cell r="L10">
            <v>0</v>
          </cell>
          <cell r="M10">
            <v>0</v>
          </cell>
          <cell r="N10">
            <v>0</v>
          </cell>
          <cell r="O10">
            <v>0</v>
          </cell>
          <cell r="P10">
            <v>0</v>
          </cell>
          <cell r="Q10">
            <v>0</v>
          </cell>
          <cell r="R10">
            <v>0</v>
          </cell>
          <cell r="S10">
            <v>0</v>
          </cell>
          <cell r="T10">
            <v>31</v>
          </cell>
          <cell r="U10">
            <v>31</v>
          </cell>
          <cell r="V10">
            <v>0</v>
          </cell>
          <cell r="W10">
            <v>0</v>
          </cell>
          <cell r="X10" t="str">
            <v>ACTIVE</v>
          </cell>
        </row>
        <row r="11">
          <cell r="A11" t="str">
            <v xml:space="preserve">Postcode </v>
          </cell>
          <cell r="B11" t="str">
            <v>MSK2259</v>
          </cell>
          <cell r="F11">
            <v>46235</v>
          </cell>
          <cell r="G11">
            <v>5</v>
          </cell>
          <cell r="H11">
            <v>0</v>
          </cell>
          <cell r="I11">
            <v>0</v>
          </cell>
          <cell r="J11">
            <v>0</v>
          </cell>
          <cell r="K11">
            <v>0</v>
          </cell>
          <cell r="L11">
            <v>0</v>
          </cell>
          <cell r="M11">
            <v>0</v>
          </cell>
          <cell r="N11">
            <v>0</v>
          </cell>
          <cell r="O11">
            <v>0</v>
          </cell>
          <cell r="P11">
            <v>0</v>
          </cell>
          <cell r="Q11">
            <v>0</v>
          </cell>
          <cell r="R11">
            <v>0</v>
          </cell>
          <cell r="S11">
            <v>0</v>
          </cell>
          <cell r="T11">
            <v>31</v>
          </cell>
          <cell r="U11">
            <v>31</v>
          </cell>
          <cell r="V11">
            <v>0</v>
          </cell>
          <cell r="W11">
            <v>0</v>
          </cell>
          <cell r="X11" t="str">
            <v>ACTIVE</v>
          </cell>
        </row>
        <row r="12">
          <cell r="A12" t="str">
            <v>Telephone Number</v>
          </cell>
          <cell r="B12">
            <v>77109529</v>
          </cell>
          <cell r="F12">
            <v>46266</v>
          </cell>
          <cell r="G12">
            <v>4</v>
          </cell>
          <cell r="H12">
            <v>0</v>
          </cell>
          <cell r="I12">
            <v>0</v>
          </cell>
          <cell r="J12">
            <v>0</v>
          </cell>
          <cell r="K12">
            <v>0</v>
          </cell>
          <cell r="L12">
            <v>0</v>
          </cell>
          <cell r="M12">
            <v>0</v>
          </cell>
          <cell r="N12">
            <v>0</v>
          </cell>
          <cell r="O12">
            <v>0</v>
          </cell>
          <cell r="P12">
            <v>0</v>
          </cell>
          <cell r="Q12">
            <v>0</v>
          </cell>
          <cell r="R12">
            <v>0</v>
          </cell>
          <cell r="S12">
            <v>0</v>
          </cell>
          <cell r="T12">
            <v>30</v>
          </cell>
          <cell r="U12">
            <v>30</v>
          </cell>
          <cell r="V12">
            <v>0</v>
          </cell>
          <cell r="W12">
            <v>0</v>
          </cell>
          <cell r="X12" t="str">
            <v>ACTIVE</v>
          </cell>
        </row>
        <row r="13">
          <cell r="A13" t="str">
            <v>Payee ID CARD No./IT Reg No.</v>
          </cell>
          <cell r="B13" t="str">
            <v>138207L</v>
          </cell>
          <cell r="F13">
            <v>46296</v>
          </cell>
          <cell r="G13">
            <v>4</v>
          </cell>
          <cell r="H13">
            <v>0</v>
          </cell>
          <cell r="I13">
            <v>0</v>
          </cell>
          <cell r="J13">
            <v>0</v>
          </cell>
          <cell r="K13">
            <v>0</v>
          </cell>
          <cell r="L13">
            <v>0</v>
          </cell>
          <cell r="M13">
            <v>0</v>
          </cell>
          <cell r="N13">
            <v>0</v>
          </cell>
          <cell r="O13">
            <v>0</v>
          </cell>
          <cell r="P13">
            <v>0</v>
          </cell>
          <cell r="Q13">
            <v>0</v>
          </cell>
          <cell r="R13">
            <v>0</v>
          </cell>
          <cell r="S13">
            <v>0</v>
          </cell>
          <cell r="T13">
            <v>31</v>
          </cell>
          <cell r="U13">
            <v>31</v>
          </cell>
          <cell r="V13">
            <v>0</v>
          </cell>
          <cell r="W13">
            <v>0</v>
          </cell>
          <cell r="X13" t="str">
            <v>ACTIVE</v>
          </cell>
        </row>
        <row r="14">
          <cell r="A14" t="str">
            <v>Payee Social Security No.</v>
          </cell>
          <cell r="B14">
            <v>0</v>
          </cell>
          <cell r="F14">
            <v>46327</v>
          </cell>
          <cell r="G14">
            <v>5</v>
          </cell>
          <cell r="H14">
            <v>0</v>
          </cell>
          <cell r="I14">
            <v>0</v>
          </cell>
          <cell r="J14">
            <v>0</v>
          </cell>
          <cell r="K14">
            <v>0</v>
          </cell>
          <cell r="L14">
            <v>0</v>
          </cell>
          <cell r="M14">
            <v>0</v>
          </cell>
          <cell r="N14">
            <v>0</v>
          </cell>
          <cell r="O14">
            <v>0</v>
          </cell>
          <cell r="P14">
            <v>0</v>
          </cell>
          <cell r="Q14">
            <v>0</v>
          </cell>
          <cell r="R14">
            <v>0</v>
          </cell>
          <cell r="S14">
            <v>0</v>
          </cell>
          <cell r="T14">
            <v>30</v>
          </cell>
          <cell r="U14">
            <v>30</v>
          </cell>
          <cell r="V14">
            <v>0</v>
          </cell>
          <cell r="W14">
            <v>0</v>
          </cell>
          <cell r="X14" t="str">
            <v>ACTIVE</v>
          </cell>
        </row>
        <row r="15">
          <cell r="A15" t="str">
            <v>Spouse's ID Card/IT Reg no.</v>
          </cell>
          <cell r="B15">
            <v>0</v>
          </cell>
          <cell r="F15">
            <v>46357</v>
          </cell>
          <cell r="G15">
            <v>4</v>
          </cell>
          <cell r="H15">
            <v>0</v>
          </cell>
          <cell r="I15">
            <v>0</v>
          </cell>
          <cell r="J15">
            <v>0</v>
          </cell>
          <cell r="K15">
            <v>0</v>
          </cell>
          <cell r="L15">
            <v>0</v>
          </cell>
          <cell r="M15">
            <v>0</v>
          </cell>
          <cell r="N15">
            <v>0</v>
          </cell>
          <cell r="O15">
            <v>0</v>
          </cell>
          <cell r="P15">
            <v>0</v>
          </cell>
          <cell r="Q15">
            <v>0</v>
          </cell>
          <cell r="R15">
            <v>0</v>
          </cell>
          <cell r="S15">
            <v>0</v>
          </cell>
          <cell r="T15">
            <v>31</v>
          </cell>
          <cell r="U15">
            <v>31</v>
          </cell>
          <cell r="V15">
            <v>0</v>
          </cell>
          <cell r="W15">
            <v>0</v>
          </cell>
          <cell r="X15" t="str">
            <v>ACTIVE</v>
          </cell>
        </row>
        <row r="16">
          <cell r="A16" t="str">
            <v>IBAN</v>
          </cell>
          <cell r="B16" t="str">
            <v>MT66VALL22013000000050019180233</v>
          </cell>
          <cell r="F16" t="str">
            <v>TOTALS</v>
          </cell>
          <cell r="G16">
            <v>52</v>
          </cell>
          <cell r="I16">
            <v>0</v>
          </cell>
          <cell r="J16">
            <v>0</v>
          </cell>
          <cell r="K16">
            <v>0</v>
          </cell>
          <cell r="L16">
            <v>0</v>
          </cell>
          <cell r="M16">
            <v>0</v>
          </cell>
          <cell r="N16">
            <v>0</v>
          </cell>
          <cell r="P16">
            <v>0</v>
          </cell>
          <cell r="T16">
            <v>365</v>
          </cell>
          <cell r="V16">
            <v>0</v>
          </cell>
        </row>
        <row r="17">
          <cell r="A17" t="str">
            <v>Email</v>
          </cell>
          <cell r="B17" t="str">
            <v>mifsudzaira@icloud.com</v>
          </cell>
          <cell r="H17" t="str">
            <v>Balance to Pay/ Carry forward, Input at end of page</v>
          </cell>
          <cell r="K17">
            <v>0</v>
          </cell>
          <cell r="L17" t="str">
            <v>If paying part/ all of these please use table under December entry table</v>
          </cell>
          <cell r="P17">
            <v>0</v>
          </cell>
        </row>
        <row r="18">
          <cell r="A18" t="str">
            <v>DOB</v>
          </cell>
          <cell r="B18">
            <v>39203</v>
          </cell>
        </row>
        <row r="19">
          <cell r="A19" t="str">
            <v>date of First Employment</v>
          </cell>
          <cell r="B19">
            <v>45964</v>
          </cell>
          <cell r="F19" t="str">
            <v>Mifsud Zaira 138207L</v>
          </cell>
          <cell r="G19">
            <v>0</v>
          </cell>
          <cell r="H19" t="str">
            <v>10. Trainee  Dental Assistant</v>
          </cell>
          <cell r="I19" t="str">
            <v>Hrs/Wk</v>
          </cell>
          <cell r="J19">
            <v>0</v>
          </cell>
          <cell r="K19" t="str">
            <v>← Note: Hours can be changed if necssary</v>
          </cell>
          <cell r="L19" t="str">
            <v>ACTIVE</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str">
            <v>10. Trainee  Dental Assistant</v>
          </cell>
          <cell r="F20">
            <v>4</v>
          </cell>
          <cell r="G20">
            <v>46025</v>
          </cell>
          <cell r="H20">
            <v>46032</v>
          </cell>
          <cell r="I20">
            <v>46039</v>
          </cell>
          <cell r="J20">
            <v>46046</v>
          </cell>
          <cell r="K20">
            <v>46053</v>
          </cell>
          <cell r="L20" t="str">
            <v>N/A</v>
          </cell>
          <cell r="O20" t="str">
            <v>to</v>
          </cell>
          <cell r="R20">
            <v>31</v>
          </cell>
          <cell r="S20" t="str">
            <v>Week 1</v>
          </cell>
          <cell r="T20" t="str">
            <v>Week 2</v>
          </cell>
          <cell r="U20" t="str">
            <v>Week 3</v>
          </cell>
          <cell r="V20" t="str">
            <v>Week 4</v>
          </cell>
          <cell r="W20" t="str">
            <v>Week 5</v>
          </cell>
        </row>
        <row r="21">
          <cell r="A21" t="str">
            <v>Ft/PT at Start Year</v>
          </cell>
          <cell r="B21" t="str">
            <v>PT_CASUAL</v>
          </cell>
          <cell r="F21" t="str">
            <v>Normal Hrs Worked (excl Ls)</v>
          </cell>
          <cell r="L21">
            <v>0</v>
          </cell>
          <cell r="O21" t="str">
            <v>to</v>
          </cell>
          <cell r="R21" t="str">
            <v xml:space="preserve">Mondays </v>
          </cell>
          <cell r="S21">
            <v>4.3600000000000003</v>
          </cell>
          <cell r="T21">
            <v>4.3899999999999997</v>
          </cell>
          <cell r="U21">
            <v>6.68</v>
          </cell>
          <cell r="V21">
            <v>5.67</v>
          </cell>
        </row>
        <row r="22">
          <cell r="A22" t="str">
            <v>FS4 Status</v>
          </cell>
          <cell r="B22">
            <v>0</v>
          </cell>
          <cell r="F22" t="str">
            <v>Overtime Hrs</v>
          </cell>
          <cell r="L22">
            <v>0</v>
          </cell>
          <cell r="O22" t="str">
            <v>to</v>
          </cell>
          <cell r="R22">
            <v>4</v>
          </cell>
          <cell r="V22" t="str">
            <v>TOT</v>
          </cell>
          <cell r="W22">
            <v>21.1</v>
          </cell>
        </row>
        <row r="23">
          <cell r="A23" t="str">
            <v>Hours agreed at start contract</v>
          </cell>
          <cell r="B23">
            <v>0</v>
          </cell>
          <cell r="F23" t="str">
            <v>VL</v>
          </cell>
          <cell r="L23">
            <v>0</v>
          </cell>
          <cell r="R23" t="str">
            <v>SATURDAYS</v>
          </cell>
        </row>
        <row r="24">
          <cell r="A24" t="str">
            <v xml:space="preserve">TERM date This </v>
          </cell>
          <cell r="B24">
            <v>46387</v>
          </cell>
          <cell r="F24" t="str">
            <v>Unpaid Leave Hrs</v>
          </cell>
          <cell r="L24">
            <v>0</v>
          </cell>
          <cell r="R24">
            <v>5</v>
          </cell>
        </row>
        <row r="25">
          <cell r="F25" t="str">
            <v>SL</v>
          </cell>
          <cell r="L25">
            <v>0</v>
          </cell>
        </row>
        <row r="26">
          <cell r="A26" t="str">
            <v>YEAR ENDING</v>
          </cell>
          <cell r="B26">
            <v>46387</v>
          </cell>
          <cell r="F26">
            <v>46023</v>
          </cell>
          <cell r="G26" t="str">
            <v>NEW LEAVE ENTITLEMENT</v>
          </cell>
          <cell r="H26" t="str">
            <v>VL = 0   OF   0</v>
          </cell>
          <cell r="I26" t="e">
            <v>#DIV/0!</v>
          </cell>
          <cell r="J26" t="str">
            <v>BANKED = 
0 Hrs</v>
          </cell>
          <cell r="K26" t="str">
            <v>ADJ</v>
          </cell>
          <cell r="L26">
            <v>0</v>
          </cell>
        </row>
        <row r="27">
          <cell r="F27">
            <v>2025011</v>
          </cell>
          <cell r="G27">
            <v>0</v>
          </cell>
          <cell r="H27">
            <v>46023</v>
          </cell>
          <cell r="I27" t="str">
            <v>to</v>
          </cell>
          <cell r="J27">
            <v>46053</v>
          </cell>
          <cell r="K27" t="str">
            <v>Banked This Month</v>
          </cell>
          <cell r="L27">
            <v>0</v>
          </cell>
          <cell r="M27" t="str">
            <v>UNPAID WEEKS</v>
          </cell>
          <cell r="N27">
            <v>0</v>
          </cell>
          <cell r="O27">
            <v>1</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str">
            <v>Mifsud Zaira 138207L</v>
          </cell>
          <cell r="G29">
            <v>0</v>
          </cell>
          <cell r="H29" t="str">
            <v>10. Trainee  Dental Assistant</v>
          </cell>
          <cell r="I29" t="str">
            <v>Hrs/Wk</v>
          </cell>
          <cell r="J29">
            <v>0</v>
          </cell>
          <cell r="K29" t="str">
            <v>← Note: Hours can be changed if necssary</v>
          </cell>
          <cell r="L29" t="str">
            <v>ACTIVE</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v>4</v>
          </cell>
          <cell r="G30">
            <v>46060</v>
          </cell>
          <cell r="H30">
            <v>46067</v>
          </cell>
          <cell r="I30">
            <v>46074</v>
          </cell>
          <cell r="J30">
            <v>46081</v>
          </cell>
          <cell r="K30">
            <v>0</v>
          </cell>
          <cell r="L30" t="str">
            <v>N/A</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cell r="S31">
            <v>7.52</v>
          </cell>
          <cell r="T31">
            <v>4.8899999999999997</v>
          </cell>
          <cell r="U31">
            <v>5.52</v>
          </cell>
        </row>
        <row r="32">
          <cell r="F32" t="str">
            <v>Overtime Hrs</v>
          </cell>
          <cell r="L32">
            <v>0</v>
          </cell>
          <cell r="O32" t="str">
            <v>to</v>
          </cell>
          <cell r="R32">
            <v>4</v>
          </cell>
          <cell r="V32" t="str">
            <v>TOT</v>
          </cell>
          <cell r="W32">
            <v>17.93</v>
          </cell>
        </row>
        <row r="33">
          <cell r="F33" t="str">
            <v>VL</v>
          </cell>
          <cell r="L33">
            <v>0</v>
          </cell>
          <cell r="R33" t="str">
            <v>SATURDAYS</v>
          </cell>
        </row>
        <row r="34">
          <cell r="F34" t="str">
            <v>Unpaid Leave Hrs</v>
          </cell>
          <cell r="L34">
            <v>0</v>
          </cell>
          <cell r="R34">
            <v>4</v>
          </cell>
        </row>
        <row r="35">
          <cell r="F35" t="str">
            <v>SL</v>
          </cell>
          <cell r="L35">
            <v>0</v>
          </cell>
        </row>
        <row r="36">
          <cell r="F36">
            <v>46054</v>
          </cell>
          <cell r="G36" t="str">
            <v>NEW LEAVE ENTITLEMENT</v>
          </cell>
          <cell r="H36" t="str">
            <v>VL = 0   OF   0</v>
          </cell>
          <cell r="I36" t="e">
            <v>#DIV/0!</v>
          </cell>
          <cell r="J36" t="str">
            <v>BANKED = 
0 Hrs</v>
          </cell>
          <cell r="K36" t="str">
            <v>ADJ</v>
          </cell>
          <cell r="L36">
            <v>0</v>
          </cell>
        </row>
        <row r="37">
          <cell r="F37">
            <v>2025011</v>
          </cell>
          <cell r="G37">
            <v>0</v>
          </cell>
          <cell r="H37">
            <v>46054</v>
          </cell>
          <cell r="I37" t="str">
            <v>to</v>
          </cell>
          <cell r="J37">
            <v>46081</v>
          </cell>
          <cell r="K37" t="str">
            <v>Banked This Month</v>
          </cell>
          <cell r="L37">
            <v>0</v>
          </cell>
          <cell r="M37" t="str">
            <v>UNPAID WEEKS</v>
          </cell>
          <cell r="N37">
            <v>0</v>
          </cell>
          <cell r="O37">
            <v>1</v>
          </cell>
          <cell r="P37" t="str">
            <v>Maternity</v>
          </cell>
          <cell r="Q37">
            <v>0</v>
          </cell>
        </row>
        <row r="39">
          <cell r="F39" t="str">
            <v>Mifsud Zaira 138207L</v>
          </cell>
          <cell r="G39">
            <v>0</v>
          </cell>
          <cell r="H39" t="str">
            <v>10. Trainee  Dental Assistant</v>
          </cell>
          <cell r="I39" t="str">
            <v>Hrs/Wk</v>
          </cell>
          <cell r="J39">
            <v>0</v>
          </cell>
          <cell r="K39" t="str">
            <v>← Note: Hours can be changed if necssary</v>
          </cell>
          <cell r="L39" t="str">
            <v>ACTIVE</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21">
        <row r="1">
          <cell r="A1" t="str">
            <v>EMP NO&gt;</v>
          </cell>
          <cell r="F1">
            <v>1</v>
          </cell>
          <cell r="G1">
            <v>2</v>
          </cell>
          <cell r="H1">
            <v>3</v>
          </cell>
          <cell r="I1">
            <v>4</v>
          </cell>
          <cell r="J1">
            <v>5</v>
          </cell>
          <cell r="K1">
            <v>6</v>
          </cell>
          <cell r="L1">
            <v>7</v>
          </cell>
          <cell r="M1">
            <v>8</v>
          </cell>
          <cell r="N1">
            <v>9</v>
          </cell>
          <cell r="O1">
            <v>10</v>
          </cell>
          <cell r="P1">
            <v>11</v>
          </cell>
          <cell r="Q1">
            <v>12</v>
          </cell>
          <cell r="R1">
            <v>13</v>
          </cell>
          <cell r="S1">
            <v>14</v>
          </cell>
          <cell r="T1">
            <v>15</v>
          </cell>
          <cell r="U1">
            <v>16</v>
          </cell>
          <cell r="V1">
            <v>17</v>
          </cell>
          <cell r="W1">
            <v>17</v>
          </cell>
        </row>
        <row r="2">
          <cell r="A2" t="str">
            <v>Payee information</v>
          </cell>
          <cell r="B2" t="e">
            <v>#N/A</v>
          </cell>
          <cell r="C2">
            <v>46023</v>
          </cell>
          <cell r="F2">
            <v>0</v>
          </cell>
          <cell r="G2" t="str">
            <v>No. weeks</v>
          </cell>
          <cell r="H2" t="str">
            <v>Hrs/wk</v>
          </cell>
          <cell r="I2" t="str">
            <v>VL New</v>
          </cell>
          <cell r="J2" t="str">
            <v>VL Taken</v>
          </cell>
          <cell r="K2" t="str">
            <v>VL Balance
(END MONTH)
TILL TERM</v>
          </cell>
          <cell r="L2" t="str">
            <v>SL NEW</v>
          </cell>
          <cell r="M2" t="str">
            <v>Used SL</v>
          </cell>
          <cell r="N2" t="str">
            <v>SL Balance</v>
          </cell>
          <cell r="O2" t="str">
            <v>NEW BANKED HOURS</v>
          </cell>
          <cell r="P2" t="str">
            <v>Balance BANKED HOURS</v>
          </cell>
          <cell r="Q2" t="str">
            <v>PAID MATERNITY LEAVE WEEKS</v>
          </cell>
          <cell r="R2" t="str">
            <v>UNPAID whole weeks</v>
          </cell>
          <cell r="S2" t="str">
            <v xml:space="preserve">Overtime HOURS 
</v>
          </cell>
          <cell r="T2" t="str">
            <v>Days on payroll 
(unpaid whole weeks factored in)</v>
          </cell>
          <cell r="U2" t="str">
            <v>Days in month</v>
          </cell>
          <cell r="V2" t="str">
            <v>Unpaid Leave Hrs</v>
          </cell>
          <cell r="W2" t="str">
            <v>EXTRA PAID HOURS/ PART TME HOURS</v>
          </cell>
        </row>
        <row r="3">
          <cell r="F3">
            <v>45993</v>
          </cell>
          <cell r="G3">
            <v>0</v>
          </cell>
          <cell r="J3">
            <v>0</v>
          </cell>
          <cell r="K3">
            <v>0</v>
          </cell>
          <cell r="P3">
            <v>0</v>
          </cell>
          <cell r="T3" t="e">
            <v>#N/A</v>
          </cell>
        </row>
        <row r="4">
          <cell r="A4" t="str">
            <v>Period</v>
          </cell>
          <cell r="B4" t="str">
            <v>From</v>
          </cell>
          <cell r="C4" t="str">
            <v>To</v>
          </cell>
          <cell r="F4">
            <v>46023</v>
          </cell>
          <cell r="G4" t="e">
            <v>#N/A</v>
          </cell>
          <cell r="H4" t="e">
            <v>#N/A</v>
          </cell>
          <cell r="I4" t="e">
            <v>#N/A</v>
          </cell>
          <cell r="J4">
            <v>0</v>
          </cell>
          <cell r="K4" t="e">
            <v>#N/A</v>
          </cell>
          <cell r="L4" t="e">
            <v>#N/A</v>
          </cell>
          <cell r="M4">
            <v>0</v>
          </cell>
          <cell r="N4" t="e">
            <v>#N/A</v>
          </cell>
          <cell r="O4" t="e">
            <v>#N/A</v>
          </cell>
          <cell r="P4" t="e">
            <v>#N/A</v>
          </cell>
          <cell r="Q4">
            <v>0</v>
          </cell>
          <cell r="R4">
            <v>0</v>
          </cell>
          <cell r="S4">
            <v>0</v>
          </cell>
          <cell r="T4" t="e">
            <v>#N/A</v>
          </cell>
          <cell r="U4">
            <v>31</v>
          </cell>
          <cell r="V4">
            <v>0</v>
          </cell>
          <cell r="W4">
            <v>0</v>
          </cell>
          <cell r="X4" t="e">
            <v>#N/A</v>
          </cell>
        </row>
        <row r="5">
          <cell r="B5" t="e">
            <v>#N/A</v>
          </cell>
          <cell r="C5" t="e">
            <v>#N/A</v>
          </cell>
          <cell r="F5">
            <v>46054</v>
          </cell>
          <cell r="G5" t="e">
            <v>#N/A</v>
          </cell>
          <cell r="H5" t="e">
            <v>#N/A</v>
          </cell>
          <cell r="I5" t="e">
            <v>#N/A</v>
          </cell>
          <cell r="J5">
            <v>0</v>
          </cell>
          <cell r="K5" t="e">
            <v>#N/A</v>
          </cell>
          <cell r="L5" t="e">
            <v>#N/A</v>
          </cell>
          <cell r="M5">
            <v>0</v>
          </cell>
          <cell r="N5" t="e">
            <v>#N/A</v>
          </cell>
          <cell r="O5" t="e">
            <v>#N/A</v>
          </cell>
          <cell r="P5" t="e">
            <v>#N/A</v>
          </cell>
          <cell r="Q5">
            <v>0</v>
          </cell>
          <cell r="R5">
            <v>0</v>
          </cell>
          <cell r="S5">
            <v>0</v>
          </cell>
          <cell r="T5" t="e">
            <v>#N/A</v>
          </cell>
          <cell r="U5">
            <v>28</v>
          </cell>
          <cell r="V5">
            <v>0</v>
          </cell>
          <cell r="W5">
            <v>0</v>
          </cell>
          <cell r="X5" t="e">
            <v>#N/A</v>
          </cell>
        </row>
        <row r="6">
          <cell r="A6" t="str">
            <v>Surname</v>
          </cell>
          <cell r="B6" t="e">
            <v>#N/A</v>
          </cell>
          <cell r="F6">
            <v>46082</v>
          </cell>
          <cell r="G6" t="e">
            <v>#N/A</v>
          </cell>
          <cell r="H6" t="e">
            <v>#N/A</v>
          </cell>
          <cell r="I6" t="e">
            <v>#N/A</v>
          </cell>
          <cell r="J6">
            <v>0</v>
          </cell>
          <cell r="K6" t="e">
            <v>#N/A</v>
          </cell>
          <cell r="L6" t="e">
            <v>#N/A</v>
          </cell>
          <cell r="M6">
            <v>0</v>
          </cell>
          <cell r="N6" t="e">
            <v>#N/A</v>
          </cell>
          <cell r="O6" t="e">
            <v>#N/A</v>
          </cell>
          <cell r="P6" t="e">
            <v>#N/A</v>
          </cell>
          <cell r="Q6">
            <v>0</v>
          </cell>
          <cell r="R6">
            <v>0</v>
          </cell>
          <cell r="S6">
            <v>0</v>
          </cell>
          <cell r="T6" t="e">
            <v>#N/A</v>
          </cell>
          <cell r="U6">
            <v>31</v>
          </cell>
          <cell r="V6">
            <v>0</v>
          </cell>
          <cell r="W6">
            <v>0</v>
          </cell>
          <cell r="X6" t="e">
            <v>#N/A</v>
          </cell>
        </row>
        <row r="7">
          <cell r="A7" t="str">
            <v>Name</v>
          </cell>
          <cell r="B7" t="e">
            <v>#N/A</v>
          </cell>
          <cell r="F7">
            <v>46113</v>
          </cell>
          <cell r="G7" t="e">
            <v>#N/A</v>
          </cell>
          <cell r="H7" t="e">
            <v>#N/A</v>
          </cell>
          <cell r="I7" t="e">
            <v>#N/A</v>
          </cell>
          <cell r="J7">
            <v>0</v>
          </cell>
          <cell r="K7" t="e">
            <v>#N/A</v>
          </cell>
          <cell r="L7" t="e">
            <v>#N/A</v>
          </cell>
          <cell r="M7">
            <v>0</v>
          </cell>
          <cell r="N7" t="e">
            <v>#N/A</v>
          </cell>
          <cell r="O7" t="e">
            <v>#N/A</v>
          </cell>
          <cell r="P7" t="e">
            <v>#N/A</v>
          </cell>
          <cell r="Q7">
            <v>0</v>
          </cell>
          <cell r="R7">
            <v>0</v>
          </cell>
          <cell r="S7">
            <v>0</v>
          </cell>
          <cell r="T7" t="e">
            <v>#N/A</v>
          </cell>
          <cell r="U7">
            <v>30</v>
          </cell>
          <cell r="V7">
            <v>0</v>
          </cell>
          <cell r="W7">
            <v>0</v>
          </cell>
          <cell r="X7" t="e">
            <v>#N/A</v>
          </cell>
        </row>
        <row r="8">
          <cell r="A8" t="str">
            <v>Address   House No.</v>
          </cell>
          <cell r="B8" t="e">
            <v>#N/A</v>
          </cell>
          <cell r="F8">
            <v>46143</v>
          </cell>
          <cell r="G8" t="e">
            <v>#N/A</v>
          </cell>
          <cell r="H8" t="e">
            <v>#N/A</v>
          </cell>
          <cell r="I8" t="e">
            <v>#N/A</v>
          </cell>
          <cell r="J8">
            <v>0</v>
          </cell>
          <cell r="K8" t="e">
            <v>#N/A</v>
          </cell>
          <cell r="L8" t="e">
            <v>#N/A</v>
          </cell>
          <cell r="M8">
            <v>0</v>
          </cell>
          <cell r="N8" t="e">
            <v>#N/A</v>
          </cell>
          <cell r="O8" t="e">
            <v>#N/A</v>
          </cell>
          <cell r="P8" t="e">
            <v>#N/A</v>
          </cell>
          <cell r="Q8">
            <v>0</v>
          </cell>
          <cell r="R8">
            <v>0</v>
          </cell>
          <cell r="S8">
            <v>0</v>
          </cell>
          <cell r="T8" t="e">
            <v>#N/A</v>
          </cell>
          <cell r="U8">
            <v>31</v>
          </cell>
          <cell r="V8">
            <v>0</v>
          </cell>
          <cell r="W8">
            <v>0</v>
          </cell>
          <cell r="X8" t="e">
            <v>#N/A</v>
          </cell>
        </row>
        <row r="9">
          <cell r="A9" t="str">
            <v>Str</v>
          </cell>
          <cell r="B9" t="e">
            <v>#N/A</v>
          </cell>
          <cell r="F9">
            <v>46174</v>
          </cell>
          <cell r="G9" t="e">
            <v>#N/A</v>
          </cell>
          <cell r="H9" t="e">
            <v>#N/A</v>
          </cell>
          <cell r="I9" t="e">
            <v>#N/A</v>
          </cell>
          <cell r="J9">
            <v>0</v>
          </cell>
          <cell r="K9" t="e">
            <v>#N/A</v>
          </cell>
          <cell r="L9" t="e">
            <v>#N/A</v>
          </cell>
          <cell r="M9">
            <v>0</v>
          </cell>
          <cell r="N9" t="e">
            <v>#N/A</v>
          </cell>
          <cell r="O9" t="e">
            <v>#N/A</v>
          </cell>
          <cell r="P9" t="e">
            <v>#N/A</v>
          </cell>
          <cell r="Q9">
            <v>0</v>
          </cell>
          <cell r="R9">
            <v>0</v>
          </cell>
          <cell r="S9">
            <v>0</v>
          </cell>
          <cell r="T9" t="e">
            <v>#N/A</v>
          </cell>
          <cell r="U9">
            <v>30</v>
          </cell>
          <cell r="V9">
            <v>0</v>
          </cell>
          <cell r="W9">
            <v>0</v>
          </cell>
          <cell r="X9" t="e">
            <v>#N/A</v>
          </cell>
        </row>
        <row r="10">
          <cell r="A10" t="str">
            <v>Locality</v>
          </cell>
          <cell r="B10" t="e">
            <v>#N/A</v>
          </cell>
          <cell r="F10">
            <v>46204</v>
          </cell>
          <cell r="G10" t="e">
            <v>#N/A</v>
          </cell>
          <cell r="H10" t="e">
            <v>#N/A</v>
          </cell>
          <cell r="I10" t="e">
            <v>#N/A</v>
          </cell>
          <cell r="J10">
            <v>0</v>
          </cell>
          <cell r="K10" t="e">
            <v>#N/A</v>
          </cell>
          <cell r="L10" t="e">
            <v>#N/A</v>
          </cell>
          <cell r="M10">
            <v>0</v>
          </cell>
          <cell r="N10" t="e">
            <v>#N/A</v>
          </cell>
          <cell r="O10" t="e">
            <v>#N/A</v>
          </cell>
          <cell r="P10" t="e">
            <v>#N/A</v>
          </cell>
          <cell r="Q10">
            <v>0</v>
          </cell>
          <cell r="R10">
            <v>0</v>
          </cell>
          <cell r="S10">
            <v>0</v>
          </cell>
          <cell r="T10" t="e">
            <v>#N/A</v>
          </cell>
          <cell r="U10">
            <v>31</v>
          </cell>
          <cell r="V10">
            <v>0</v>
          </cell>
          <cell r="W10">
            <v>0</v>
          </cell>
          <cell r="X10" t="e">
            <v>#N/A</v>
          </cell>
        </row>
        <row r="11">
          <cell r="A11" t="str">
            <v xml:space="preserve">Postcode </v>
          </cell>
          <cell r="B11" t="e">
            <v>#N/A</v>
          </cell>
          <cell r="F11">
            <v>46235</v>
          </cell>
          <cell r="G11" t="e">
            <v>#N/A</v>
          </cell>
          <cell r="H11" t="e">
            <v>#N/A</v>
          </cell>
          <cell r="I11" t="e">
            <v>#N/A</v>
          </cell>
          <cell r="J11">
            <v>0</v>
          </cell>
          <cell r="K11" t="e">
            <v>#N/A</v>
          </cell>
          <cell r="L11" t="e">
            <v>#N/A</v>
          </cell>
          <cell r="M11">
            <v>0</v>
          </cell>
          <cell r="N11" t="e">
            <v>#N/A</v>
          </cell>
          <cell r="O11" t="e">
            <v>#N/A</v>
          </cell>
          <cell r="P11" t="e">
            <v>#N/A</v>
          </cell>
          <cell r="Q11">
            <v>0</v>
          </cell>
          <cell r="R11">
            <v>0</v>
          </cell>
          <cell r="S11">
            <v>0</v>
          </cell>
          <cell r="T11" t="e">
            <v>#N/A</v>
          </cell>
          <cell r="U11">
            <v>31</v>
          </cell>
          <cell r="V11">
            <v>0</v>
          </cell>
          <cell r="W11">
            <v>0</v>
          </cell>
          <cell r="X11" t="e">
            <v>#N/A</v>
          </cell>
        </row>
        <row r="12">
          <cell r="A12" t="str">
            <v>Telephone Number</v>
          </cell>
          <cell r="B12" t="e">
            <v>#N/A</v>
          </cell>
          <cell r="F12">
            <v>46266</v>
          </cell>
          <cell r="G12" t="e">
            <v>#N/A</v>
          </cell>
          <cell r="H12" t="e">
            <v>#N/A</v>
          </cell>
          <cell r="I12" t="e">
            <v>#N/A</v>
          </cell>
          <cell r="J12">
            <v>0</v>
          </cell>
          <cell r="K12" t="e">
            <v>#N/A</v>
          </cell>
          <cell r="L12" t="e">
            <v>#N/A</v>
          </cell>
          <cell r="M12">
            <v>0</v>
          </cell>
          <cell r="N12" t="e">
            <v>#N/A</v>
          </cell>
          <cell r="O12" t="e">
            <v>#N/A</v>
          </cell>
          <cell r="P12" t="e">
            <v>#N/A</v>
          </cell>
          <cell r="Q12">
            <v>0</v>
          </cell>
          <cell r="R12">
            <v>0</v>
          </cell>
          <cell r="S12">
            <v>0</v>
          </cell>
          <cell r="T12" t="e">
            <v>#N/A</v>
          </cell>
          <cell r="U12">
            <v>30</v>
          </cell>
          <cell r="V12">
            <v>0</v>
          </cell>
          <cell r="W12">
            <v>0</v>
          </cell>
          <cell r="X12" t="e">
            <v>#N/A</v>
          </cell>
        </row>
        <row r="13">
          <cell r="A13" t="str">
            <v>Payee ID CARD No./IT Reg No.</v>
          </cell>
          <cell r="B13" t="e">
            <v>#N/A</v>
          </cell>
          <cell r="F13">
            <v>46296</v>
          </cell>
          <cell r="G13" t="e">
            <v>#N/A</v>
          </cell>
          <cell r="H13" t="e">
            <v>#N/A</v>
          </cell>
          <cell r="I13" t="e">
            <v>#N/A</v>
          </cell>
          <cell r="J13">
            <v>0</v>
          </cell>
          <cell r="K13" t="e">
            <v>#N/A</v>
          </cell>
          <cell r="L13" t="e">
            <v>#N/A</v>
          </cell>
          <cell r="M13">
            <v>0</v>
          </cell>
          <cell r="N13" t="e">
            <v>#N/A</v>
          </cell>
          <cell r="O13" t="e">
            <v>#N/A</v>
          </cell>
          <cell r="P13" t="e">
            <v>#N/A</v>
          </cell>
          <cell r="Q13">
            <v>0</v>
          </cell>
          <cell r="R13">
            <v>0</v>
          </cell>
          <cell r="S13">
            <v>0</v>
          </cell>
          <cell r="T13" t="e">
            <v>#N/A</v>
          </cell>
          <cell r="U13">
            <v>31</v>
          </cell>
          <cell r="V13">
            <v>0</v>
          </cell>
          <cell r="W13">
            <v>0</v>
          </cell>
          <cell r="X13" t="e">
            <v>#N/A</v>
          </cell>
        </row>
        <row r="14">
          <cell r="A14" t="str">
            <v>Payee Social Security No.</v>
          </cell>
          <cell r="B14" t="e">
            <v>#N/A</v>
          </cell>
          <cell r="F14">
            <v>46327</v>
          </cell>
          <cell r="G14" t="e">
            <v>#N/A</v>
          </cell>
          <cell r="H14" t="e">
            <v>#N/A</v>
          </cell>
          <cell r="I14" t="e">
            <v>#N/A</v>
          </cell>
          <cell r="J14">
            <v>0</v>
          </cell>
          <cell r="K14" t="e">
            <v>#N/A</v>
          </cell>
          <cell r="L14" t="e">
            <v>#N/A</v>
          </cell>
          <cell r="M14">
            <v>0</v>
          </cell>
          <cell r="N14" t="e">
            <v>#N/A</v>
          </cell>
          <cell r="O14" t="e">
            <v>#N/A</v>
          </cell>
          <cell r="P14" t="e">
            <v>#N/A</v>
          </cell>
          <cell r="Q14">
            <v>0</v>
          </cell>
          <cell r="R14">
            <v>0</v>
          </cell>
          <cell r="S14">
            <v>0</v>
          </cell>
          <cell r="T14" t="e">
            <v>#N/A</v>
          </cell>
          <cell r="U14">
            <v>30</v>
          </cell>
          <cell r="V14">
            <v>0</v>
          </cell>
          <cell r="W14">
            <v>0</v>
          </cell>
          <cell r="X14" t="e">
            <v>#N/A</v>
          </cell>
        </row>
        <row r="15">
          <cell r="A15" t="str">
            <v>Spouse's ID Card/IT Reg no.</v>
          </cell>
          <cell r="B15" t="e">
            <v>#N/A</v>
          </cell>
          <cell r="F15">
            <v>46357</v>
          </cell>
          <cell r="G15" t="e">
            <v>#N/A</v>
          </cell>
          <cell r="H15" t="e">
            <v>#N/A</v>
          </cell>
          <cell r="I15" t="e">
            <v>#N/A</v>
          </cell>
          <cell r="J15">
            <v>0</v>
          </cell>
          <cell r="K15" t="e">
            <v>#N/A</v>
          </cell>
          <cell r="L15" t="e">
            <v>#N/A</v>
          </cell>
          <cell r="M15">
            <v>0</v>
          </cell>
          <cell r="N15" t="e">
            <v>#N/A</v>
          </cell>
          <cell r="O15" t="e">
            <v>#N/A</v>
          </cell>
          <cell r="P15" t="e">
            <v>#N/A</v>
          </cell>
          <cell r="Q15">
            <v>0</v>
          </cell>
          <cell r="R15">
            <v>0</v>
          </cell>
          <cell r="S15">
            <v>0</v>
          </cell>
          <cell r="T15" t="e">
            <v>#N/A</v>
          </cell>
          <cell r="U15">
            <v>31</v>
          </cell>
          <cell r="V15">
            <v>0</v>
          </cell>
          <cell r="W15">
            <v>0</v>
          </cell>
          <cell r="X15" t="e">
            <v>#N/A</v>
          </cell>
        </row>
        <row r="16">
          <cell r="A16" t="str">
            <v>IBAN</v>
          </cell>
          <cell r="B16" t="e">
            <v>#N/A</v>
          </cell>
          <cell r="F16" t="str">
            <v>TOTALS</v>
          </cell>
          <cell r="G16" t="e">
            <v>#N/A</v>
          </cell>
          <cell r="I16" t="e">
            <v>#N/A</v>
          </cell>
          <cell r="J16">
            <v>0</v>
          </cell>
          <cell r="K16" t="e">
            <v>#N/A</v>
          </cell>
          <cell r="L16" t="e">
            <v>#N/A</v>
          </cell>
          <cell r="M16">
            <v>0</v>
          </cell>
          <cell r="N16" t="e">
            <v>#N/A</v>
          </cell>
          <cell r="P16" t="e">
            <v>#N/A</v>
          </cell>
          <cell r="T16" t="e">
            <v>#N/A</v>
          </cell>
          <cell r="V16">
            <v>0</v>
          </cell>
        </row>
        <row r="17">
          <cell r="A17" t="str">
            <v>Email</v>
          </cell>
          <cell r="B17" t="e">
            <v>#N/A</v>
          </cell>
          <cell r="H17" t="str">
            <v>Balance to Pay/ Carry forward, Input at end of page</v>
          </cell>
          <cell r="K17" t="e">
            <v>#N/A</v>
          </cell>
          <cell r="L17" t="str">
            <v>If paying part/ all of these please use table under December entry table</v>
          </cell>
          <cell r="P17" t="e">
            <v>#N/A</v>
          </cell>
        </row>
        <row r="18">
          <cell r="A18" t="str">
            <v>DOB</v>
          </cell>
          <cell r="B18" t="e">
            <v>#N/A</v>
          </cell>
        </row>
        <row r="19">
          <cell r="A19" t="str">
            <v>date of First Employment</v>
          </cell>
          <cell r="B19" t="e">
            <v>#N/A</v>
          </cell>
          <cell r="F19" t="e">
            <v>#N/A</v>
          </cell>
          <cell r="G19" t="e">
            <v>#N/A</v>
          </cell>
          <cell r="H19" t="e">
            <v>#N/A</v>
          </cell>
          <cell r="I19" t="str">
            <v>Hrs/Wk</v>
          </cell>
          <cell r="J19" t="e">
            <v>#N/A</v>
          </cell>
          <cell r="K19" t="str">
            <v>← Note: Hours can be changed if necssary</v>
          </cell>
          <cell r="L19" t="e">
            <v>#N/A</v>
          </cell>
          <cell r="M19" t="str">
            <v>TYPE</v>
          </cell>
          <cell r="N19" t="str">
            <v>LEAVE</v>
          </cell>
          <cell r="Q19" t="str">
            <v>Input number of WHOLE weeks (mon to Sat)</v>
          </cell>
          <cell r="R19" t="str">
            <v>MONTH STATS
DAYS MONTH</v>
          </cell>
          <cell r="S19" t="str">
            <v xml:space="preserve">EXTRA Hours agreed upon (Not Banked but PAID if agreed after payslip, input in following month) ALSO CASUAL PART TIMERS </v>
          </cell>
        </row>
        <row r="20">
          <cell r="A20" t="str">
            <v>Designation</v>
          </cell>
          <cell r="B20" t="e">
            <v>#N/A</v>
          </cell>
          <cell r="F20" t="e">
            <v>#N/A</v>
          </cell>
          <cell r="G20" t="e">
            <v>#N/A</v>
          </cell>
          <cell r="H20" t="e">
            <v>#N/A</v>
          </cell>
          <cell r="I20" t="e">
            <v>#N/A</v>
          </cell>
          <cell r="J20" t="e">
            <v>#N/A</v>
          </cell>
          <cell r="K20" t="e">
            <v>#N/A</v>
          </cell>
          <cell r="L20" t="e">
            <v>#N/A</v>
          </cell>
          <cell r="O20" t="str">
            <v>to</v>
          </cell>
          <cell r="R20">
            <v>31</v>
          </cell>
          <cell r="S20" t="str">
            <v>Week 1</v>
          </cell>
          <cell r="T20" t="str">
            <v>Week 2</v>
          </cell>
          <cell r="U20" t="str">
            <v>Week 3</v>
          </cell>
          <cell r="V20" t="str">
            <v>Week 4</v>
          </cell>
          <cell r="W20" t="str">
            <v>Week 5</v>
          </cell>
        </row>
        <row r="21">
          <cell r="A21" t="str">
            <v>Ft/PT at Start Year</v>
          </cell>
          <cell r="B21" t="e">
            <v>#N/A</v>
          </cell>
          <cell r="F21" t="str">
            <v>Normal Hrs Worked (excl Ls)</v>
          </cell>
          <cell r="L21">
            <v>0</v>
          </cell>
          <cell r="O21" t="str">
            <v>to</v>
          </cell>
          <cell r="R21" t="str">
            <v xml:space="preserve">Mondays </v>
          </cell>
        </row>
        <row r="22">
          <cell r="A22" t="str">
            <v>FS4 Status</v>
          </cell>
          <cell r="B22" t="e">
            <v>#N/A</v>
          </cell>
          <cell r="F22" t="str">
            <v>Overtime Hrs</v>
          </cell>
          <cell r="L22">
            <v>0</v>
          </cell>
          <cell r="O22" t="str">
            <v>to</v>
          </cell>
          <cell r="R22" t="e">
            <v>#N/A</v>
          </cell>
          <cell r="V22" t="str">
            <v>TOT</v>
          </cell>
          <cell r="W22">
            <v>0</v>
          </cell>
        </row>
        <row r="23">
          <cell r="A23" t="str">
            <v>Hours agreed at start contract</v>
          </cell>
          <cell r="B23" t="e">
            <v>#N/A</v>
          </cell>
          <cell r="F23" t="str">
            <v>VL</v>
          </cell>
          <cell r="L23">
            <v>0</v>
          </cell>
          <cell r="R23" t="str">
            <v>SATURDAYS</v>
          </cell>
        </row>
        <row r="24">
          <cell r="A24" t="str">
            <v xml:space="preserve">TERM date This </v>
          </cell>
          <cell r="B24" t="e">
            <v>#N/A</v>
          </cell>
          <cell r="F24" t="str">
            <v>Unpaid Leave Hrs</v>
          </cell>
          <cell r="L24">
            <v>0</v>
          </cell>
          <cell r="R24" t="e">
            <v>#N/A</v>
          </cell>
        </row>
        <row r="25">
          <cell r="F25" t="str">
            <v>SL</v>
          </cell>
          <cell r="L25">
            <v>0</v>
          </cell>
        </row>
        <row r="26">
          <cell r="A26" t="str">
            <v>YEAR ENDING</v>
          </cell>
          <cell r="B26">
            <v>46387</v>
          </cell>
          <cell r="F26">
            <v>46023</v>
          </cell>
          <cell r="G26" t="str">
            <v>NEW LEAVE ENTITLEMENT</v>
          </cell>
          <cell r="H26" t="e">
            <v>#N/A</v>
          </cell>
          <cell r="I26" t="e">
            <v>#N/A</v>
          </cell>
          <cell r="J26" t="e">
            <v>#N/A</v>
          </cell>
          <cell r="K26" t="str">
            <v>ADJ</v>
          </cell>
          <cell r="L26">
            <v>0</v>
          </cell>
        </row>
        <row r="27">
          <cell r="F27">
            <v>0</v>
          </cell>
          <cell r="G27" t="e">
            <v>#N/A</v>
          </cell>
          <cell r="H27" t="e">
            <v>#N/A</v>
          </cell>
          <cell r="I27" t="str">
            <v>to</v>
          </cell>
          <cell r="J27" t="e">
            <v>#N/A</v>
          </cell>
          <cell r="K27" t="str">
            <v>Banked This Month</v>
          </cell>
          <cell r="L27" t="e">
            <v>#N/A</v>
          </cell>
          <cell r="M27" t="str">
            <v>UNPAID WEEKS</v>
          </cell>
          <cell r="N27">
            <v>0</v>
          </cell>
          <cell r="O27" t="e">
            <v>#N/A</v>
          </cell>
          <cell r="P27" t="str">
            <v>Maternity</v>
          </cell>
          <cell r="Q27">
            <v>0</v>
          </cell>
        </row>
        <row r="28">
          <cell r="A28" t="str">
            <v>NOTES:</v>
          </cell>
        </row>
        <row r="29">
          <cell r="A29" t="str">
            <v>For whole week entries, if the week continues in another month, no double entries please. Input in month started till you finish week started. Then input new week in following month</v>
          </cell>
          <cell r="F29" t="e">
            <v>#N/A</v>
          </cell>
          <cell r="G29" t="e">
            <v>#N/A</v>
          </cell>
          <cell r="H29" t="e">
            <v>#N/A</v>
          </cell>
          <cell r="I29" t="str">
            <v>Hrs/Wk</v>
          </cell>
          <cell r="J29" t="e">
            <v>#N/A</v>
          </cell>
          <cell r="K29" t="str">
            <v>← Note: Hours can be changed if necssary</v>
          </cell>
          <cell r="L29" t="e">
            <v>#N/A</v>
          </cell>
          <cell r="M29" t="str">
            <v>TYPE</v>
          </cell>
          <cell r="N29" t="str">
            <v>LEAVE</v>
          </cell>
          <cell r="Q29" t="str">
            <v>Input number of WHOLE weeks (mon to Sat)</v>
          </cell>
          <cell r="R29" t="str">
            <v>MONTH STATS
DAYS MONTH</v>
          </cell>
          <cell r="S29" t="str">
            <v xml:space="preserve">EXTRA Hours agreed upon (Not Banked but PAID if agreed after payslip, input in following month) ALSO CASUAL PART TIMERS </v>
          </cell>
        </row>
        <row r="30">
          <cell r="F30" t="e">
            <v>#N/A</v>
          </cell>
          <cell r="G30" t="e">
            <v>#N/A</v>
          </cell>
          <cell r="H30" t="e">
            <v>#N/A</v>
          </cell>
          <cell r="I30" t="e">
            <v>#N/A</v>
          </cell>
          <cell r="J30" t="e">
            <v>#N/A</v>
          </cell>
          <cell r="K30" t="e">
            <v>#N/A</v>
          </cell>
          <cell r="L30" t="e">
            <v>#N/A</v>
          </cell>
          <cell r="O30" t="str">
            <v>to</v>
          </cell>
          <cell r="R30">
            <v>28</v>
          </cell>
          <cell r="S30" t="str">
            <v>Week 1</v>
          </cell>
          <cell r="T30" t="str">
            <v>Week 2</v>
          </cell>
          <cell r="U30" t="str">
            <v>Week 3</v>
          </cell>
          <cell r="V30" t="str">
            <v>Week 4</v>
          </cell>
          <cell r="W30" t="str">
            <v>Week 5</v>
          </cell>
        </row>
        <row r="31">
          <cell r="F31" t="str">
            <v>Normal Hrs Worked (excl Ls)</v>
          </cell>
          <cell r="L31">
            <v>0</v>
          </cell>
          <cell r="O31" t="str">
            <v>to</v>
          </cell>
          <cell r="R31" t="str">
            <v xml:space="preserve">Mondays </v>
          </cell>
        </row>
        <row r="32">
          <cell r="F32" t="str">
            <v>Overtime Hrs</v>
          </cell>
          <cell r="L32">
            <v>0</v>
          </cell>
          <cell r="O32" t="str">
            <v>to</v>
          </cell>
          <cell r="R32" t="e">
            <v>#N/A</v>
          </cell>
          <cell r="V32" t="str">
            <v>TOT</v>
          </cell>
          <cell r="W32">
            <v>0</v>
          </cell>
        </row>
        <row r="33">
          <cell r="F33" t="str">
            <v>VL</v>
          </cell>
          <cell r="L33">
            <v>0</v>
          </cell>
          <cell r="R33" t="str">
            <v>SATURDAYS</v>
          </cell>
        </row>
        <row r="34">
          <cell r="F34" t="str">
            <v>Unpaid Leave Hrs</v>
          </cell>
          <cell r="L34">
            <v>0</v>
          </cell>
          <cell r="R34" t="e">
            <v>#N/A</v>
          </cell>
        </row>
        <row r="35">
          <cell r="F35" t="str">
            <v>SL</v>
          </cell>
          <cell r="L35">
            <v>0</v>
          </cell>
        </row>
        <row r="36">
          <cell r="F36">
            <v>46054</v>
          </cell>
          <cell r="G36" t="str">
            <v>NEW LEAVE ENTITLEMENT</v>
          </cell>
          <cell r="H36" t="e">
            <v>#N/A</v>
          </cell>
          <cell r="I36" t="e">
            <v>#N/A</v>
          </cell>
          <cell r="J36" t="e">
            <v>#N/A</v>
          </cell>
          <cell r="K36" t="str">
            <v>ADJ</v>
          </cell>
          <cell r="L36">
            <v>0</v>
          </cell>
        </row>
        <row r="37">
          <cell r="F37">
            <v>0</v>
          </cell>
          <cell r="G37" t="e">
            <v>#N/A</v>
          </cell>
          <cell r="H37" t="e">
            <v>#N/A</v>
          </cell>
          <cell r="I37" t="str">
            <v>to</v>
          </cell>
          <cell r="J37" t="e">
            <v>#N/A</v>
          </cell>
          <cell r="K37" t="str">
            <v>Banked This Month</v>
          </cell>
          <cell r="L37" t="e">
            <v>#N/A</v>
          </cell>
          <cell r="M37" t="str">
            <v>UNPAID WEEKS</v>
          </cell>
          <cell r="N37">
            <v>0</v>
          </cell>
          <cell r="O37" t="e">
            <v>#N/A</v>
          </cell>
          <cell r="P37" t="str">
            <v>Maternity</v>
          </cell>
          <cell r="Q37">
            <v>0</v>
          </cell>
        </row>
        <row r="39">
          <cell r="F39" t="e">
            <v>#N/A</v>
          </cell>
          <cell r="G39" t="e">
            <v>#N/A</v>
          </cell>
          <cell r="H39" t="e">
            <v>#N/A</v>
          </cell>
          <cell r="I39" t="str">
            <v>Hrs/Wk</v>
          </cell>
          <cell r="J39" t="e">
            <v>#N/A</v>
          </cell>
          <cell r="K39" t="str">
            <v>← Note: Hours can be changed if necssary</v>
          </cell>
          <cell r="L39" t="e">
            <v>#N/A</v>
          </cell>
          <cell r="M39" t="str">
            <v>TYPE</v>
          </cell>
          <cell r="N39" t="str">
            <v>LEAVE</v>
          </cell>
          <cell r="Q39" t="str">
            <v>Input number of WHOLE weeks (mon to Sat)</v>
          </cell>
          <cell r="R39" t="str">
            <v>MONTH STATS
DAYS MONTH</v>
          </cell>
          <cell r="S39" t="str">
            <v xml:space="preserve">EXTRA Hours agreed upon (Not Banked but PAID if agreed after payslip, input in following month) ALSO CASUAL PART TIMERS </v>
          </cell>
        </row>
      </sheetData>
      <sheetData sheetId="22">
        <row r="1">
          <cell r="A1" t="str">
            <v>dataE</v>
          </cell>
          <cell r="B1" t="str">
            <v>PAYOUT_TYPE</v>
          </cell>
          <cell r="C1" t="str">
            <v>Type for formula in coloumn A</v>
          </cell>
          <cell r="D1" t="str">
            <v>PAY IN TYPE</v>
          </cell>
          <cell r="E1" t="str">
            <v>Receipt in file</v>
          </cell>
          <cell r="F1" t="str">
            <v>Expense_Category</v>
          </cell>
          <cell r="G1" t="str">
            <v>SHifT</v>
          </cell>
          <cell r="H1" t="str">
            <v>EMP</v>
          </cell>
          <cell r="I1" t="str">
            <v>PROVIDERS</v>
          </cell>
          <cell r="J1" t="str">
            <v>TECH</v>
          </cell>
          <cell r="K1" t="str">
            <v>BLANK</v>
          </cell>
          <cell r="L1" t="str">
            <v>Beneficiary</v>
          </cell>
          <cell r="M1" t="str">
            <v>Eco Nights</v>
          </cell>
          <cell r="N1" t="str">
            <v>check</v>
          </cell>
          <cell r="O1" t="str">
            <v>Receipt BK</v>
          </cell>
          <cell r="P1" t="str">
            <v>VAT RATES</v>
          </cell>
          <cell r="Q1" t="str">
            <v>BLANK</v>
          </cell>
          <cell r="R1" t="str">
            <v>Booking System</v>
          </cell>
          <cell r="S1" t="str">
            <v>Password:</v>
          </cell>
          <cell r="T1" t="str">
            <v>MPLUS2023!</v>
          </cell>
          <cell r="U1" t="str">
            <v>Status</v>
          </cell>
          <cell r="V1" t="str">
            <v>Position held</v>
          </cell>
          <cell r="W1" t="str">
            <v>FT/PT</v>
          </cell>
          <cell r="X1" t="str">
            <v xml:space="preserve">Yearly VL entitlement in hours </v>
          </cell>
          <cell r="Y1" t="str">
            <v>Monthly VL</v>
          </cell>
          <cell r="Z1" t="str">
            <v>Yearly SL</v>
          </cell>
          <cell r="AA1" t="str">
            <v>Monthly SL</v>
          </cell>
          <cell r="AB1">
            <v>46023</v>
          </cell>
          <cell r="AC1">
            <v>1</v>
          </cell>
        </row>
        <row r="2">
          <cell r="A2">
            <v>46023</v>
          </cell>
          <cell r="N2" t="str">
            <v>OK</v>
          </cell>
          <cell r="O2" t="str">
            <v>Pink</v>
          </cell>
          <cell r="U2">
            <v>15</v>
          </cell>
          <cell r="V2">
            <v>8</v>
          </cell>
          <cell r="W2">
            <v>25</v>
          </cell>
          <cell r="AB2">
            <v>46023</v>
          </cell>
          <cell r="AC2" t="str">
            <v>CODE</v>
          </cell>
        </row>
        <row r="3">
          <cell r="A3">
            <v>46023</v>
          </cell>
          <cell r="B3" t="str">
            <v>VISA</v>
          </cell>
          <cell r="C3">
            <v>2</v>
          </cell>
          <cell r="D3" t="str">
            <v>CASHBOX</v>
          </cell>
          <cell r="E3" t="str">
            <v>Yes</v>
          </cell>
          <cell r="F3" t="str">
            <v>STOCK/Disposables</v>
          </cell>
          <cell r="G3" t="str">
            <v>MORNING</v>
          </cell>
          <cell r="H3" t="str">
            <v>Aisha</v>
          </cell>
          <cell r="I3" t="str">
            <v>CG</v>
          </cell>
          <cell r="J3" t="str">
            <v>MarkBug</v>
          </cell>
          <cell r="L3" t="str">
            <v>MDCZ</v>
          </cell>
          <cell r="M3">
            <v>1</v>
          </cell>
          <cell r="N3" t="str">
            <v>X</v>
          </cell>
          <cell r="O3" t="str">
            <v>Blue</v>
          </cell>
          <cell r="P3">
            <v>0</v>
          </cell>
          <cell r="R3" t="str">
            <v>Airbnb</v>
          </cell>
          <cell r="U3" t="str">
            <v>SIN</v>
          </cell>
          <cell r="V3" t="str">
            <v xml:space="preserve">1. Principal </v>
          </cell>
          <cell r="W3" t="str">
            <v>FT</v>
          </cell>
          <cell r="X3">
            <v>224</v>
          </cell>
          <cell r="Y3">
            <v>18.666666666666668</v>
          </cell>
          <cell r="Z3">
            <v>240</v>
          </cell>
          <cell r="AA3">
            <v>20</v>
          </cell>
          <cell r="AB3">
            <v>46054</v>
          </cell>
          <cell r="AC3">
            <v>2003001</v>
          </cell>
        </row>
        <row r="4">
          <cell r="A4">
            <v>46054</v>
          </cell>
          <cell r="B4" t="str">
            <v>REVOLUT</v>
          </cell>
          <cell r="C4">
            <v>2</v>
          </cell>
          <cell r="D4" t="str">
            <v>DENTAL EPOS</v>
          </cell>
          <cell r="E4" t="str">
            <v>No</v>
          </cell>
          <cell r="F4" t="str">
            <v>Stationery</v>
          </cell>
          <cell r="G4" t="str">
            <v>AFTERNOON</v>
          </cell>
          <cell r="H4" t="str">
            <v>ANDREYA</v>
          </cell>
          <cell r="I4" t="str">
            <v>LC</v>
          </cell>
          <cell r="J4" t="str">
            <v>EIGHT</v>
          </cell>
          <cell r="L4" t="str">
            <v>MDCQ</v>
          </cell>
          <cell r="M4">
            <v>2</v>
          </cell>
          <cell r="P4">
            <v>0.05</v>
          </cell>
          <cell r="R4" t="str">
            <v>Booking.com</v>
          </cell>
          <cell r="U4" t="str">
            <v>MAR</v>
          </cell>
          <cell r="V4" t="str">
            <v>2. Dental Surgeon</v>
          </cell>
          <cell r="W4" t="str">
            <v>FT_RED</v>
          </cell>
          <cell r="AB4">
            <v>46083</v>
          </cell>
          <cell r="AC4">
            <v>2003002</v>
          </cell>
        </row>
        <row r="5">
          <cell r="A5">
            <v>46082</v>
          </cell>
          <cell r="B5" t="str">
            <v>Bank Transfer</v>
          </cell>
          <cell r="C5">
            <v>2</v>
          </cell>
          <cell r="D5" t="str">
            <v>BLU M EPOS</v>
          </cell>
          <cell r="E5" t="str">
            <v>Pending</v>
          </cell>
          <cell r="F5" t="str">
            <v>Advertising/promotion</v>
          </cell>
          <cell r="H5" t="str">
            <v>CHARMAINE</v>
          </cell>
          <cell r="I5" t="str">
            <v>RG</v>
          </cell>
          <cell r="J5" t="str">
            <v>NicEllul</v>
          </cell>
          <cell r="L5" t="str">
            <v>MHB</v>
          </cell>
          <cell r="M5">
            <v>3</v>
          </cell>
          <cell r="P5">
            <v>7.0000000000000007E-2</v>
          </cell>
          <cell r="R5" t="str">
            <v>Google My Business</v>
          </cell>
          <cell r="U5" t="str">
            <v>MAR1</v>
          </cell>
          <cell r="V5" t="str">
            <v>3. OFFICE Manager</v>
          </cell>
          <cell r="W5" t="str">
            <v>PT_FIXED</v>
          </cell>
          <cell r="AB5">
            <v>46114</v>
          </cell>
          <cell r="AC5">
            <v>2003003</v>
          </cell>
        </row>
        <row r="6">
          <cell r="A6">
            <v>46113</v>
          </cell>
          <cell r="B6" t="str">
            <v>BOV CHEQUE</v>
          </cell>
          <cell r="C6">
            <v>2</v>
          </cell>
          <cell r="D6" t="str">
            <v>POD EPOS</v>
          </cell>
          <cell r="E6" t="str">
            <v>Lost</v>
          </cell>
          <cell r="F6" t="str">
            <v>Repair/Maintenance</v>
          </cell>
          <cell r="H6" t="str">
            <v>Elda</v>
          </cell>
          <cell r="I6" t="str">
            <v>DM</v>
          </cell>
          <cell r="J6" t="str">
            <v>Aligntech</v>
          </cell>
          <cell r="L6" t="str">
            <v>BLU-M Q</v>
          </cell>
          <cell r="M6">
            <v>4</v>
          </cell>
          <cell r="P6">
            <v>0.18</v>
          </cell>
          <cell r="R6" t="str">
            <v>Direct</v>
          </cell>
          <cell r="U6" t="str">
            <v>MAR2</v>
          </cell>
          <cell r="V6" t="str">
            <v>4. CLINICAL Manager</v>
          </cell>
          <cell r="W6" t="str">
            <v>PT_CASUAL</v>
          </cell>
          <cell r="AB6">
            <v>46144</v>
          </cell>
          <cell r="AC6">
            <v>2008001</v>
          </cell>
        </row>
        <row r="7">
          <cell r="A7">
            <v>46143</v>
          </cell>
          <cell r="B7" t="str">
            <v>Direct Debit</v>
          </cell>
          <cell r="C7">
            <v>2</v>
          </cell>
          <cell r="D7" t="str">
            <v>BOV PAY</v>
          </cell>
          <cell r="F7" t="str">
            <v>Wages</v>
          </cell>
          <cell r="H7" t="str">
            <v>Katrina</v>
          </cell>
          <cell r="I7" t="str">
            <v>KM</v>
          </cell>
          <cell r="J7" t="str">
            <v>ModernClear</v>
          </cell>
          <cell r="L7" t="str">
            <v>Blu-M V</v>
          </cell>
          <cell r="M7">
            <v>5</v>
          </cell>
          <cell r="P7" t="str">
            <v>NA</v>
          </cell>
          <cell r="R7" t="str">
            <v>Other</v>
          </cell>
          <cell r="U7" t="str">
            <v>PAR</v>
          </cell>
          <cell r="V7" t="str">
            <v>5. Dental Hygenist</v>
          </cell>
          <cell r="W7" t="str">
            <v>STUDENT_APPRENTICE</v>
          </cell>
          <cell r="AB7">
            <v>46175</v>
          </cell>
          <cell r="AC7">
            <v>2020001</v>
          </cell>
        </row>
        <row r="8">
          <cell r="A8">
            <v>46174</v>
          </cell>
          <cell r="B8" t="str">
            <v>PAYPAL</v>
          </cell>
          <cell r="C8">
            <v>2</v>
          </cell>
          <cell r="D8" t="str">
            <v>Revolut</v>
          </cell>
          <cell r="F8" t="str">
            <v>Commissions</v>
          </cell>
          <cell r="G8" t="str">
            <v>Depreciation</v>
          </cell>
          <cell r="H8" t="str">
            <v>MARIA</v>
          </cell>
          <cell r="I8" t="str">
            <v>EB</v>
          </cell>
          <cell r="L8" t="str">
            <v>MPLUS</v>
          </cell>
          <cell r="M8">
            <v>6</v>
          </cell>
          <cell r="R8" t="str">
            <v>Other</v>
          </cell>
          <cell r="U8" t="str">
            <v>PAR1</v>
          </cell>
          <cell r="V8" t="str">
            <v>6. Dental Technologist</v>
          </cell>
          <cell r="W8" t="str">
            <v>Self_Employed</v>
          </cell>
          <cell r="AB8">
            <v>46205</v>
          </cell>
          <cell r="AC8">
            <v>2022001</v>
          </cell>
        </row>
        <row r="9">
          <cell r="A9">
            <v>46204</v>
          </cell>
          <cell r="D9" t="str">
            <v>CHEQUE</v>
          </cell>
          <cell r="F9" t="str">
            <v>Travel</v>
          </cell>
          <cell r="G9" t="str">
            <v>RUNNING</v>
          </cell>
          <cell r="H9" t="str">
            <v>RAISA</v>
          </cell>
          <cell r="I9" t="str">
            <v>JS</v>
          </cell>
          <cell r="J9" t="str">
            <v>Dontalia</v>
          </cell>
          <cell r="L9" t="str">
            <v>Admin</v>
          </cell>
          <cell r="M9">
            <v>7</v>
          </cell>
          <cell r="R9" t="str">
            <v>Other</v>
          </cell>
          <cell r="U9" t="str">
            <v>PAR2</v>
          </cell>
          <cell r="V9" t="str">
            <v>7. Sup. Dental Assistant</v>
          </cell>
          <cell r="W9" t="str">
            <v>TERMINATED</v>
          </cell>
          <cell r="AB9">
            <v>46236</v>
          </cell>
          <cell r="AC9">
            <v>2022002</v>
          </cell>
        </row>
        <row r="10">
          <cell r="A10">
            <v>46235</v>
          </cell>
          <cell r="B10" t="str">
            <v>CASHBOX</v>
          </cell>
          <cell r="C10">
            <v>1</v>
          </cell>
          <cell r="D10" t="str">
            <v>BaNK TRANSFER</v>
          </cell>
          <cell r="F10" t="str">
            <v>Rental</v>
          </cell>
          <cell r="G10" t="str">
            <v>CAPITAL</v>
          </cell>
          <cell r="H10" t="str">
            <v>Rebecca</v>
          </cell>
          <cell r="I10" t="str">
            <v>ROD</v>
          </cell>
          <cell r="J10" t="str">
            <v>Martina &amp; Sweden</v>
          </cell>
          <cell r="M10">
            <v>8</v>
          </cell>
          <cell r="R10" t="str">
            <v>Other</v>
          </cell>
          <cell r="V10" t="str">
            <v>8. Dental Assistant</v>
          </cell>
          <cell r="W10" t="str">
            <v>Change STATUS - NEW FS7 Required</v>
          </cell>
          <cell r="AB10">
            <v>46267</v>
          </cell>
        </row>
        <row r="11">
          <cell r="A11">
            <v>46266</v>
          </cell>
          <cell r="B11" t="str">
            <v>Other cash</v>
          </cell>
          <cell r="C11">
            <v>1</v>
          </cell>
          <cell r="F11" t="str">
            <v>Further studying</v>
          </cell>
          <cell r="H11" t="str">
            <v>Rethu</v>
          </cell>
          <cell r="I11" t="str">
            <v>MARIAH</v>
          </cell>
          <cell r="J11" t="str">
            <v>MDCQ</v>
          </cell>
          <cell r="M11">
            <v>9</v>
          </cell>
          <cell r="R11" t="str">
            <v>Other</v>
          </cell>
          <cell r="V11" t="str">
            <v>9. Receptionist</v>
          </cell>
          <cell r="W11" t="str">
            <v>Change STATUS - SAME FS7</v>
          </cell>
          <cell r="AB11">
            <v>46297</v>
          </cell>
        </row>
        <row r="12">
          <cell r="A12">
            <v>46296</v>
          </cell>
          <cell r="B12" t="str">
            <v>Z Safe Cash</v>
          </cell>
          <cell r="C12">
            <v>1</v>
          </cell>
          <cell r="F12" t="str">
            <v>UTILITIES Water&amp;Elec</v>
          </cell>
          <cell r="H12" t="str">
            <v>Amritha</v>
          </cell>
          <cell r="J12" t="str">
            <v>MDCZ</v>
          </cell>
          <cell r="M12">
            <v>10</v>
          </cell>
          <cell r="R12" t="str">
            <v>Other</v>
          </cell>
          <cell r="V12" t="str">
            <v>10. Trainee  Dental Assistant</v>
          </cell>
          <cell r="AB12">
            <v>46328</v>
          </cell>
        </row>
        <row r="13">
          <cell r="A13">
            <v>46327</v>
          </cell>
          <cell r="B13" t="str">
            <v>Q Safe Cash</v>
          </cell>
          <cell r="C13">
            <v>1</v>
          </cell>
          <cell r="F13" t="str">
            <v>COMM TEL/Intenet/TV</v>
          </cell>
          <cell r="J13" t="str">
            <v>Other</v>
          </cell>
          <cell r="V13" t="str">
            <v>11. Trainee Receptionist</v>
          </cell>
          <cell r="AB13">
            <v>46358</v>
          </cell>
        </row>
        <row r="14">
          <cell r="A14">
            <v>46357</v>
          </cell>
          <cell r="F14" t="str">
            <v>Interest/ Charges</v>
          </cell>
          <cell r="H14" t="str">
            <v>Louana</v>
          </cell>
          <cell r="J14" t="str">
            <v>Suratech</v>
          </cell>
          <cell r="V14" t="str">
            <v>12. Housekeeper</v>
          </cell>
        </row>
        <row r="15">
          <cell r="B15" t="str">
            <v>On Account</v>
          </cell>
          <cell r="C15">
            <v>2</v>
          </cell>
          <cell r="F15" t="str">
            <v>Furnishings</v>
          </cell>
          <cell r="H15" t="str">
            <v>Miceyla</v>
          </cell>
          <cell r="J15" t="str">
            <v>Victor</v>
          </cell>
          <cell r="V15" t="str">
            <v>13. Maintenance</v>
          </cell>
        </row>
        <row r="16">
          <cell r="B16" t="str">
            <v>Loan</v>
          </cell>
          <cell r="C16">
            <v>2</v>
          </cell>
          <cell r="F16" t="str">
            <v>Membership/Permits/Insurance</v>
          </cell>
          <cell r="J16" t="str">
            <v>Marletta</v>
          </cell>
        </row>
        <row r="17">
          <cell r="C17" t="str">
            <v>Delivery Pay_type</v>
          </cell>
          <cell r="F17" t="str">
            <v>Machinery/ Equipment</v>
          </cell>
          <cell r="J17" t="str">
            <v>Clearsmile</v>
          </cell>
        </row>
        <row r="18">
          <cell r="C18" t="str">
            <v>CASHBOX</v>
          </cell>
          <cell r="F18" t="str">
            <v>Lab Work</v>
          </cell>
          <cell r="H18" t="str">
            <v>CG</v>
          </cell>
          <cell r="U18" t="str">
            <v>STATS</v>
          </cell>
        </row>
        <row r="19">
          <cell r="C19" t="str">
            <v>INVOICE</v>
          </cell>
          <cell r="F19" t="str">
            <v>Professional Services</v>
          </cell>
          <cell r="G19" t="str">
            <v>Ss</v>
          </cell>
          <cell r="H19" t="str">
            <v>LC</v>
          </cell>
        </row>
        <row r="20">
          <cell r="F20" t="str">
            <v>Other</v>
          </cell>
          <cell r="H20" t="str">
            <v>RG</v>
          </cell>
        </row>
        <row r="21">
          <cell r="E21" t="str">
            <v>TYPE</v>
          </cell>
          <cell r="F21" t="str">
            <v>Eco-Tax</v>
          </cell>
          <cell r="G21" t="str">
            <v>Sale</v>
          </cell>
          <cell r="H21" t="str">
            <v>DM</v>
          </cell>
        </row>
        <row r="22">
          <cell r="F22" t="str">
            <v>VAT</v>
          </cell>
          <cell r="G22" t="str">
            <v>Services</v>
          </cell>
          <cell r="H22" t="str">
            <v>EB</v>
          </cell>
        </row>
        <row r="23">
          <cell r="E23" t="str">
            <v>INVOICE/Bill</v>
          </cell>
          <cell r="G23" t="str">
            <v>SuppliesConsumables</v>
          </cell>
          <cell r="H23" t="str">
            <v>KM</v>
          </cell>
        </row>
        <row r="24">
          <cell r="E24" t="str">
            <v>CASH PAYment</v>
          </cell>
        </row>
        <row r="25">
          <cell r="E25" t="str">
            <v>RECEIPT Payment</v>
          </cell>
        </row>
        <row r="26">
          <cell r="E26" t="str">
            <v>RENT BILL</v>
          </cell>
        </row>
        <row r="27">
          <cell r="E27" t="str">
            <v>RENT PAY</v>
          </cell>
        </row>
        <row r="36">
          <cell r="B36" t="str">
            <v>Loan</v>
          </cell>
        </row>
      </sheetData>
      <sheetData sheetId="23">
        <row r="1">
          <cell r="A1">
            <v>2025</v>
          </cell>
          <cell r="B1" t="str">
            <v>RAcharya</v>
          </cell>
          <cell r="C1" t="str">
            <v>AKunnamkudath</v>
          </cell>
          <cell r="D1" t="str">
            <v>MAcero_Garzon</v>
          </cell>
          <cell r="E1" t="str">
            <v>AHaneena</v>
          </cell>
          <cell r="F1" t="str">
            <v>ELama</v>
          </cell>
          <cell r="G1" t="str">
            <v>RMallan_Albani</v>
          </cell>
          <cell r="H1" t="str">
            <v>RSreejith</v>
          </cell>
          <cell r="I1" t="str">
            <v>RAttard</v>
          </cell>
          <cell r="J1" t="str">
            <v>LBonnici</v>
          </cell>
          <cell r="K1" t="str">
            <v>MCamilleri</v>
          </cell>
        </row>
        <row r="3">
          <cell r="A3" t="str">
            <v>VL TAKEN</v>
          </cell>
          <cell r="B3">
            <v>0</v>
          </cell>
          <cell r="C3">
            <v>34.43</v>
          </cell>
          <cell r="D3">
            <v>133</v>
          </cell>
          <cell r="E3">
            <v>296.19</v>
          </cell>
          <cell r="F3">
            <v>187</v>
          </cell>
          <cell r="G3">
            <v>167.37</v>
          </cell>
          <cell r="H3">
            <v>215.49</v>
          </cell>
          <cell r="I3">
            <v>193.91</v>
          </cell>
          <cell r="J3">
            <v>208.98</v>
          </cell>
          <cell r="K3">
            <v>0</v>
          </cell>
        </row>
        <row r="4">
          <cell r="A4" t="str">
            <v>VL REM</v>
          </cell>
          <cell r="B4">
            <v>203.99999999999997</v>
          </cell>
          <cell r="C4">
            <v>1.6588888888888889</v>
          </cell>
          <cell r="D4">
            <v>52.462365591397827</v>
          </cell>
          <cell r="E4">
            <v>7.8100000000000058</v>
          </cell>
          <cell r="F4">
            <v>36.999999999999972</v>
          </cell>
          <cell r="G4">
            <v>43.629999999999967</v>
          </cell>
          <cell r="H4">
            <v>-4.135161290322614</v>
          </cell>
          <cell r="I4">
            <v>33.089999999999975</v>
          </cell>
          <cell r="J4">
            <v>1.9999999999974705E-2</v>
          </cell>
          <cell r="K4">
            <v>223.99999999999997</v>
          </cell>
        </row>
        <row r="5">
          <cell r="A5" t="str">
            <v>SL TAKEN</v>
          </cell>
          <cell r="B5">
            <v>0</v>
          </cell>
          <cell r="C5">
            <v>15</v>
          </cell>
          <cell r="D5">
            <v>32</v>
          </cell>
          <cell r="E5">
            <v>44</v>
          </cell>
          <cell r="F5">
            <v>20</v>
          </cell>
          <cell r="G5">
            <v>87</v>
          </cell>
          <cell r="H5">
            <v>340.68</v>
          </cell>
          <cell r="I5">
            <v>110.5</v>
          </cell>
          <cell r="J5">
            <v>95.360000000000014</v>
          </cell>
          <cell r="K5">
            <v>0</v>
          </cell>
        </row>
        <row r="6">
          <cell r="A6" t="str">
            <v>SL REM</v>
          </cell>
          <cell r="B6">
            <v>145.71428571428572</v>
          </cell>
          <cell r="C6">
            <v>10.777777777777779</v>
          </cell>
          <cell r="D6">
            <v>100.47311827956989</v>
          </cell>
          <cell r="E6">
            <v>116</v>
          </cell>
          <cell r="F6">
            <v>140</v>
          </cell>
          <cell r="G6">
            <v>73</v>
          </cell>
          <cell r="H6">
            <v>-189.71225806451613</v>
          </cell>
          <cell r="I6">
            <v>49.5</v>
          </cell>
          <cell r="J6">
            <v>64.639999999999986</v>
          </cell>
          <cell r="K6">
            <v>160</v>
          </cell>
        </row>
        <row r="7">
          <cell r="A7" t="str">
            <v>BALANCE BANKED</v>
          </cell>
          <cell r="B7">
            <v>-1880</v>
          </cell>
          <cell r="C7">
            <v>0.46999999999999176</v>
          </cell>
          <cell r="D7">
            <v>0.39000000000000057</v>
          </cell>
          <cell r="E7">
            <v>-0.55000000000004334</v>
          </cell>
          <cell r="F7">
            <v>0.14999999999992042</v>
          </cell>
          <cell r="G7">
            <v>0.14000000000000057</v>
          </cell>
          <cell r="H7">
            <v>-17.810000000000016</v>
          </cell>
          <cell r="I7">
            <v>7.0000000000039364E-2</v>
          </cell>
          <cell r="J7">
            <v>24.500000000000043</v>
          </cell>
          <cell r="K7">
            <v>-2080</v>
          </cell>
        </row>
        <row r="8">
          <cell r="A8" t="str">
            <v>UNPAID WHOLE WEEK</v>
          </cell>
          <cell r="B8">
            <v>0</v>
          </cell>
          <cell r="C8">
            <v>0</v>
          </cell>
          <cell r="D8">
            <v>0</v>
          </cell>
          <cell r="E8">
            <v>0</v>
          </cell>
          <cell r="F8">
            <v>0</v>
          </cell>
          <cell r="G8">
            <v>0</v>
          </cell>
          <cell r="H8">
            <v>0</v>
          </cell>
          <cell r="I8">
            <v>0</v>
          </cell>
          <cell r="J8">
            <v>0</v>
          </cell>
          <cell r="K8">
            <v>0</v>
          </cell>
        </row>
        <row r="9">
          <cell r="A9" t="str">
            <v>UNPAID LEAVE HRS</v>
          </cell>
          <cell r="B9">
            <v>0</v>
          </cell>
          <cell r="C9">
            <v>0</v>
          </cell>
          <cell r="D9">
            <v>0</v>
          </cell>
          <cell r="E9">
            <v>0</v>
          </cell>
          <cell r="F9">
            <v>0</v>
          </cell>
          <cell r="G9">
            <v>0</v>
          </cell>
          <cell r="H9">
            <v>78.81</v>
          </cell>
          <cell r="I9">
            <v>0</v>
          </cell>
          <cell r="J9">
            <v>31</v>
          </cell>
          <cell r="K9">
            <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mailto:drchrisgauci@gmail.com"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printerSettings" Target="../printerSettings/printerSettings3.bin"/><Relationship Id="rId16" Type="http://schemas.openxmlformats.org/officeDocument/2006/relationships/ctrlProp" Target="../ctrlProps/ctrlProp26.xml"/><Relationship Id="rId1" Type="http://schemas.openxmlformats.org/officeDocument/2006/relationships/hyperlink" Target="mailto:drchrisgauci@gmail.com" TargetMode="Externa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vmlDrawing" Target="../drawings/vmlDrawing3.v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18" Type="http://schemas.openxmlformats.org/officeDocument/2006/relationships/comments" Target="../comments3.xml"/><Relationship Id="rId3" Type="http://schemas.openxmlformats.org/officeDocument/2006/relationships/drawing" Target="../drawings/drawing4.xml"/><Relationship Id="rId7" Type="http://schemas.openxmlformats.org/officeDocument/2006/relationships/ctrlProp" Target="../ctrlProps/ctrlProp30.xml"/><Relationship Id="rId12" Type="http://schemas.openxmlformats.org/officeDocument/2006/relationships/ctrlProp" Target="../ctrlProps/ctrlProp35.xml"/><Relationship Id="rId17" Type="http://schemas.openxmlformats.org/officeDocument/2006/relationships/ctrlProp" Target="../ctrlProps/ctrlProp40.xml"/><Relationship Id="rId2" Type="http://schemas.openxmlformats.org/officeDocument/2006/relationships/printerSettings" Target="../printerSettings/printerSettings4.bin"/><Relationship Id="rId16" Type="http://schemas.openxmlformats.org/officeDocument/2006/relationships/ctrlProp" Target="../ctrlProps/ctrlProp39.xml"/><Relationship Id="rId1" Type="http://schemas.openxmlformats.org/officeDocument/2006/relationships/hyperlink" Target="mailto:drchrisgauci@gmail.com" TargetMode="External"/><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vmlDrawing" Target="../drawings/vmlDrawing4.v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18" Type="http://schemas.openxmlformats.org/officeDocument/2006/relationships/comments" Target="../comments4.xml"/><Relationship Id="rId3" Type="http://schemas.openxmlformats.org/officeDocument/2006/relationships/drawing" Target="../drawings/drawing5.xml"/><Relationship Id="rId7" Type="http://schemas.openxmlformats.org/officeDocument/2006/relationships/ctrlProp" Target="../ctrlProps/ctrlProp43.xml"/><Relationship Id="rId12" Type="http://schemas.openxmlformats.org/officeDocument/2006/relationships/ctrlProp" Target="../ctrlProps/ctrlProp48.xml"/><Relationship Id="rId17" Type="http://schemas.openxmlformats.org/officeDocument/2006/relationships/ctrlProp" Target="../ctrlProps/ctrlProp53.xml"/><Relationship Id="rId2" Type="http://schemas.openxmlformats.org/officeDocument/2006/relationships/printerSettings" Target="../printerSettings/printerSettings5.bin"/><Relationship Id="rId16" Type="http://schemas.openxmlformats.org/officeDocument/2006/relationships/ctrlProp" Target="../ctrlProps/ctrlProp52.xml"/><Relationship Id="rId1" Type="http://schemas.openxmlformats.org/officeDocument/2006/relationships/hyperlink" Target="mailto:drchrisgauci@gmail.com" TargetMode="External"/><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vmlDrawing" Target="../drawings/vmlDrawing5.v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omments" Target="../comments5.xml"/><Relationship Id="rId3" Type="http://schemas.openxmlformats.org/officeDocument/2006/relationships/drawing" Target="../drawings/drawing6.x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printerSettings" Target="../printerSettings/printerSettings6.bin"/><Relationship Id="rId16" Type="http://schemas.openxmlformats.org/officeDocument/2006/relationships/ctrlProp" Target="../ctrlProps/ctrlProp65.xml"/><Relationship Id="rId1" Type="http://schemas.openxmlformats.org/officeDocument/2006/relationships/hyperlink" Target="mailto:drchrisgauci@gmail.com" TargetMode="External"/><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vmlDrawing" Target="../drawings/vmlDrawing6.v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18" Type="http://schemas.openxmlformats.org/officeDocument/2006/relationships/comments" Target="../comments6.xml"/><Relationship Id="rId3" Type="http://schemas.openxmlformats.org/officeDocument/2006/relationships/drawing" Target="../drawings/drawing7.xml"/><Relationship Id="rId7" Type="http://schemas.openxmlformats.org/officeDocument/2006/relationships/ctrlProp" Target="../ctrlProps/ctrlProp69.xml"/><Relationship Id="rId12" Type="http://schemas.openxmlformats.org/officeDocument/2006/relationships/ctrlProp" Target="../ctrlProps/ctrlProp74.xml"/><Relationship Id="rId17" Type="http://schemas.openxmlformats.org/officeDocument/2006/relationships/ctrlProp" Target="../ctrlProps/ctrlProp79.xml"/><Relationship Id="rId2" Type="http://schemas.openxmlformats.org/officeDocument/2006/relationships/printerSettings" Target="../printerSettings/printerSettings7.bin"/><Relationship Id="rId16" Type="http://schemas.openxmlformats.org/officeDocument/2006/relationships/ctrlProp" Target="../ctrlProps/ctrlProp78.xml"/><Relationship Id="rId1" Type="http://schemas.openxmlformats.org/officeDocument/2006/relationships/hyperlink" Target="mailto:drchrisgauci@gmail.com" TargetMode="External"/><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vmlDrawing" Target="../drawings/vmlDrawing7.v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18" Type="http://schemas.openxmlformats.org/officeDocument/2006/relationships/comments" Target="../comments7.xml"/><Relationship Id="rId3" Type="http://schemas.openxmlformats.org/officeDocument/2006/relationships/drawing" Target="../drawings/drawing8.xml"/><Relationship Id="rId7" Type="http://schemas.openxmlformats.org/officeDocument/2006/relationships/ctrlProp" Target="../ctrlProps/ctrlProp82.xml"/><Relationship Id="rId12" Type="http://schemas.openxmlformats.org/officeDocument/2006/relationships/ctrlProp" Target="../ctrlProps/ctrlProp87.xml"/><Relationship Id="rId17" Type="http://schemas.openxmlformats.org/officeDocument/2006/relationships/ctrlProp" Target="../ctrlProps/ctrlProp92.xml"/><Relationship Id="rId2" Type="http://schemas.openxmlformats.org/officeDocument/2006/relationships/printerSettings" Target="../printerSettings/printerSettings8.bin"/><Relationship Id="rId16" Type="http://schemas.openxmlformats.org/officeDocument/2006/relationships/ctrlProp" Target="../ctrlProps/ctrlProp91.xml"/><Relationship Id="rId1" Type="http://schemas.openxmlformats.org/officeDocument/2006/relationships/hyperlink" Target="mailto:drchrisgauci@gmail.com" TargetMode="External"/><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vmlDrawing" Target="../drawings/vmlDrawing8.v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18" Type="http://schemas.openxmlformats.org/officeDocument/2006/relationships/comments" Target="../comments8.xml"/><Relationship Id="rId3" Type="http://schemas.openxmlformats.org/officeDocument/2006/relationships/drawing" Target="../drawings/drawing9.xml"/><Relationship Id="rId7" Type="http://schemas.openxmlformats.org/officeDocument/2006/relationships/ctrlProp" Target="../ctrlProps/ctrlProp95.xml"/><Relationship Id="rId12" Type="http://schemas.openxmlformats.org/officeDocument/2006/relationships/ctrlProp" Target="../ctrlProps/ctrlProp100.xml"/><Relationship Id="rId17" Type="http://schemas.openxmlformats.org/officeDocument/2006/relationships/ctrlProp" Target="../ctrlProps/ctrlProp105.xml"/><Relationship Id="rId2" Type="http://schemas.openxmlformats.org/officeDocument/2006/relationships/printerSettings" Target="../printerSettings/printerSettings9.bin"/><Relationship Id="rId16" Type="http://schemas.openxmlformats.org/officeDocument/2006/relationships/ctrlProp" Target="../ctrlProps/ctrlProp104.xml"/><Relationship Id="rId1" Type="http://schemas.openxmlformats.org/officeDocument/2006/relationships/hyperlink" Target="mailto:drchrisgauci@gmail.com" TargetMode="External"/><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vmlDrawing" Target="../drawings/vmlDrawing9.v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18" Type="http://schemas.openxmlformats.org/officeDocument/2006/relationships/comments" Target="../comments9.xml"/><Relationship Id="rId3" Type="http://schemas.openxmlformats.org/officeDocument/2006/relationships/drawing" Target="../drawings/drawing10.xml"/><Relationship Id="rId7" Type="http://schemas.openxmlformats.org/officeDocument/2006/relationships/ctrlProp" Target="../ctrlProps/ctrlProp108.xml"/><Relationship Id="rId12" Type="http://schemas.openxmlformats.org/officeDocument/2006/relationships/ctrlProp" Target="../ctrlProps/ctrlProp113.xml"/><Relationship Id="rId17" Type="http://schemas.openxmlformats.org/officeDocument/2006/relationships/ctrlProp" Target="../ctrlProps/ctrlProp118.xml"/><Relationship Id="rId2" Type="http://schemas.openxmlformats.org/officeDocument/2006/relationships/printerSettings" Target="../printerSettings/printerSettings10.bin"/><Relationship Id="rId16" Type="http://schemas.openxmlformats.org/officeDocument/2006/relationships/ctrlProp" Target="../ctrlProps/ctrlProp117.xml"/><Relationship Id="rId1" Type="http://schemas.openxmlformats.org/officeDocument/2006/relationships/hyperlink" Target="mailto:drchrisgauci@gmail.com" TargetMode="External"/><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vmlDrawing" Target="../drawings/vmlDrawing10.v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18" Type="http://schemas.openxmlformats.org/officeDocument/2006/relationships/comments" Target="../comments10.xml"/><Relationship Id="rId3" Type="http://schemas.openxmlformats.org/officeDocument/2006/relationships/drawing" Target="../drawings/drawing11.xml"/><Relationship Id="rId7" Type="http://schemas.openxmlformats.org/officeDocument/2006/relationships/ctrlProp" Target="../ctrlProps/ctrlProp121.xml"/><Relationship Id="rId12" Type="http://schemas.openxmlformats.org/officeDocument/2006/relationships/ctrlProp" Target="../ctrlProps/ctrlProp126.xml"/><Relationship Id="rId17" Type="http://schemas.openxmlformats.org/officeDocument/2006/relationships/ctrlProp" Target="../ctrlProps/ctrlProp131.xml"/><Relationship Id="rId2" Type="http://schemas.openxmlformats.org/officeDocument/2006/relationships/printerSettings" Target="../printerSettings/printerSettings11.bin"/><Relationship Id="rId16" Type="http://schemas.openxmlformats.org/officeDocument/2006/relationships/ctrlProp" Target="../ctrlProps/ctrlProp130.xml"/><Relationship Id="rId1" Type="http://schemas.openxmlformats.org/officeDocument/2006/relationships/hyperlink" Target="mailto:drchrisgauci@gmail.com" TargetMode="External"/><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vmlDrawing" Target="../drawings/vmlDrawing11.v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18" Type="http://schemas.openxmlformats.org/officeDocument/2006/relationships/comments" Target="../comments11.xml"/><Relationship Id="rId3" Type="http://schemas.openxmlformats.org/officeDocument/2006/relationships/drawing" Target="../drawings/drawing12.xml"/><Relationship Id="rId7" Type="http://schemas.openxmlformats.org/officeDocument/2006/relationships/ctrlProp" Target="../ctrlProps/ctrlProp134.xml"/><Relationship Id="rId12" Type="http://schemas.openxmlformats.org/officeDocument/2006/relationships/ctrlProp" Target="../ctrlProps/ctrlProp139.xml"/><Relationship Id="rId17" Type="http://schemas.openxmlformats.org/officeDocument/2006/relationships/ctrlProp" Target="../ctrlProps/ctrlProp144.xml"/><Relationship Id="rId2" Type="http://schemas.openxmlformats.org/officeDocument/2006/relationships/printerSettings" Target="../printerSettings/printerSettings12.bin"/><Relationship Id="rId16" Type="http://schemas.openxmlformats.org/officeDocument/2006/relationships/ctrlProp" Target="../ctrlProps/ctrlProp143.xml"/><Relationship Id="rId1" Type="http://schemas.openxmlformats.org/officeDocument/2006/relationships/hyperlink" Target="mailto:drchrisgauci@gmail.com" TargetMode="External"/><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vmlDrawing" Target="../drawings/vmlDrawing12.v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18" Type="http://schemas.openxmlformats.org/officeDocument/2006/relationships/comments" Target="../comments12.xml"/><Relationship Id="rId3" Type="http://schemas.openxmlformats.org/officeDocument/2006/relationships/drawing" Target="../drawings/drawing13.xml"/><Relationship Id="rId7" Type="http://schemas.openxmlformats.org/officeDocument/2006/relationships/ctrlProp" Target="../ctrlProps/ctrlProp147.xml"/><Relationship Id="rId12" Type="http://schemas.openxmlformats.org/officeDocument/2006/relationships/ctrlProp" Target="../ctrlProps/ctrlProp152.xml"/><Relationship Id="rId17" Type="http://schemas.openxmlformats.org/officeDocument/2006/relationships/ctrlProp" Target="../ctrlProps/ctrlProp157.xml"/><Relationship Id="rId2" Type="http://schemas.openxmlformats.org/officeDocument/2006/relationships/printerSettings" Target="../printerSettings/printerSettings13.bin"/><Relationship Id="rId16" Type="http://schemas.openxmlformats.org/officeDocument/2006/relationships/ctrlProp" Target="../ctrlProps/ctrlProp156.xml"/><Relationship Id="rId1" Type="http://schemas.openxmlformats.org/officeDocument/2006/relationships/hyperlink" Target="mailto:drchrisgauci@gmail.com" TargetMode="External"/><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vmlDrawing" Target="../drawings/vmlDrawing13.v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18" Type="http://schemas.openxmlformats.org/officeDocument/2006/relationships/comments" Target="../comments13.xml"/><Relationship Id="rId3" Type="http://schemas.openxmlformats.org/officeDocument/2006/relationships/drawing" Target="../drawings/drawing14.xml"/><Relationship Id="rId7" Type="http://schemas.openxmlformats.org/officeDocument/2006/relationships/ctrlProp" Target="../ctrlProps/ctrlProp160.xml"/><Relationship Id="rId12" Type="http://schemas.openxmlformats.org/officeDocument/2006/relationships/ctrlProp" Target="../ctrlProps/ctrlProp165.xml"/><Relationship Id="rId17" Type="http://schemas.openxmlformats.org/officeDocument/2006/relationships/ctrlProp" Target="../ctrlProps/ctrlProp170.xml"/><Relationship Id="rId2" Type="http://schemas.openxmlformats.org/officeDocument/2006/relationships/printerSettings" Target="../printerSettings/printerSettings14.bin"/><Relationship Id="rId16" Type="http://schemas.openxmlformats.org/officeDocument/2006/relationships/ctrlProp" Target="../ctrlProps/ctrlProp169.xml"/><Relationship Id="rId1" Type="http://schemas.openxmlformats.org/officeDocument/2006/relationships/hyperlink" Target="mailto:drchrisgauci@gmail.com" TargetMode="External"/><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vmlDrawing" Target="../drawings/vmlDrawing14.v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18" Type="http://schemas.openxmlformats.org/officeDocument/2006/relationships/comments" Target="../comments14.xml"/><Relationship Id="rId3" Type="http://schemas.openxmlformats.org/officeDocument/2006/relationships/drawing" Target="../drawings/drawing15.xml"/><Relationship Id="rId7" Type="http://schemas.openxmlformats.org/officeDocument/2006/relationships/ctrlProp" Target="../ctrlProps/ctrlProp173.xml"/><Relationship Id="rId12" Type="http://schemas.openxmlformats.org/officeDocument/2006/relationships/ctrlProp" Target="../ctrlProps/ctrlProp178.xml"/><Relationship Id="rId17" Type="http://schemas.openxmlformats.org/officeDocument/2006/relationships/ctrlProp" Target="../ctrlProps/ctrlProp183.xml"/><Relationship Id="rId2" Type="http://schemas.openxmlformats.org/officeDocument/2006/relationships/printerSettings" Target="../printerSettings/printerSettings15.bin"/><Relationship Id="rId16" Type="http://schemas.openxmlformats.org/officeDocument/2006/relationships/ctrlProp" Target="../ctrlProps/ctrlProp182.xml"/><Relationship Id="rId1" Type="http://schemas.openxmlformats.org/officeDocument/2006/relationships/hyperlink" Target="mailto:drchrisgauci@gmail.com" TargetMode="External"/><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vmlDrawing" Target="../drawings/vmlDrawing15.v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18" Type="http://schemas.openxmlformats.org/officeDocument/2006/relationships/comments" Target="../comments15.xml"/><Relationship Id="rId3" Type="http://schemas.openxmlformats.org/officeDocument/2006/relationships/drawing" Target="../drawings/drawing16.xml"/><Relationship Id="rId7" Type="http://schemas.openxmlformats.org/officeDocument/2006/relationships/ctrlProp" Target="../ctrlProps/ctrlProp186.xml"/><Relationship Id="rId12" Type="http://schemas.openxmlformats.org/officeDocument/2006/relationships/ctrlProp" Target="../ctrlProps/ctrlProp191.xml"/><Relationship Id="rId17" Type="http://schemas.openxmlformats.org/officeDocument/2006/relationships/ctrlProp" Target="../ctrlProps/ctrlProp196.xml"/><Relationship Id="rId2" Type="http://schemas.openxmlformats.org/officeDocument/2006/relationships/printerSettings" Target="../printerSettings/printerSettings16.bin"/><Relationship Id="rId16" Type="http://schemas.openxmlformats.org/officeDocument/2006/relationships/ctrlProp" Target="../ctrlProps/ctrlProp195.xml"/><Relationship Id="rId1" Type="http://schemas.openxmlformats.org/officeDocument/2006/relationships/hyperlink" Target="mailto:drchrisgauci@gmail.com" TargetMode="External"/><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vmlDrawing" Target="../drawings/vmlDrawing16.v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18" Type="http://schemas.openxmlformats.org/officeDocument/2006/relationships/comments" Target="../comments16.xml"/><Relationship Id="rId3" Type="http://schemas.openxmlformats.org/officeDocument/2006/relationships/drawing" Target="../drawings/drawing17.xml"/><Relationship Id="rId7" Type="http://schemas.openxmlformats.org/officeDocument/2006/relationships/ctrlProp" Target="../ctrlProps/ctrlProp199.xml"/><Relationship Id="rId12" Type="http://schemas.openxmlformats.org/officeDocument/2006/relationships/ctrlProp" Target="../ctrlProps/ctrlProp204.xml"/><Relationship Id="rId17" Type="http://schemas.openxmlformats.org/officeDocument/2006/relationships/ctrlProp" Target="../ctrlProps/ctrlProp209.xml"/><Relationship Id="rId2" Type="http://schemas.openxmlformats.org/officeDocument/2006/relationships/printerSettings" Target="../printerSettings/printerSettings17.bin"/><Relationship Id="rId16" Type="http://schemas.openxmlformats.org/officeDocument/2006/relationships/ctrlProp" Target="../ctrlProps/ctrlProp208.xml"/><Relationship Id="rId1" Type="http://schemas.openxmlformats.org/officeDocument/2006/relationships/hyperlink" Target="mailto:drchrisgauci@gmail.com" TargetMode="External"/><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vmlDrawing" Target="../drawings/vmlDrawing17.v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18" Type="http://schemas.openxmlformats.org/officeDocument/2006/relationships/comments" Target="../comments17.xml"/><Relationship Id="rId3" Type="http://schemas.openxmlformats.org/officeDocument/2006/relationships/drawing" Target="../drawings/drawing20.xml"/><Relationship Id="rId7" Type="http://schemas.openxmlformats.org/officeDocument/2006/relationships/ctrlProp" Target="../ctrlProps/ctrlProp212.xml"/><Relationship Id="rId12" Type="http://schemas.openxmlformats.org/officeDocument/2006/relationships/ctrlProp" Target="../ctrlProps/ctrlProp217.xml"/><Relationship Id="rId17" Type="http://schemas.openxmlformats.org/officeDocument/2006/relationships/ctrlProp" Target="../ctrlProps/ctrlProp222.xml"/><Relationship Id="rId2" Type="http://schemas.openxmlformats.org/officeDocument/2006/relationships/printerSettings" Target="../printerSettings/printerSettings20.bin"/><Relationship Id="rId16" Type="http://schemas.openxmlformats.org/officeDocument/2006/relationships/ctrlProp" Target="../ctrlProps/ctrlProp221.xml"/><Relationship Id="rId1" Type="http://schemas.openxmlformats.org/officeDocument/2006/relationships/hyperlink" Target="mailto:drchrisgauci@gmail.com" TargetMode="External"/><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vmlDrawing" Target="../drawings/vmlDrawing18.v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18" Type="http://schemas.openxmlformats.org/officeDocument/2006/relationships/comments" Target="../comments18.xml"/><Relationship Id="rId3" Type="http://schemas.openxmlformats.org/officeDocument/2006/relationships/drawing" Target="../drawings/drawing21.xml"/><Relationship Id="rId7" Type="http://schemas.openxmlformats.org/officeDocument/2006/relationships/ctrlProp" Target="../ctrlProps/ctrlProp225.xml"/><Relationship Id="rId12" Type="http://schemas.openxmlformats.org/officeDocument/2006/relationships/ctrlProp" Target="../ctrlProps/ctrlProp230.xml"/><Relationship Id="rId17" Type="http://schemas.openxmlformats.org/officeDocument/2006/relationships/ctrlProp" Target="../ctrlProps/ctrlProp235.xml"/><Relationship Id="rId2" Type="http://schemas.openxmlformats.org/officeDocument/2006/relationships/printerSettings" Target="../printerSettings/printerSettings21.bin"/><Relationship Id="rId16" Type="http://schemas.openxmlformats.org/officeDocument/2006/relationships/ctrlProp" Target="../ctrlProps/ctrlProp234.xml"/><Relationship Id="rId1" Type="http://schemas.openxmlformats.org/officeDocument/2006/relationships/hyperlink" Target="mailto:drchrisgauci@gmail.com" TargetMode="External"/><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vmlDrawing" Target="../drawings/vmlDrawing19.v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18" Type="http://schemas.openxmlformats.org/officeDocument/2006/relationships/comments" Target="../comments19.xml"/><Relationship Id="rId3" Type="http://schemas.openxmlformats.org/officeDocument/2006/relationships/drawing" Target="../drawings/drawing22.xml"/><Relationship Id="rId7" Type="http://schemas.openxmlformats.org/officeDocument/2006/relationships/ctrlProp" Target="../ctrlProps/ctrlProp238.xml"/><Relationship Id="rId12" Type="http://schemas.openxmlformats.org/officeDocument/2006/relationships/ctrlProp" Target="../ctrlProps/ctrlProp243.xml"/><Relationship Id="rId17" Type="http://schemas.openxmlformats.org/officeDocument/2006/relationships/ctrlProp" Target="../ctrlProps/ctrlProp248.xml"/><Relationship Id="rId2" Type="http://schemas.openxmlformats.org/officeDocument/2006/relationships/printerSettings" Target="../printerSettings/printerSettings22.bin"/><Relationship Id="rId16" Type="http://schemas.openxmlformats.org/officeDocument/2006/relationships/ctrlProp" Target="../ctrlProps/ctrlProp247.xml"/><Relationship Id="rId1" Type="http://schemas.openxmlformats.org/officeDocument/2006/relationships/hyperlink" Target="mailto:drchrisgauci@gmail.com" TargetMode="External"/><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vmlDrawing" Target="../drawings/vmlDrawing20.v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18" Type="http://schemas.openxmlformats.org/officeDocument/2006/relationships/comments" Target="../comments20.xml"/><Relationship Id="rId3" Type="http://schemas.openxmlformats.org/officeDocument/2006/relationships/drawing" Target="../drawings/drawing23.xml"/><Relationship Id="rId7" Type="http://schemas.openxmlformats.org/officeDocument/2006/relationships/ctrlProp" Target="../ctrlProps/ctrlProp251.xml"/><Relationship Id="rId12" Type="http://schemas.openxmlformats.org/officeDocument/2006/relationships/ctrlProp" Target="../ctrlProps/ctrlProp256.xml"/><Relationship Id="rId17" Type="http://schemas.openxmlformats.org/officeDocument/2006/relationships/ctrlProp" Target="../ctrlProps/ctrlProp261.xml"/><Relationship Id="rId2" Type="http://schemas.openxmlformats.org/officeDocument/2006/relationships/printerSettings" Target="../printerSettings/printerSettings23.bin"/><Relationship Id="rId16" Type="http://schemas.openxmlformats.org/officeDocument/2006/relationships/ctrlProp" Target="../ctrlProps/ctrlProp260.xml"/><Relationship Id="rId1" Type="http://schemas.openxmlformats.org/officeDocument/2006/relationships/hyperlink" Target="mailto:drchrisgauci@gmail.com" TargetMode="External"/><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vmlDrawing" Target="../drawings/vmlDrawing21.v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33.bin"/><Relationship Id="rId1" Type="http://schemas.openxmlformats.org/officeDocument/2006/relationships/hyperlink" Target="FS5/May-25_FS5.pdf" TargetMode="External"/></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34.bin"/><Relationship Id="rId1" Type="http://schemas.openxmlformats.org/officeDocument/2006/relationships/hyperlink" Target="FS5/Jun-25_FS5.pdf" TargetMode="External"/></Relationships>
</file>

<file path=xl/worksheets/_rels/sheet51.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35.bin"/><Relationship Id="rId1" Type="http://schemas.openxmlformats.org/officeDocument/2006/relationships/hyperlink" Target="../2025/FS5/" TargetMode="External"/></Relationships>
</file>

<file path=xl/worksheets/_rels/sheet52.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36.bin"/><Relationship Id="rId1" Type="http://schemas.openxmlformats.org/officeDocument/2006/relationships/hyperlink" Target="FS5/" TargetMode="Externa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9.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0.bin"/></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6.xml"/><Relationship Id="rId1" Type="http://schemas.openxmlformats.org/officeDocument/2006/relationships/printerSettings" Target="../printerSettings/printerSettings41.bin"/><Relationship Id="rId4" Type="http://schemas.openxmlformats.org/officeDocument/2006/relationships/comments" Target="../comments21.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42.bin"/></Relationships>
</file>

<file path=xl/worksheets/_rels/sheet59.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4.vml"/></Relationships>
</file>

<file path=xl/worksheets/_rels/sheet60.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18" Type="http://schemas.openxmlformats.org/officeDocument/2006/relationships/comments" Target="../comments24.xml"/><Relationship Id="rId3" Type="http://schemas.openxmlformats.org/officeDocument/2006/relationships/drawing" Target="../drawings/drawing37.xml"/><Relationship Id="rId7" Type="http://schemas.openxmlformats.org/officeDocument/2006/relationships/ctrlProp" Target="../ctrlProps/ctrlProp264.xml"/><Relationship Id="rId12" Type="http://schemas.openxmlformats.org/officeDocument/2006/relationships/ctrlProp" Target="../ctrlProps/ctrlProp269.xml"/><Relationship Id="rId17" Type="http://schemas.openxmlformats.org/officeDocument/2006/relationships/ctrlProp" Target="../ctrlProps/ctrlProp274.xml"/><Relationship Id="rId2" Type="http://schemas.openxmlformats.org/officeDocument/2006/relationships/printerSettings" Target="../printerSettings/printerSettings43.bin"/><Relationship Id="rId16" Type="http://schemas.openxmlformats.org/officeDocument/2006/relationships/ctrlProp" Target="../ctrlProps/ctrlProp273.xml"/><Relationship Id="rId1" Type="http://schemas.openxmlformats.org/officeDocument/2006/relationships/hyperlink" Target="mailto:drchrisgauci@gmail.com" TargetMode="External"/><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vmlDrawing" Target="../drawings/vmlDrawing25.v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V53"/>
  <sheetViews>
    <sheetView workbookViewId="0"/>
  </sheetViews>
  <sheetFormatPr defaultRowHeight="15" x14ac:dyDescent="0.25"/>
  <cols>
    <col min="4" max="4" width="9.85546875" customWidth="1"/>
    <col min="5" max="5" width="10.85546875" customWidth="1"/>
    <col min="9" max="9" width="6.7109375" customWidth="1"/>
    <col min="11" max="11" width="12.140625" customWidth="1"/>
    <col min="12" max="12" width="12" customWidth="1"/>
    <col min="13" max="13" width="11.85546875" customWidth="1"/>
    <col min="20" max="20" width="13.5703125" bestFit="1" customWidth="1"/>
    <col min="22" max="22" width="13.5703125" bestFit="1" customWidth="1"/>
  </cols>
  <sheetData>
    <row r="1" spans="1:11" x14ac:dyDescent="0.25">
      <c r="A1" t="s">
        <v>0</v>
      </c>
      <c r="B1" s="875" t="s">
        <v>0</v>
      </c>
    </row>
    <row r="2" spans="1:11" ht="18.75" customHeight="1" x14ac:dyDescent="0.3">
      <c r="B2" s="876"/>
      <c r="D2" s="746" t="s">
        <v>1</v>
      </c>
      <c r="E2" s="746"/>
      <c r="F2" s="746"/>
      <c r="G2" s="745"/>
    </row>
    <row r="3" spans="1:11" ht="18.75" customHeight="1" x14ac:dyDescent="0.3">
      <c r="B3" s="876"/>
      <c r="D3" s="746" t="s">
        <v>2</v>
      </c>
      <c r="E3" s="746"/>
      <c r="F3" s="746"/>
      <c r="G3" s="745"/>
    </row>
    <row r="4" spans="1:11" ht="18.75" customHeight="1" x14ac:dyDescent="0.3">
      <c r="A4" s="725" t="s">
        <v>3</v>
      </c>
      <c r="B4" s="885" t="s">
        <v>4</v>
      </c>
      <c r="C4" s="886"/>
      <c r="D4" s="746" t="s">
        <v>5</v>
      </c>
      <c r="E4" s="746"/>
      <c r="F4" s="746"/>
      <c r="G4" s="745"/>
    </row>
    <row r="5" spans="1:11" x14ac:dyDescent="0.25">
      <c r="B5" s="744" t="s">
        <v>6</v>
      </c>
      <c r="C5" s="743"/>
      <c r="D5" s="743"/>
      <c r="E5" s="743"/>
      <c r="F5" s="742"/>
      <c r="J5" s="731" t="s">
        <v>7</v>
      </c>
    </row>
    <row r="6" spans="1:11" x14ac:dyDescent="0.25">
      <c r="B6" s="739" t="s">
        <v>8</v>
      </c>
      <c r="F6" s="738"/>
      <c r="J6" s="741" t="s">
        <v>9</v>
      </c>
      <c r="K6" s="740">
        <f>+DEC_FS5!H7</f>
        <v>46357</v>
      </c>
    </row>
    <row r="7" spans="1:11" x14ac:dyDescent="0.25">
      <c r="B7" s="739" t="s">
        <v>10</v>
      </c>
      <c r="E7" t="s">
        <v>11</v>
      </c>
      <c r="F7" s="738"/>
    </row>
    <row r="8" spans="1:11" x14ac:dyDescent="0.25">
      <c r="B8" s="739"/>
      <c r="F8" s="738"/>
      <c r="I8" t="s">
        <v>12</v>
      </c>
    </row>
    <row r="9" spans="1:11" x14ac:dyDescent="0.25">
      <c r="B9" s="737"/>
      <c r="C9" s="736"/>
      <c r="D9" s="736"/>
      <c r="E9" s="736"/>
      <c r="F9" s="735"/>
      <c r="H9" t="s">
        <v>13</v>
      </c>
      <c r="I9" s="858">
        <v>474436</v>
      </c>
      <c r="J9" s="859"/>
      <c r="K9" s="857"/>
    </row>
    <row r="10" spans="1:11" x14ac:dyDescent="0.25">
      <c r="B10" s="856" t="s">
        <v>14</v>
      </c>
      <c r="C10" s="857"/>
      <c r="D10" s="864">
        <v>21826685</v>
      </c>
      <c r="E10" s="859"/>
      <c r="F10" s="857"/>
    </row>
    <row r="11" spans="1:11" x14ac:dyDescent="0.25">
      <c r="B11" s="856" t="s">
        <v>15</v>
      </c>
      <c r="C11" s="857"/>
      <c r="D11" s="864" t="s">
        <v>16</v>
      </c>
      <c r="E11" s="859"/>
      <c r="F11" s="857"/>
      <c r="G11" t="s">
        <v>17</v>
      </c>
    </row>
    <row r="12" spans="1:11" x14ac:dyDescent="0.25">
      <c r="B12" s="856" t="s">
        <v>18</v>
      </c>
      <c r="C12" s="857"/>
      <c r="D12" s="864" t="s">
        <v>19</v>
      </c>
      <c r="E12" s="859"/>
      <c r="F12" s="857"/>
      <c r="G12" t="s">
        <v>20</v>
      </c>
      <c r="H12" s="858"/>
      <c r="I12" s="859"/>
      <c r="J12" s="859"/>
      <c r="K12" s="857"/>
    </row>
    <row r="13" spans="1:11" x14ac:dyDescent="0.25">
      <c r="B13" s="734" t="s">
        <v>21</v>
      </c>
      <c r="C13" s="729"/>
      <c r="D13" s="864"/>
      <c r="E13" s="859"/>
      <c r="F13" s="857"/>
    </row>
    <row r="14" spans="1:11" x14ac:dyDescent="0.25">
      <c r="B14" s="731" t="s">
        <v>22</v>
      </c>
      <c r="H14" t="s">
        <v>23</v>
      </c>
    </row>
    <row r="15" spans="1:11" ht="15.75" customHeight="1" thickBot="1" x14ac:dyDescent="0.3">
      <c r="A15" s="733"/>
      <c r="B15" s="578"/>
      <c r="C15" s="578"/>
      <c r="D15" s="579"/>
      <c r="H15" s="858">
        <v>91244</v>
      </c>
      <c r="I15" s="859"/>
      <c r="J15" s="859"/>
      <c r="K15" s="857"/>
    </row>
    <row r="16" spans="1:11" ht="15.75" customHeight="1" thickBot="1" x14ac:dyDescent="0.3">
      <c r="C16" s="732"/>
      <c r="D16" t="s">
        <v>24</v>
      </c>
      <c r="E16" s="732" t="s">
        <v>25</v>
      </c>
      <c r="F16" t="s">
        <v>26</v>
      </c>
    </row>
    <row r="17" spans="1:22" x14ac:dyDescent="0.25">
      <c r="F17" s="731" t="s">
        <v>27</v>
      </c>
      <c r="G17" s="731" t="s">
        <v>28</v>
      </c>
      <c r="J17" s="728" t="s">
        <v>29</v>
      </c>
    </row>
    <row r="18" spans="1:22" x14ac:dyDescent="0.25">
      <c r="B18" s="730" t="s">
        <v>30</v>
      </c>
      <c r="F18" s="729"/>
      <c r="G18" s="729"/>
      <c r="I18" s="728" t="s">
        <v>31</v>
      </c>
      <c r="J18" s="882"/>
      <c r="K18" s="857"/>
    </row>
    <row r="20" spans="1:22" x14ac:dyDescent="0.25">
      <c r="A20" s="725" t="s">
        <v>32</v>
      </c>
      <c r="B20" s="861" t="s">
        <v>33</v>
      </c>
      <c r="C20" s="859"/>
      <c r="D20" s="857"/>
      <c r="H20" t="s">
        <v>34</v>
      </c>
      <c r="I20" s="858">
        <v>0</v>
      </c>
      <c r="J20" s="857"/>
    </row>
    <row r="22" spans="1:22" ht="15.75" customHeight="1" thickBot="1" x14ac:dyDescent="0.3">
      <c r="A22" s="725" t="s">
        <v>35</v>
      </c>
      <c r="B22" s="861" t="s">
        <v>36</v>
      </c>
      <c r="C22" s="859"/>
      <c r="D22" s="857"/>
      <c r="J22" s="449" t="s">
        <v>37</v>
      </c>
    </row>
    <row r="23" spans="1:22" ht="15.75" customHeight="1" thickBot="1" x14ac:dyDescent="0.3">
      <c r="B23" s="727" t="s">
        <v>38</v>
      </c>
      <c r="H23" t="s">
        <v>39</v>
      </c>
      <c r="J23" s="862">
        <f ca="1">+SUM(APR_FS5:DEC_FS5!H19)</f>
        <v>414666</v>
      </c>
      <c r="K23" s="863"/>
      <c r="T23" s="77"/>
      <c r="V23" s="77"/>
    </row>
    <row r="24" spans="1:22" ht="15.75" customHeight="1" thickBot="1" x14ac:dyDescent="0.3">
      <c r="B24" t="s">
        <v>40</v>
      </c>
      <c r="H24" t="s">
        <v>41</v>
      </c>
      <c r="J24" s="862">
        <f ca="1">+SUM(APR_FS5:DEC_FS5!H20)</f>
        <v>0</v>
      </c>
      <c r="K24" s="863"/>
      <c r="T24" s="77"/>
      <c r="V24" s="77"/>
    </row>
    <row r="25" spans="1:22" ht="15.75" customHeight="1" thickBot="1" x14ac:dyDescent="0.3">
      <c r="B25" t="s">
        <v>42</v>
      </c>
      <c r="H25" t="s">
        <v>43</v>
      </c>
      <c r="J25" s="862">
        <f>+SUM(APR_FS5:DEC_FS5!H21)</f>
        <v>0</v>
      </c>
      <c r="K25" s="863"/>
      <c r="T25" s="77"/>
      <c r="V25" s="77"/>
    </row>
    <row r="26" spans="1:22" ht="15.75" customHeight="1" thickBot="1" x14ac:dyDescent="0.3">
      <c r="B26" s="727" t="s">
        <v>44</v>
      </c>
      <c r="H26" t="s">
        <v>45</v>
      </c>
      <c r="J26" s="862">
        <f ca="1">+SUM(APR_FS5:DEC_FS5!H22)</f>
        <v>39</v>
      </c>
      <c r="K26" s="863"/>
    </row>
    <row r="27" spans="1:22" ht="15.75" customHeight="1" thickBot="1" x14ac:dyDescent="0.3">
      <c r="B27" t="s">
        <v>46</v>
      </c>
      <c r="H27" t="s">
        <v>47</v>
      </c>
      <c r="J27" s="862">
        <f>+SUM(APR_FS5:DEC_FS5!H23)</f>
        <v>0</v>
      </c>
      <c r="K27" s="863"/>
    </row>
    <row r="28" spans="1:22" ht="15.75" customHeight="1" thickBot="1" x14ac:dyDescent="0.3">
      <c r="B28" t="s">
        <v>48</v>
      </c>
      <c r="H28" t="s">
        <v>49</v>
      </c>
      <c r="J28" s="854">
        <f ca="1">+SUM(J23:K27)</f>
        <v>414705</v>
      </c>
      <c r="K28" s="855"/>
    </row>
    <row r="30" spans="1:22" ht="15.75" customHeight="1" thickBot="1" x14ac:dyDescent="0.3">
      <c r="A30" s="725" t="s">
        <v>50</v>
      </c>
      <c r="B30" s="861" t="s">
        <v>51</v>
      </c>
      <c r="C30" s="859"/>
      <c r="D30" s="859"/>
      <c r="E30" s="859"/>
      <c r="F30" s="857"/>
    </row>
    <row r="31" spans="1:22" ht="15.75" customHeight="1" thickBot="1" x14ac:dyDescent="0.3">
      <c r="B31" t="s">
        <v>52</v>
      </c>
      <c r="H31" t="s">
        <v>53</v>
      </c>
      <c r="J31" s="862">
        <f ca="1">+SUM(APR_FS5:DEC_FS5!H27)</f>
        <v>68197</v>
      </c>
      <c r="K31" s="863"/>
    </row>
    <row r="32" spans="1:22" ht="15.75" customHeight="1" thickBot="1" x14ac:dyDescent="0.3">
      <c r="A32" s="50"/>
      <c r="B32" t="s">
        <v>54</v>
      </c>
      <c r="H32" t="s">
        <v>55</v>
      </c>
      <c r="I32" s="269"/>
      <c r="J32" s="862">
        <f ca="1">+SUM(APR_FS5:DEC_FS5!H28)</f>
        <v>0</v>
      </c>
      <c r="K32" s="863"/>
    </row>
    <row r="33" spans="1:13" ht="15.75" customHeight="1" thickBot="1" x14ac:dyDescent="0.3">
      <c r="A33" s="50"/>
      <c r="B33" t="s">
        <v>56</v>
      </c>
      <c r="H33" t="s">
        <v>57</v>
      </c>
      <c r="I33" s="269"/>
      <c r="J33" s="862">
        <f ca="1">+SUM(APR_FS5:DEC_FS5!H29)</f>
        <v>2</v>
      </c>
      <c r="K33" s="863"/>
    </row>
    <row r="34" spans="1:13" ht="15.75" customHeight="1" thickBot="1" x14ac:dyDescent="0.3">
      <c r="B34" s="727" t="s">
        <v>58</v>
      </c>
      <c r="H34" t="s">
        <v>59</v>
      </c>
      <c r="J34" s="862">
        <f>+SUM(APR_FS5:DEC_FS5!H30)</f>
        <v>0</v>
      </c>
      <c r="K34" s="863"/>
    </row>
    <row r="35" spans="1:13" ht="15.75" customHeight="1" thickBot="1" x14ac:dyDescent="0.3">
      <c r="B35" s="613" t="s">
        <v>60</v>
      </c>
      <c r="H35" t="s">
        <v>61</v>
      </c>
      <c r="J35" s="854">
        <f ca="1">+SUM(J31:K34)</f>
        <v>68199</v>
      </c>
      <c r="K35" s="855"/>
    </row>
    <row r="36" spans="1:13" ht="15.75" customHeight="1" thickBot="1" x14ac:dyDescent="0.3"/>
    <row r="37" spans="1:13" ht="15.75" customHeight="1" thickBot="1" x14ac:dyDescent="0.3">
      <c r="A37" s="725" t="s">
        <v>62</v>
      </c>
      <c r="B37" s="860" t="s">
        <v>63</v>
      </c>
      <c r="C37" s="859"/>
      <c r="D37" s="859"/>
      <c r="E37" s="859"/>
      <c r="F37" s="859"/>
      <c r="G37" s="859"/>
      <c r="H37" s="726" t="s">
        <v>62</v>
      </c>
      <c r="J37" s="865">
        <f ca="1">+SUM(APR_FS5:DEC_FS5!H32)</f>
        <v>47502.54</v>
      </c>
      <c r="K37" s="863"/>
    </row>
    <row r="38" spans="1:13" x14ac:dyDescent="0.25">
      <c r="A38" s="725" t="s">
        <v>64</v>
      </c>
      <c r="B38" s="860" t="s">
        <v>65</v>
      </c>
      <c r="C38" s="859"/>
      <c r="D38" s="859"/>
      <c r="E38" s="859"/>
      <c r="F38" s="859"/>
      <c r="G38" s="859"/>
      <c r="H38" s="726" t="s">
        <v>62</v>
      </c>
      <c r="J38" s="865">
        <f ca="1">+SUM(APR_FS5:DEC_FS5!H33)</f>
        <v>713.04</v>
      </c>
      <c r="K38" s="863"/>
    </row>
    <row r="39" spans="1:13" x14ac:dyDescent="0.25">
      <c r="A39" s="725" t="s">
        <v>66</v>
      </c>
      <c r="B39" s="861" t="s">
        <v>67</v>
      </c>
      <c r="C39" s="859"/>
      <c r="D39" s="859"/>
      <c r="E39" s="859"/>
      <c r="F39" s="857"/>
    </row>
    <row r="40" spans="1:13" ht="15.75" customHeight="1" thickBot="1" x14ac:dyDescent="0.3"/>
    <row r="41" spans="1:13" x14ac:dyDescent="0.25">
      <c r="A41" s="852" t="s">
        <v>68</v>
      </c>
      <c r="B41" s="883" t="s">
        <v>69</v>
      </c>
      <c r="C41" s="724" t="s">
        <v>29</v>
      </c>
      <c r="D41" s="721" t="s">
        <v>70</v>
      </c>
      <c r="E41" s="723" t="s">
        <v>71</v>
      </c>
      <c r="F41" s="722" t="s">
        <v>72</v>
      </c>
      <c r="G41" s="870" t="s">
        <v>68</v>
      </c>
      <c r="H41" s="877" t="s">
        <v>69</v>
      </c>
      <c r="I41" s="878"/>
      <c r="J41" s="888" t="s">
        <v>29</v>
      </c>
      <c r="K41" s="721" t="s">
        <v>70</v>
      </c>
      <c r="L41" s="720" t="s">
        <v>71</v>
      </c>
      <c r="M41" s="719" t="s">
        <v>72</v>
      </c>
    </row>
    <row r="42" spans="1:13" x14ac:dyDescent="0.25">
      <c r="A42" s="853"/>
      <c r="B42" s="884"/>
      <c r="C42" s="718"/>
      <c r="D42" s="715" t="s">
        <v>37</v>
      </c>
      <c r="E42" s="717" t="s">
        <v>37</v>
      </c>
      <c r="F42" s="716" t="s">
        <v>37</v>
      </c>
      <c r="G42" s="871"/>
      <c r="H42" s="879"/>
      <c r="I42" s="871"/>
      <c r="J42" s="884"/>
      <c r="K42" s="715" t="s">
        <v>37</v>
      </c>
      <c r="L42" s="714" t="s">
        <v>37</v>
      </c>
      <c r="M42" s="713" t="s">
        <v>37</v>
      </c>
    </row>
    <row r="43" spans="1:13" x14ac:dyDescent="0.25">
      <c r="A43" s="710" t="s">
        <v>73</v>
      </c>
      <c r="B43" s="709"/>
      <c r="C43" s="712"/>
      <c r="D43" s="704"/>
      <c r="E43" s="707"/>
      <c r="F43" s="711"/>
      <c r="G43" s="706"/>
      <c r="H43" s="856"/>
      <c r="I43" s="857"/>
      <c r="J43" s="705"/>
      <c r="K43" s="704"/>
      <c r="L43" s="703"/>
      <c r="M43" s="702"/>
    </row>
    <row r="44" spans="1:13" x14ac:dyDescent="0.25">
      <c r="A44" s="710" t="s">
        <v>74</v>
      </c>
      <c r="B44" s="709"/>
      <c r="C44" s="708"/>
      <c r="D44" s="704"/>
      <c r="E44" s="707"/>
      <c r="F44" s="711"/>
      <c r="G44" s="706"/>
      <c r="H44" s="856"/>
      <c r="I44" s="857"/>
      <c r="J44" s="705"/>
      <c r="K44" s="704"/>
      <c r="L44" s="703"/>
      <c r="M44" s="702"/>
    </row>
    <row r="45" spans="1:13" x14ac:dyDescent="0.25">
      <c r="A45" s="710" t="s">
        <v>75</v>
      </c>
      <c r="B45" s="709"/>
      <c r="C45" s="708"/>
      <c r="D45" s="704"/>
      <c r="E45" s="707"/>
      <c r="F45" s="711"/>
      <c r="G45" s="706"/>
      <c r="H45" s="856"/>
      <c r="I45" s="857"/>
      <c r="J45" s="705"/>
      <c r="K45" s="704"/>
      <c r="L45" s="703"/>
      <c r="M45" s="702"/>
    </row>
    <row r="46" spans="1:13" x14ac:dyDescent="0.25">
      <c r="A46" s="710" t="s">
        <v>76</v>
      </c>
      <c r="B46" s="709"/>
      <c r="C46" s="708"/>
      <c r="D46" s="704"/>
      <c r="E46" s="707"/>
      <c r="F46" s="711"/>
      <c r="G46" s="706"/>
      <c r="H46" s="856"/>
      <c r="I46" s="857"/>
      <c r="J46" s="705"/>
      <c r="K46" s="704"/>
      <c r="L46" s="703"/>
      <c r="M46" s="702"/>
    </row>
    <row r="47" spans="1:13" x14ac:dyDescent="0.25">
      <c r="A47" s="710" t="s">
        <v>77</v>
      </c>
      <c r="B47" s="709"/>
      <c r="C47" s="708"/>
      <c r="D47" s="704"/>
      <c r="E47" s="707"/>
      <c r="F47" s="707"/>
      <c r="G47" s="706"/>
      <c r="H47" s="856"/>
      <c r="I47" s="857"/>
      <c r="J47" s="705"/>
      <c r="K47" s="704"/>
      <c r="L47" s="703"/>
      <c r="M47" s="702"/>
    </row>
    <row r="48" spans="1:13" ht="15.75" customHeight="1" thickBot="1" x14ac:dyDescent="0.3">
      <c r="A48" s="701" t="s">
        <v>78</v>
      </c>
      <c r="B48" s="700"/>
      <c r="C48" s="699"/>
      <c r="D48" s="695"/>
      <c r="E48" s="698"/>
      <c r="F48" s="698"/>
      <c r="G48" s="697"/>
      <c r="H48" s="880"/>
      <c r="I48" s="881"/>
      <c r="J48" s="696"/>
      <c r="K48" s="695"/>
      <c r="L48" s="694"/>
      <c r="M48" s="693"/>
    </row>
    <row r="49" spans="1:13" ht="15.75" customHeight="1" thickBot="1" x14ac:dyDescent="0.3">
      <c r="A49" s="887" t="s">
        <v>79</v>
      </c>
      <c r="B49" s="876"/>
      <c r="C49" s="876"/>
      <c r="D49" s="876"/>
    </row>
    <row r="50" spans="1:13" x14ac:dyDescent="0.25">
      <c r="A50" s="876"/>
      <c r="B50" s="876"/>
      <c r="C50" s="876"/>
      <c r="D50" s="876"/>
      <c r="E50" t="s">
        <v>80</v>
      </c>
      <c r="F50" s="867" t="s">
        <v>81</v>
      </c>
      <c r="G50" s="868"/>
      <c r="H50" s="868"/>
      <c r="I50" s="868"/>
      <c r="J50" s="869"/>
      <c r="K50" s="692"/>
      <c r="L50" s="691"/>
      <c r="M50" s="690"/>
    </row>
    <row r="51" spans="1:13" x14ac:dyDescent="0.25">
      <c r="A51" s="876"/>
      <c r="B51" s="876"/>
      <c r="C51" s="876"/>
      <c r="D51" s="876"/>
      <c r="E51" t="s">
        <v>82</v>
      </c>
      <c r="F51" s="866" t="s">
        <v>83</v>
      </c>
      <c r="G51" s="859"/>
      <c r="H51" s="859"/>
      <c r="I51" s="859"/>
      <c r="J51" s="857"/>
      <c r="K51" s="689">
        <f ca="1">+J35</f>
        <v>68199</v>
      </c>
      <c r="L51" s="688">
        <f ca="1">+J37</f>
        <v>47502.54</v>
      </c>
      <c r="M51" s="687">
        <f ca="1">+J38</f>
        <v>713.04</v>
      </c>
    </row>
    <row r="52" spans="1:13" ht="15.75" customHeight="1" thickBot="1" x14ac:dyDescent="0.3">
      <c r="A52" s="876"/>
      <c r="B52" s="876"/>
      <c r="C52" s="876"/>
      <c r="D52" s="876"/>
      <c r="E52" t="s">
        <v>84</v>
      </c>
      <c r="F52" s="872" t="s">
        <v>85</v>
      </c>
      <c r="G52" s="873"/>
      <c r="H52" s="873"/>
      <c r="I52" s="873"/>
      <c r="J52" s="874"/>
      <c r="K52" s="686">
        <f>+SUM(D43:D48)+SUM(K43:K48)</f>
        <v>0</v>
      </c>
      <c r="L52" s="686">
        <f>+SUM(E43:E48)+SUM(L43:L48)</f>
        <v>0</v>
      </c>
      <c r="M52" s="686">
        <f>+SUM(F43:F48)+SUM(M43:M48)</f>
        <v>0</v>
      </c>
    </row>
    <row r="53" spans="1:13" ht="15.75" customHeight="1" thickBot="1" x14ac:dyDescent="0.3">
      <c r="K53" s="685" t="s">
        <v>70</v>
      </c>
      <c r="L53" s="684" t="s">
        <v>71</v>
      </c>
      <c r="M53" s="683" t="s">
        <v>86</v>
      </c>
    </row>
  </sheetData>
  <mergeCells count="48">
    <mergeCell ref="F52:J52"/>
    <mergeCell ref="B1:B3"/>
    <mergeCell ref="H41:I42"/>
    <mergeCell ref="I20:J20"/>
    <mergeCell ref="H48:I48"/>
    <mergeCell ref="B22:D22"/>
    <mergeCell ref="J18:K18"/>
    <mergeCell ref="J33:K33"/>
    <mergeCell ref="B41:B42"/>
    <mergeCell ref="J23:K23"/>
    <mergeCell ref="B4:C4"/>
    <mergeCell ref="A49:D52"/>
    <mergeCell ref="I9:K9"/>
    <mergeCell ref="B10:C10"/>
    <mergeCell ref="J25:K25"/>
    <mergeCell ref="J41:J42"/>
    <mergeCell ref="D10:F10"/>
    <mergeCell ref="B30:F30"/>
    <mergeCell ref="B11:C11"/>
    <mergeCell ref="B37:G37"/>
    <mergeCell ref="J24:K24"/>
    <mergeCell ref="D11:F11"/>
    <mergeCell ref="F51:J51"/>
    <mergeCell ref="H46:I46"/>
    <mergeCell ref="D12:F12"/>
    <mergeCell ref="J27:K27"/>
    <mergeCell ref="F50:J50"/>
    <mergeCell ref="B20:D20"/>
    <mergeCell ref="J26:K26"/>
    <mergeCell ref="J35:K35"/>
    <mergeCell ref="H45:I45"/>
    <mergeCell ref="J32:K32"/>
    <mergeCell ref="H47:I47"/>
    <mergeCell ref="J31:K31"/>
    <mergeCell ref="G41:G42"/>
    <mergeCell ref="A41:A42"/>
    <mergeCell ref="J28:K28"/>
    <mergeCell ref="H44:I44"/>
    <mergeCell ref="H15:K15"/>
    <mergeCell ref="B12:C12"/>
    <mergeCell ref="B38:G38"/>
    <mergeCell ref="B39:F39"/>
    <mergeCell ref="J34:K34"/>
    <mergeCell ref="D13:F13"/>
    <mergeCell ref="J38:K38"/>
    <mergeCell ref="H43:I43"/>
    <mergeCell ref="H12:K12"/>
    <mergeCell ref="J37:K3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1">
    <tabColor rgb="FFFF0000"/>
  </sheetPr>
  <dimension ref="A1:AA26"/>
  <sheetViews>
    <sheetView workbookViewId="0"/>
  </sheetViews>
  <sheetFormatPr defaultColWidth="17.28515625" defaultRowHeight="15" customHeight="1" x14ac:dyDescent="0.25"/>
  <cols>
    <col min="1" max="13" width="17.28515625" style="73" customWidth="1"/>
    <col min="14" max="14" width="17.28515625" style="29" customWidth="1"/>
    <col min="15" max="25" width="17.28515625" style="73" customWidth="1"/>
    <col min="26" max="27" width="17.28515625" customWidth="1"/>
    <col min="28" max="28" width="17.28515625" style="73" customWidth="1"/>
    <col min="29" max="16384" width="17.28515625" style="73"/>
  </cols>
  <sheetData>
    <row r="1" spans="1:1" ht="15" customHeight="1" x14ac:dyDescent="0.25">
      <c r="A1" s="73" t="s">
        <v>87</v>
      </c>
    </row>
    <row r="2" spans="1:1" x14ac:dyDescent="0.25"/>
    <row r="3" spans="1:1" x14ac:dyDescent="0.25"/>
    <row r="4" spans="1:1" x14ac:dyDescent="0.25"/>
    <row r="5" spans="1:1" x14ac:dyDescent="0.25"/>
    <row r="6" spans="1:1" x14ac:dyDescent="0.25"/>
    <row r="7" spans="1:1" x14ac:dyDescent="0.25"/>
    <row r="8" spans="1:1" x14ac:dyDescent="0.25"/>
    <row r="9" spans="1:1" x14ac:dyDescent="0.25"/>
    <row r="10" spans="1:1" x14ac:dyDescent="0.25"/>
    <row r="11" spans="1:1" x14ac:dyDescent="0.25"/>
    <row r="12" spans="1:1" x14ac:dyDescent="0.25"/>
    <row r="13" spans="1:1" x14ac:dyDescent="0.25"/>
    <row r="14" spans="1:1" x14ac:dyDescent="0.25"/>
    <row r="15" spans="1:1" x14ac:dyDescent="0.25"/>
    <row r="16" spans="1:1" x14ac:dyDescent="0.25"/>
    <row r="17" spans="24:24" x14ac:dyDescent="0.25"/>
    <row r="18" spans="24:24" x14ac:dyDescent="0.25"/>
    <row r="19" spans="24:24" x14ac:dyDescent="0.25"/>
    <row r="20" spans="24:24" x14ac:dyDescent="0.25"/>
    <row r="21" spans="24:24" x14ac:dyDescent="0.25"/>
    <row r="22" spans="24:24" x14ac:dyDescent="0.25"/>
    <row r="23" spans="24:24" x14ac:dyDescent="0.25"/>
    <row r="24" spans="24:24" ht="15" customHeight="1" x14ac:dyDescent="0.25">
      <c r="X24" s="575"/>
    </row>
    <row r="25" spans="24:24" x14ac:dyDescent="0.25"/>
    <row r="26" spans="24:24" ht="15" customHeight="1" x14ac:dyDescent="0.25">
      <c r="X26" s="575"/>
    </row>
  </sheetData>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TriggerPayForm">
                <anchor moveWithCells="1" sizeWithCells="1">
                  <from>
                    <xdr:col>0</xdr:col>
                    <xdr:colOff>390525</xdr:colOff>
                    <xdr:row>4</xdr:row>
                    <xdr:rowOff>66675</xdr:rowOff>
                  </from>
                  <to>
                    <xdr:col>2</xdr:col>
                    <xdr:colOff>295275</xdr:colOff>
                    <xdr:row>9</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6">
    <tabColor rgb="FF04CCB9"/>
  </sheetPr>
  <dimension ref="A1"/>
  <sheetViews>
    <sheetView workbookViewId="0"/>
  </sheetViews>
  <sheetFormatPr defaultRowHeight="15" x14ac:dyDescent="0.25"/>
  <sheetData>
    <row r="1" spans="1:1" x14ac:dyDescent="0.25">
      <c r="A1" s="44" t="s">
        <v>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2">
    <tabColor rgb="FF4472C4"/>
  </sheetPr>
  <dimension ref="A1:BJ149"/>
  <sheetViews>
    <sheetView topLeftCell="J22" workbookViewId="0">
      <selection activeCell="Y37" sqref="Y37"/>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RGaldes</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2018001</v>
      </c>
      <c r="O2" s="810" t="str">
        <f>CONCATENATE(LEFT(Name,1),Surname)</f>
        <v>RGaldes</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45</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45.131</v>
      </c>
      <c r="O4" s="213">
        <f>+DATA!A3</f>
        <v>46023</v>
      </c>
      <c r="P4" s="219">
        <f ca="1">+INDIRECT("[EMPINFO.xlsm]"&amp;$O$2&amp;"!G4")</f>
        <v>4</v>
      </c>
      <c r="Q4" s="215">
        <f ca="1">IF(AZ4="active",INDIRECT("[EMPINFO.xlsm]"&amp;$O$2&amp;"!H4"),0)</f>
        <v>40</v>
      </c>
      <c r="R4" s="239">
        <f ca="1">IF(AZ4&lt;&gt;"active",0,N3+COLA)</f>
        <v>45.131</v>
      </c>
      <c r="S4" s="216">
        <f t="shared" ref="S4:S15" ca="1" si="1">+Q4*R4*4.33333333333333*AO4/AX4</f>
        <v>7822.7066666666615</v>
      </c>
      <c r="T4" s="220">
        <f t="shared" ref="T4:T15" ca="1" si="2">+BA4*R4</f>
        <v>0</v>
      </c>
      <c r="U4" s="218">
        <f t="shared" ref="U4:U15" ca="1" si="3">-AY4*R4</f>
        <v>0</v>
      </c>
      <c r="V4" s="220">
        <f ca="1">+janoth*janhrrt</f>
        <v>0</v>
      </c>
      <c r="W4" s="201"/>
      <c r="X4" s="218">
        <f t="shared" ref="X4:X15" si="4">IF((AT3=0),AV3,(AV3-(AV3/(Q3*P3)*AT3)))</f>
        <v>0</v>
      </c>
      <c r="Y4" s="799">
        <f t="shared" ref="Y4:Y15" si="5">IF((AT3=0),AW3,(AW3-(AW3/(Q3*P3)*AT3*1.5)))</f>
        <v>0</v>
      </c>
      <c r="Z4" s="218">
        <f t="shared" ref="Z4:Z15" ca="1" si="6">+SUM(S4:Y4)</f>
        <v>7822.7066666666615</v>
      </c>
      <c r="AA4" s="799">
        <f t="shared" ref="AA4:AA15" ca="1" si="7">IF(OR(AN4="PT",AN4="PT_Casual"),TRUNC((Z4*PT_Rate),0),(TRUNC((Z4*BB4)-(BC4/12),0)))</f>
        <v>1954</v>
      </c>
      <c r="AB4" s="218">
        <f ca="1">+INDIRECT("[EMPINFO.xlsm]"&amp;$O$2&amp;"!s4")</f>
        <v>0</v>
      </c>
      <c r="AC4" s="292">
        <v>1.5</v>
      </c>
      <c r="AD4" s="218">
        <f t="shared" ref="AD4:AD15" ca="1" si="8">+AB4*(R4*AC4)</f>
        <v>0</v>
      </c>
      <c r="AE4" s="220">
        <f t="shared" ref="AE4:AE15" ca="1" si="9">+TRUNC((AD4*0.15),0)</f>
        <v>0</v>
      </c>
      <c r="AF4" s="218">
        <f t="shared" ref="AF4:AF15" ca="1" si="10">+AA4+AE4</f>
        <v>1954</v>
      </c>
      <c r="AG4" s="799">
        <f t="shared" ref="AG4:AG15" ca="1" si="11">+R4*Q4</f>
        <v>1805.24</v>
      </c>
      <c r="AH4" s="218">
        <f t="shared" ref="AH4:AH15" ca="1" si="12">ROUND(IF(AN4="",0,IF(OR(AN4="PT",AN4="PT_Casual"),0,IF(AM4="B",ROUND(SSCBemployermultiplier*P4,2),IF(AM4="c",SOCSECCRATE*AG4*P4,IF(AM4="D",ROUND(socsecrateD*P4,2)))))),2)</f>
        <v>223.72</v>
      </c>
      <c r="AI4" s="799">
        <f t="shared" ref="AI4:AI15" ca="1" si="13">ROUND(IF(AN4="",0,IF(OR(AN4="PT",AN4="PT_Casual"),0,IF(AM4="B",ROUND(SSCBemployermultiplier*P4,2),IF(AM4="c",SOCSECCRATE*AG4*P4,IF(AM4="D",ROUND(socsecrateD*P4,2)))))),2)</f>
        <v>223.72</v>
      </c>
      <c r="AJ4" s="218">
        <f t="shared" ref="AJ4:AJ16" ca="1" si="14">+AH4+AI4</f>
        <v>447.44</v>
      </c>
      <c r="AK4" s="799">
        <f t="shared" ref="AK4:AK15" ca="1" si="15">ROUND(IF(AN4="",0,IF(OR(AN4="PT",AN4="PT_Casual"),0,IF(AM4="B",SSCBmlfmultiplier*P4,IF(AM4="c",SSCCmlfmultiplier*P4*AG4,IF(AM4="D",SSCDmlfmultiplier*P4))))),2)</f>
        <v>6.72</v>
      </c>
      <c r="AL4" s="218">
        <f ca="1">+Z4+AH4+AK4</f>
        <v>8053.146666666662</v>
      </c>
      <c r="AM4" s="290" t="str">
        <f t="shared" ref="AM4:AM15" ca="1" si="16">IF(AZ4="Active",IF(OR(AN4="PT",AN4="PT_Casual"),0,(IF(AG4&lt;SSCcatBMAX,"B",(IF(AG4&lt;SSCcatCMAX,"C","D"))))),0)</f>
        <v>D</v>
      </c>
      <c r="AN4" s="291" t="str">
        <f t="shared" ref="AN4:AN15" ca="1" si="17">IF(AZ4="active",+Timer,"")</f>
        <v>FT</v>
      </c>
      <c r="AO4" s="223">
        <f ca="1">+INDIRECT("[EMPINFO.xlsm]"&amp;$O$2&amp;"!t4")</f>
        <v>31</v>
      </c>
      <c r="AP4" s="226">
        <f ca="1">+INDIRECT("[EMPINFO.xlsm]"&amp;$O$2&amp;"!o4")</f>
        <v>-200</v>
      </c>
      <c r="AQ4" s="836">
        <f ca="1">+INDIRECT("[EMPINFO.xlsm]"&amp;$O$2&amp;"!p4")</f>
        <v>-200</v>
      </c>
      <c r="AR4" s="226">
        <f ca="1">+INDIRECT("[EMPINFO.xlsm]"&amp;$O$2&amp;"!j4")</f>
        <v>0</v>
      </c>
      <c r="AS4" s="836">
        <f ca="1">+INDIRECT("[EMPINFO.xlsm]"&amp;$O$2&amp;"!k4")</f>
        <v>223.99999999999997</v>
      </c>
      <c r="AT4" s="226">
        <f ca="1">+INDIRECT("[EMPINFO.xlsm]"&amp;$O$2&amp;"!m4")</f>
        <v>0</v>
      </c>
      <c r="AU4" s="842">
        <f ca="1">+INDIRECT("[EMPINFO.xlsm]"&amp;$O$2&amp;"!n4")</f>
        <v>240</v>
      </c>
      <c r="AV4" s="244">
        <f t="shared" ref="AV4:AV15" si="18">+AV3</f>
        <v>0</v>
      </c>
      <c r="AW4" s="244">
        <f t="shared" ref="AW4:AW15" si="19">+AW3</f>
        <v>0</v>
      </c>
      <c r="AX4" s="836">
        <f ca="1">+INDIRECT("[EMPINFO.xlsm]"&amp;$O$2&amp;"!u4")</f>
        <v>31</v>
      </c>
      <c r="AY4" s="215">
        <f ca="1">+INDIRECT("[EMPINFO.xlsm]"&amp;$O$2&amp;"!v4")</f>
        <v>0</v>
      </c>
      <c r="AZ4" s="797" t="str">
        <f ca="1">+INDIRECT("[EMPINFO.xlsm]"&amp;$O$2&amp;"!x4")</f>
        <v>ACTIVE</v>
      </c>
      <c r="BA4" s="842">
        <f ca="1">+INDIRECT("[EMPINFO.xlsm]"&amp;$O$2&amp;"!w4")</f>
        <v>0</v>
      </c>
      <c r="BB4" s="288">
        <f t="shared" ref="BB4:BB15" ca="1" si="20">IF(AND(Timer="pt",(Z4*12)&lt;10000),+ptrate,IF((Z4*12)&lt;$F$68,$G$68,IF((Z4*12)&lt;$F$69,$G$69,IF((Z4*12)&lt;$F$70,$G$70,IF((Z4*12)&lt;$F$71,$G$71,$G$72)))))</f>
        <v>0.35</v>
      </c>
      <c r="BC4" s="289">
        <f t="shared" ref="BC4:BC15" ca="1" si="21">IF((Z4*12)&lt;$F$68,$H$68,IF((Z4*12)&lt;$F$69,$H$69,IF((Z4*12)&lt;$F$70,$H$70,IF((Z4*12)&lt;$F$71,$H$71,$H$72))))</f>
        <v>9400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45.131</v>
      </c>
      <c r="O5" s="213">
        <f>+DATA!A4</f>
        <v>46054</v>
      </c>
      <c r="P5" s="219">
        <f ca="1">+INDIRECT("[EMPINFO.xlsm]"&amp;$O$2&amp;"!G5")</f>
        <v>4</v>
      </c>
      <c r="Q5" s="215">
        <f ca="1">IF(AZ5="active",INDIRECT("[EMPINFO.xlsm]"&amp;$O$2&amp;"!H5"),0)</f>
        <v>40</v>
      </c>
      <c r="R5" s="239">
        <f t="shared" ref="R5:R15" ca="1" si="22">+R4</f>
        <v>45.131</v>
      </c>
      <c r="S5" s="216">
        <f t="shared" ca="1" si="1"/>
        <v>7822.7066666666606</v>
      </c>
      <c r="T5" s="220">
        <f t="shared" ca="1" si="2"/>
        <v>0</v>
      </c>
      <c r="U5" s="218">
        <f t="shared" ca="1" si="3"/>
        <v>0</v>
      </c>
      <c r="V5" s="220">
        <f ca="1">+feboth*febhrrt</f>
        <v>0</v>
      </c>
      <c r="W5" s="201"/>
      <c r="X5" s="218">
        <f t="shared" ca="1" si="4"/>
        <v>0</v>
      </c>
      <c r="Y5" s="799">
        <f t="shared" ca="1" si="5"/>
        <v>0</v>
      </c>
      <c r="Z5" s="218">
        <f t="shared" ca="1" si="6"/>
        <v>7822.7066666666606</v>
      </c>
      <c r="AA5" s="799">
        <f t="shared" ca="1" si="7"/>
        <v>1954</v>
      </c>
      <c r="AB5" s="218">
        <f ca="1">+INDIRECT("[EMPINFO.xlsm]"&amp;$O$2&amp;"!s5")</f>
        <v>0</v>
      </c>
      <c r="AC5" s="292">
        <v>1.5</v>
      </c>
      <c r="AD5" s="218">
        <f t="shared" ca="1" si="8"/>
        <v>0</v>
      </c>
      <c r="AE5" s="220">
        <f t="shared" ca="1" si="9"/>
        <v>0</v>
      </c>
      <c r="AF5" s="218">
        <f t="shared" ca="1" si="10"/>
        <v>1954</v>
      </c>
      <c r="AG5" s="799">
        <f t="shared" ca="1" si="11"/>
        <v>1805.24</v>
      </c>
      <c r="AH5" s="218">
        <f t="shared" ca="1" si="12"/>
        <v>223.72</v>
      </c>
      <c r="AI5" s="799">
        <f t="shared" ca="1" si="13"/>
        <v>223.72</v>
      </c>
      <c r="AJ5" s="218">
        <f t="shared" ca="1" si="14"/>
        <v>447.44</v>
      </c>
      <c r="AK5" s="799">
        <f t="shared" ca="1" si="15"/>
        <v>6.72</v>
      </c>
      <c r="AL5" s="218">
        <f t="shared" ref="AL5:AL15" ca="1" si="23">+Z5+AI5+AK5</f>
        <v>8053.1466666666611</v>
      </c>
      <c r="AM5" s="290" t="str">
        <f t="shared" ca="1" si="16"/>
        <v>D</v>
      </c>
      <c r="AN5" s="291" t="str">
        <f t="shared" ca="1" si="17"/>
        <v>FT</v>
      </c>
      <c r="AO5" s="223">
        <f ca="1">+INDIRECT("[EMPINFO.xlsm]"&amp;$O$2&amp;"!t5")</f>
        <v>28</v>
      </c>
      <c r="AP5" s="226">
        <f ca="1">+INDIRECT("[EMPINFO.xlsm]"&amp;$O$2&amp;"!o5")</f>
        <v>-160</v>
      </c>
      <c r="AQ5" s="836">
        <f ca="1">+INDIRECT("[EMPINFO.xlsm]"&amp;$O$2&amp;"!p5")</f>
        <v>-360</v>
      </c>
      <c r="AR5" s="226">
        <f ca="1">+INDIRECT("[EMPINFO.xlsm]"&amp;$O$2&amp;"!j5")</f>
        <v>0</v>
      </c>
      <c r="AS5" s="836">
        <f ca="1">+INDIRECT("[EMPINFO.xlsm]"&amp;$O$2&amp;"!k5")</f>
        <v>223.99999999999997</v>
      </c>
      <c r="AT5" s="226">
        <f ca="1">+INDIRECT("[EMPINFO.xlsm]"&amp;$O$2&amp;"!m5")</f>
        <v>0</v>
      </c>
      <c r="AU5" s="842">
        <f ca="1">+INDIRECT("[EMPINFO.xlsm]"&amp;$O$2&amp;"!n5")</f>
        <v>240</v>
      </c>
      <c r="AV5" s="244">
        <f t="shared" si="18"/>
        <v>0</v>
      </c>
      <c r="AW5" s="244">
        <f t="shared" si="19"/>
        <v>0</v>
      </c>
      <c r="AX5" s="836">
        <f ca="1">+INDIRECT("[EMPINFO.xlsm]"&amp;$O$2&amp;"!u5")</f>
        <v>28</v>
      </c>
      <c r="AY5" s="215">
        <f ca="1">+INDIRECT("[EMPINFO.xlsm]"&amp;$O$2&amp;"!v5")</f>
        <v>0</v>
      </c>
      <c r="AZ5" s="797" t="str">
        <f ca="1">+INDIRECT("[EMPINFO.xlsm]"&amp;$O$2&amp;"!x5")</f>
        <v>ACTIVE</v>
      </c>
      <c r="BA5" s="842">
        <f ca="1">+INDIRECT("[EMPINFO.xlsm]"&amp;$O$2&amp;"!w5")</f>
        <v>0</v>
      </c>
      <c r="BB5" s="288">
        <f t="shared" ca="1" si="20"/>
        <v>0.35</v>
      </c>
      <c r="BC5" s="289">
        <f t="shared" ca="1" si="21"/>
        <v>9400</v>
      </c>
      <c r="BD5" s="255"/>
      <c r="BE5" s="205"/>
      <c r="BG5" s="27"/>
      <c r="BH5" s="28"/>
    </row>
    <row r="6" spans="1:62" ht="15.75" customHeight="1" thickBot="1" x14ac:dyDescent="0.3">
      <c r="A6" s="54"/>
      <c r="B6" s="2" t="s">
        <v>135</v>
      </c>
      <c r="C6" s="921" t="str">
        <f>INDEX([1]!empdata,MATCH(ID,[1]!empid,0),3)</f>
        <v>Galdes</v>
      </c>
      <c r="D6" s="922"/>
      <c r="E6" s="922"/>
      <c r="F6" s="886"/>
      <c r="I6" s="312" t="s">
        <v>136</v>
      </c>
      <c r="L6" s="101"/>
      <c r="M6" s="303"/>
      <c r="N6" s="211">
        <f t="shared" ca="1" si="0"/>
        <v>45.131</v>
      </c>
      <c r="O6" s="213">
        <f>+DATA!A5</f>
        <v>46082</v>
      </c>
      <c r="P6" s="219">
        <f ca="1">+INDIRECT("[EMPINFO.xlsm]"&amp;$O$2&amp;"!G6")</f>
        <v>5</v>
      </c>
      <c r="Q6" s="215">
        <f ca="1">IF(AZ6="active",INDIRECT("[EMPINFO.xlsm]"&amp;$O$2&amp;"!H6"),0)</f>
        <v>40</v>
      </c>
      <c r="R6" s="239">
        <f t="shared" ca="1" si="22"/>
        <v>45.131</v>
      </c>
      <c r="S6" s="216">
        <f t="shared" ca="1" si="1"/>
        <v>7822.7066666666615</v>
      </c>
      <c r="T6" s="220">
        <f t="shared" ca="1" si="2"/>
        <v>0</v>
      </c>
      <c r="U6" s="218">
        <f t="shared" ca="1" si="3"/>
        <v>0</v>
      </c>
      <c r="V6" s="220">
        <f ca="1">+maroth*marhrrt</f>
        <v>0</v>
      </c>
      <c r="W6" s="202">
        <f ca="1">+IF(AZ6&lt;&gt;"active",0,(IF(Timer="PT_casual",(bonusmar/1040*(BA6+BA5+BA4)),(bonusmar/182*(AO6+AO5+AO4+AO3)*(Q6+Q5+Q4)/120))))</f>
        <v>121.16</v>
      </c>
      <c r="X6" s="218">
        <f t="shared" ca="1" si="4"/>
        <v>0</v>
      </c>
      <c r="Y6" s="799">
        <f t="shared" ca="1" si="5"/>
        <v>0</v>
      </c>
      <c r="Z6" s="218">
        <f t="shared" ca="1" si="6"/>
        <v>7943.8666666666613</v>
      </c>
      <c r="AA6" s="799">
        <f t="shared" ca="1" si="7"/>
        <v>1997</v>
      </c>
      <c r="AB6" s="218">
        <f ca="1">+INDIRECT("[EMPINFO.xlsm]"&amp;$O$2&amp;"!s6")</f>
        <v>0</v>
      </c>
      <c r="AC6" s="292">
        <v>1.5</v>
      </c>
      <c r="AD6" s="218">
        <f t="shared" ca="1" si="8"/>
        <v>0</v>
      </c>
      <c r="AE6" s="220">
        <f t="shared" ca="1" si="9"/>
        <v>0</v>
      </c>
      <c r="AF6" s="218">
        <f t="shared" ca="1" si="10"/>
        <v>1997</v>
      </c>
      <c r="AG6" s="799">
        <f t="shared" ca="1" si="11"/>
        <v>1805.24</v>
      </c>
      <c r="AH6" s="218">
        <f t="shared" ca="1" si="12"/>
        <v>279.64999999999998</v>
      </c>
      <c r="AI6" s="799">
        <f t="shared" ca="1" si="13"/>
        <v>279.64999999999998</v>
      </c>
      <c r="AJ6" s="218">
        <f t="shared" ca="1" si="14"/>
        <v>559.29999999999995</v>
      </c>
      <c r="AK6" s="799">
        <f t="shared" ca="1" si="15"/>
        <v>8.4</v>
      </c>
      <c r="AL6" s="218">
        <f t="shared" ca="1" si="23"/>
        <v>8231.9166666666606</v>
      </c>
      <c r="AM6" s="290" t="str">
        <f t="shared" ca="1" si="16"/>
        <v>D</v>
      </c>
      <c r="AN6" s="291" t="str">
        <f t="shared" ca="1" si="17"/>
        <v>FT</v>
      </c>
      <c r="AO6" s="223">
        <f ca="1">+INDIRECT("[EMPINFO.xlsm]"&amp;$O$2&amp;"!t6")</f>
        <v>31</v>
      </c>
      <c r="AP6" s="226">
        <f ca="1">+INDIRECT("[EMPINFO.xlsm]"&amp;$O$2&amp;"!o6")</f>
        <v>-160</v>
      </c>
      <c r="AQ6" s="836">
        <f ca="1">+INDIRECT("[EMPINFO.xlsm]"&amp;$O$2&amp;"!p6")</f>
        <v>-520</v>
      </c>
      <c r="AR6" s="226">
        <f ca="1">+INDIRECT("[EMPINFO.xlsm]"&amp;$O$2&amp;"!j6")</f>
        <v>0</v>
      </c>
      <c r="AS6" s="836">
        <f ca="1">+INDIRECT("[EMPINFO.xlsm]"&amp;$O$2&amp;"!k6")</f>
        <v>223.99999999999997</v>
      </c>
      <c r="AT6" s="226">
        <f ca="1">+INDIRECT("[EMPINFO.xlsm]"&amp;$O$2&amp;"!m6")</f>
        <v>0</v>
      </c>
      <c r="AU6" s="842">
        <f ca="1">+INDIRECT("[EMPINFO.xlsm]"&amp;$O$2&amp;"!n6")</f>
        <v>240</v>
      </c>
      <c r="AV6" s="244">
        <f t="shared" si="18"/>
        <v>0</v>
      </c>
      <c r="AW6" s="244">
        <f t="shared" si="19"/>
        <v>0</v>
      </c>
      <c r="AX6" s="836">
        <f ca="1">+INDIRECT("[EMPINFO.xlsm]"&amp;$O$2&amp;"!u6")</f>
        <v>31</v>
      </c>
      <c r="AY6" s="215">
        <f ca="1">+INDIRECT("[EMPINFO.xlsm]"&amp;$O$2&amp;"!v6")</f>
        <v>0</v>
      </c>
      <c r="AZ6" s="797" t="str">
        <f ca="1">+INDIRECT("[EMPINFO.xlsm]"&amp;$O$2&amp;"!x6")</f>
        <v>ACTIVE</v>
      </c>
      <c r="BA6" s="842">
        <f ca="1">+INDIRECT("[EMPINFO.xlsm]"&amp;$O$2&amp;"!w6")</f>
        <v>0</v>
      </c>
      <c r="BB6" s="288">
        <f t="shared" ca="1" si="20"/>
        <v>0.35</v>
      </c>
      <c r="BC6" s="289">
        <f t="shared" ca="1" si="21"/>
        <v>9400</v>
      </c>
      <c r="BD6" s="255"/>
      <c r="BE6" s="206"/>
    </row>
    <row r="7" spans="1:62" ht="15.75" customHeight="1" thickBot="1" x14ac:dyDescent="0.3">
      <c r="A7" s="54"/>
      <c r="B7" s="3" t="s">
        <v>137</v>
      </c>
      <c r="C7" s="921" t="str">
        <f>INDEX([1]!empdata,MATCH(ID,[1]!empid,0),4)</f>
        <v>Ritienne</v>
      </c>
      <c r="D7" s="922"/>
      <c r="E7" s="922"/>
      <c r="F7" s="886"/>
      <c r="H7" s="312" t="s">
        <v>138</v>
      </c>
      <c r="I7" s="927" t="str">
        <f>INDEX([1]!empdata,MATCH(ID,[1]!empid,0),6)</f>
        <v>256693M</v>
      </c>
      <c r="J7" s="859"/>
      <c r="K7" s="857"/>
      <c r="L7" s="101"/>
      <c r="M7" s="303"/>
      <c r="N7" s="211">
        <f t="shared" ca="1" si="0"/>
        <v>45.131</v>
      </c>
      <c r="O7" s="213">
        <f>+DATA!A6</f>
        <v>46113</v>
      </c>
      <c r="P7" s="219">
        <f ca="1">+INDIRECT("[EMPINFO.xlsm]"&amp;$O$2&amp;"!G7")</f>
        <v>4</v>
      </c>
      <c r="Q7" s="215">
        <f ca="1">IF(AZ7="active",INDIRECT("[EMPINFO.xlsm]"&amp;$O$2&amp;"!H7"),0)</f>
        <v>40</v>
      </c>
      <c r="R7" s="239">
        <f t="shared" ca="1" si="22"/>
        <v>45.131</v>
      </c>
      <c r="S7" s="216">
        <f t="shared" ca="1" si="1"/>
        <v>7822.7066666666615</v>
      </c>
      <c r="T7" s="220">
        <f t="shared" ca="1" si="2"/>
        <v>0</v>
      </c>
      <c r="U7" s="218">
        <f t="shared" ca="1" si="3"/>
        <v>0</v>
      </c>
      <c r="V7" s="220">
        <f ca="1">+aproth*aprhrrt</f>
        <v>0</v>
      </c>
      <c r="W7" s="201"/>
      <c r="X7" s="218">
        <f t="shared" ca="1" si="4"/>
        <v>0</v>
      </c>
      <c r="Y7" s="799">
        <f t="shared" ca="1" si="5"/>
        <v>0</v>
      </c>
      <c r="Z7" s="218">
        <f t="shared" ca="1" si="6"/>
        <v>7822.7066666666615</v>
      </c>
      <c r="AA7" s="799">
        <f t="shared" ca="1" si="7"/>
        <v>1954</v>
      </c>
      <c r="AB7" s="218">
        <f ca="1">+INDIRECT("[EMPINFO.xlsm]"&amp;$O$2&amp;"!s7")</f>
        <v>0</v>
      </c>
      <c r="AC7" s="292">
        <v>1.5</v>
      </c>
      <c r="AD7" s="218">
        <f t="shared" ca="1" si="8"/>
        <v>0</v>
      </c>
      <c r="AE7" s="220">
        <f t="shared" ca="1" si="9"/>
        <v>0</v>
      </c>
      <c r="AF7" s="218">
        <f t="shared" ca="1" si="10"/>
        <v>1954</v>
      </c>
      <c r="AG7" s="799">
        <f t="shared" ca="1" si="11"/>
        <v>1805.24</v>
      </c>
      <c r="AH7" s="218">
        <f t="shared" ca="1" si="12"/>
        <v>223.72</v>
      </c>
      <c r="AI7" s="799">
        <f t="shared" ca="1" si="13"/>
        <v>223.72</v>
      </c>
      <c r="AJ7" s="218">
        <f t="shared" ca="1" si="14"/>
        <v>447.44</v>
      </c>
      <c r="AK7" s="799">
        <f t="shared" ca="1" si="15"/>
        <v>6.72</v>
      </c>
      <c r="AL7" s="218">
        <f t="shared" ca="1" si="23"/>
        <v>8053.146666666662</v>
      </c>
      <c r="AM7" s="290" t="str">
        <f t="shared" ca="1" si="16"/>
        <v>D</v>
      </c>
      <c r="AN7" s="291" t="str">
        <f t="shared" ca="1" si="17"/>
        <v>FT</v>
      </c>
      <c r="AO7" s="223">
        <f ca="1">+INDIRECT("[EMPINFO.xlsm]"&amp;$O$2&amp;"!t7")</f>
        <v>30</v>
      </c>
      <c r="AP7" s="226">
        <f ca="1">+INDIRECT("[EMPINFO.xlsm]"&amp;$O$2&amp;"!o7")</f>
        <v>-160</v>
      </c>
      <c r="AQ7" s="836">
        <f ca="1">+INDIRECT("[EMPINFO.xlsm]"&amp;$O$2&amp;"!p7")</f>
        <v>-680</v>
      </c>
      <c r="AR7" s="226">
        <f ca="1">+INDIRECT("[EMPINFO.xlsm]"&amp;$O$2&amp;"!j7")</f>
        <v>0</v>
      </c>
      <c r="AS7" s="836">
        <f ca="1">+INDIRECT("[EMPINFO.xlsm]"&amp;$O$2&amp;"!k7")</f>
        <v>223.99999999999997</v>
      </c>
      <c r="AT7" s="226">
        <f ca="1">+INDIRECT("[EMPINFO.xlsm]"&amp;$O$2&amp;"!m7")</f>
        <v>0</v>
      </c>
      <c r="AU7" s="842">
        <f ca="1">+INDIRECT("[EMPINFO.xlsm]"&amp;$O$2&amp;"!n7")</f>
        <v>240</v>
      </c>
      <c r="AV7" s="244">
        <f t="shared" si="18"/>
        <v>0</v>
      </c>
      <c r="AW7" s="244">
        <f t="shared" si="19"/>
        <v>0</v>
      </c>
      <c r="AX7" s="836">
        <f ca="1">+INDIRECT("[EMPINFO.xlsm]"&amp;$O$2&amp;"!u7")</f>
        <v>30</v>
      </c>
      <c r="AY7" s="215">
        <f ca="1">+INDIRECT("[EMPINFO.xlsm]"&amp;$O$2&amp;"!v7")</f>
        <v>0</v>
      </c>
      <c r="AZ7" s="797" t="str">
        <f ca="1">+INDIRECT("[EMPINFO.xlsm]"&amp;$O$2&amp;"!x7")</f>
        <v>ACTIVE</v>
      </c>
      <c r="BA7" s="842">
        <f ca="1">+INDIRECT("[EMPINFO.xlsm]"&amp;$O$2&amp;"!w7")</f>
        <v>0</v>
      </c>
      <c r="BB7" s="288">
        <f t="shared" ca="1" si="20"/>
        <v>0.35</v>
      </c>
      <c r="BC7" s="289">
        <f t="shared" ca="1" si="21"/>
        <v>9400</v>
      </c>
      <c r="BD7" s="255"/>
      <c r="BE7" s="206"/>
    </row>
    <row r="8" spans="1:62" ht="15.75" customHeight="1" thickBot="1" x14ac:dyDescent="0.3">
      <c r="A8" s="54"/>
      <c r="B8" s="3" t="s">
        <v>139</v>
      </c>
      <c r="C8" s="921" t="str">
        <f>INDEX([1]!empdata,MATCH(ID,[1]!empid,0),18)</f>
        <v>18, Orchedea,</v>
      </c>
      <c r="D8" s="922"/>
      <c r="E8" s="922"/>
      <c r="F8" s="886"/>
      <c r="I8" s="312" t="s">
        <v>140</v>
      </c>
      <c r="L8" s="101"/>
      <c r="M8" s="303"/>
      <c r="N8" s="211">
        <f t="shared" ca="1" si="0"/>
        <v>45.131</v>
      </c>
      <c r="O8" s="213">
        <f>+DATA!A7</f>
        <v>46143</v>
      </c>
      <c r="P8" s="219">
        <f ca="1">+INDIRECT("[EMPINFO.xlsm]"&amp;$O$2&amp;"!G8")</f>
        <v>4</v>
      </c>
      <c r="Q8" s="215">
        <f ca="1">IF(AZ8="active",INDIRECT("[EMPINFO.xlsm]"&amp;$O$2&amp;"!H8"),0)</f>
        <v>40</v>
      </c>
      <c r="R8" s="239">
        <f t="shared" ca="1" si="22"/>
        <v>45.131</v>
      </c>
      <c r="S8" s="216">
        <f t="shared" ca="1" si="1"/>
        <v>7822.7066666666615</v>
      </c>
      <c r="T8" s="220">
        <f t="shared" ca="1" si="2"/>
        <v>0</v>
      </c>
      <c r="U8" s="218">
        <f t="shared" ca="1" si="3"/>
        <v>0</v>
      </c>
      <c r="V8" s="220">
        <f ca="1">+mayoth*mayhrrt</f>
        <v>0</v>
      </c>
      <c r="W8" s="201"/>
      <c r="X8" s="218">
        <f t="shared" ca="1" si="4"/>
        <v>0</v>
      </c>
      <c r="Y8" s="799">
        <f t="shared" ca="1" si="5"/>
        <v>0</v>
      </c>
      <c r="Z8" s="218">
        <f t="shared" ca="1" si="6"/>
        <v>7822.7066666666615</v>
      </c>
      <c r="AA8" s="799">
        <f t="shared" ca="1" si="7"/>
        <v>1954</v>
      </c>
      <c r="AB8" s="218">
        <f ca="1">+INDIRECT("[EMPINFO.xlsm]"&amp;$O$2&amp;"!s8")</f>
        <v>0</v>
      </c>
      <c r="AC8" s="292">
        <v>1.5</v>
      </c>
      <c r="AD8" s="218">
        <f t="shared" ca="1" si="8"/>
        <v>0</v>
      </c>
      <c r="AE8" s="220">
        <f t="shared" ca="1" si="9"/>
        <v>0</v>
      </c>
      <c r="AF8" s="218">
        <f t="shared" ca="1" si="10"/>
        <v>1954</v>
      </c>
      <c r="AG8" s="799">
        <f t="shared" ca="1" si="11"/>
        <v>1805.24</v>
      </c>
      <c r="AH8" s="218">
        <f t="shared" ca="1" si="12"/>
        <v>223.72</v>
      </c>
      <c r="AI8" s="799">
        <f t="shared" ca="1" si="13"/>
        <v>223.72</v>
      </c>
      <c r="AJ8" s="218">
        <f t="shared" ca="1" si="14"/>
        <v>447.44</v>
      </c>
      <c r="AK8" s="799">
        <f t="shared" ca="1" si="15"/>
        <v>6.72</v>
      </c>
      <c r="AL8" s="218">
        <f t="shared" ca="1" si="23"/>
        <v>8053.146666666662</v>
      </c>
      <c r="AM8" s="290" t="str">
        <f t="shared" ca="1" si="16"/>
        <v>D</v>
      </c>
      <c r="AN8" s="291" t="str">
        <f t="shared" ca="1" si="17"/>
        <v>FT</v>
      </c>
      <c r="AO8" s="223">
        <f ca="1">+INDIRECT("[EMPINFO.xlsm]"&amp;$O$2&amp;"!t8")</f>
        <v>31</v>
      </c>
      <c r="AP8" s="226">
        <f ca="1">+INDIRECT("[EMPINFO.xlsm]"&amp;$O$2&amp;"!o8")</f>
        <v>-200</v>
      </c>
      <c r="AQ8" s="836">
        <f ca="1">+INDIRECT("[EMPINFO.xlsm]"&amp;$O$2&amp;"!p8")</f>
        <v>-880</v>
      </c>
      <c r="AR8" s="226">
        <f ca="1">+INDIRECT("[EMPINFO.xlsm]"&amp;$O$2&amp;"!j8")</f>
        <v>0</v>
      </c>
      <c r="AS8" s="836">
        <f ca="1">+INDIRECT("[EMPINFO.xlsm]"&amp;$O$2&amp;"!k8")</f>
        <v>223.99999999999997</v>
      </c>
      <c r="AT8" s="226">
        <f ca="1">+INDIRECT("[EMPINFO.xlsm]"&amp;$O$2&amp;"!m8")</f>
        <v>0</v>
      </c>
      <c r="AU8" s="842">
        <f ca="1">+INDIRECT("[EMPINFO.xlsm]"&amp;$O$2&amp;"!n8")</f>
        <v>240</v>
      </c>
      <c r="AV8" s="244">
        <f t="shared" si="18"/>
        <v>0</v>
      </c>
      <c r="AW8" s="244">
        <f t="shared" si="19"/>
        <v>0</v>
      </c>
      <c r="AX8" s="836">
        <f ca="1">+INDIRECT("[EMPINFO.xlsm]"&amp;$O$2&amp;"!u8")</f>
        <v>31</v>
      </c>
      <c r="AY8" s="215">
        <f ca="1">+INDIRECT("[EMPINFO.xlsm]"&amp;$O$2&amp;"!v8")</f>
        <v>0</v>
      </c>
      <c r="AZ8" s="797" t="str">
        <f ca="1">+INDIRECT("[EMPINFO.xlsm]"&amp;$O$2&amp;"!x8")</f>
        <v>ACTIVE</v>
      </c>
      <c r="BA8" s="842">
        <f ca="1">+INDIRECT("[EMPINFO.xlsm]"&amp;$O$2&amp;"!w8")</f>
        <v>0</v>
      </c>
      <c r="BB8" s="288">
        <f t="shared" ca="1" si="20"/>
        <v>0.35</v>
      </c>
      <c r="BC8" s="289">
        <f t="shared" ca="1" si="21"/>
        <v>9400</v>
      </c>
      <c r="BD8" s="255"/>
      <c r="BE8" s="206"/>
    </row>
    <row r="9" spans="1:62" ht="15.75" customHeight="1" thickBot="1" x14ac:dyDescent="0.3">
      <c r="A9" s="54"/>
      <c r="B9" s="4" t="s">
        <v>141</v>
      </c>
      <c r="C9" s="921" t="str">
        <f>INDEX([1]!empdata,MATCH(ID,[1]!empid,0),19)</f>
        <v>Pietru Felice str.</v>
      </c>
      <c r="D9" s="922"/>
      <c r="E9" s="922"/>
      <c r="F9" s="886"/>
      <c r="H9" s="312" t="s">
        <v>20</v>
      </c>
      <c r="I9" s="927" t="str">
        <f>INDEX([1]!empdata,MATCH(ID,[1]!empid,0),14)</f>
        <v>D45912845</v>
      </c>
      <c r="J9" s="859"/>
      <c r="K9" s="857"/>
      <c r="L9" s="101"/>
      <c r="M9" s="303"/>
      <c r="N9" s="211">
        <f t="shared" ca="1" si="0"/>
        <v>45.131</v>
      </c>
      <c r="O9" s="213">
        <f>+DATA!A8</f>
        <v>46174</v>
      </c>
      <c r="P9" s="219">
        <f ca="1">+INDIRECT("[EMPINFO.xlsm]"&amp;$O$2&amp;"!G9")</f>
        <v>5</v>
      </c>
      <c r="Q9" s="215">
        <f ca="1">IF(AZ9="active",INDIRECT("[EMPINFO.xlsm]"&amp;$O$2&amp;"!H9"),0)</f>
        <v>40</v>
      </c>
      <c r="R9" s="239">
        <f t="shared" ca="1" si="22"/>
        <v>45.131</v>
      </c>
      <c r="S9" s="216">
        <f t="shared" ca="1" si="1"/>
        <v>7822.7066666666615</v>
      </c>
      <c r="T9" s="220">
        <f t="shared" ca="1" si="2"/>
        <v>0</v>
      </c>
      <c r="U9" s="218">
        <f t="shared" ca="1" si="3"/>
        <v>0</v>
      </c>
      <c r="V9" s="220">
        <f ca="1">+junoth*junhrrt</f>
        <v>0</v>
      </c>
      <c r="W9" s="202">
        <f ca="1">IF(AZ9&lt;&gt;"active",0,(IF(Timer="PT_casual",(BONUSJUN/1040*(BA9+BA8+BA7+BA6+BA5+BA4)),(BONUSJUN*(SUM(AO4:AO9)/SUM(AX4:AX9))*(SUM(Q4:Q9)/240)))))</f>
        <v>135.1</v>
      </c>
      <c r="X9" s="218">
        <f t="shared" ca="1" si="4"/>
        <v>0</v>
      </c>
      <c r="Y9" s="799">
        <f t="shared" ca="1" si="5"/>
        <v>0</v>
      </c>
      <c r="Z9" s="218">
        <f t="shared" ca="1" si="6"/>
        <v>7957.8066666666618</v>
      </c>
      <c r="AA9" s="799">
        <f t="shared" ca="1" si="7"/>
        <v>2001</v>
      </c>
      <c r="AB9" s="218">
        <f ca="1">+INDIRECT("[EMPINFO.xlsm]"&amp;$O$2&amp;"!s9")</f>
        <v>0</v>
      </c>
      <c r="AC9" s="292">
        <v>1.5</v>
      </c>
      <c r="AD9" s="218">
        <f t="shared" ca="1" si="8"/>
        <v>0</v>
      </c>
      <c r="AE9" s="220">
        <f t="shared" ca="1" si="9"/>
        <v>0</v>
      </c>
      <c r="AF9" s="218">
        <f t="shared" ca="1" si="10"/>
        <v>2001</v>
      </c>
      <c r="AG9" s="799">
        <f t="shared" ca="1" si="11"/>
        <v>1805.24</v>
      </c>
      <c r="AH9" s="218">
        <f t="shared" ca="1" si="12"/>
        <v>279.64999999999998</v>
      </c>
      <c r="AI9" s="799">
        <f t="shared" ca="1" si="13"/>
        <v>279.64999999999998</v>
      </c>
      <c r="AJ9" s="218">
        <f t="shared" ca="1" si="14"/>
        <v>559.29999999999995</v>
      </c>
      <c r="AK9" s="799">
        <f t="shared" ca="1" si="15"/>
        <v>8.4</v>
      </c>
      <c r="AL9" s="218">
        <f t="shared" ca="1" si="23"/>
        <v>8245.8566666666611</v>
      </c>
      <c r="AM9" s="290" t="str">
        <f t="shared" ca="1" si="16"/>
        <v>D</v>
      </c>
      <c r="AN9" s="291" t="str">
        <f t="shared" ca="1" si="17"/>
        <v>FT</v>
      </c>
      <c r="AO9" s="223">
        <f ca="1">+INDIRECT("[EMPINFO.xlsm]"&amp;$O$2&amp;"!t9")</f>
        <v>30</v>
      </c>
      <c r="AP9" s="226">
        <f ca="1">+INDIRECT("[EMPINFO.xlsm]"&amp;$O$2&amp;"!o9")</f>
        <v>-160</v>
      </c>
      <c r="AQ9" s="836">
        <f ca="1">+INDIRECT("[EMPINFO.xlsm]"&amp;$O$2&amp;"!p9")</f>
        <v>-1040</v>
      </c>
      <c r="AR9" s="226">
        <f ca="1">+INDIRECT("[EMPINFO.xlsm]"&amp;$O$2&amp;"!j9")</f>
        <v>0</v>
      </c>
      <c r="AS9" s="836">
        <f ca="1">+INDIRECT("[EMPINFO.xlsm]"&amp;$O$2&amp;"!k9")</f>
        <v>223.99999999999997</v>
      </c>
      <c r="AT9" s="226">
        <f ca="1">+INDIRECT("[EMPINFO.xlsm]"&amp;$O$2&amp;"!m9")</f>
        <v>0</v>
      </c>
      <c r="AU9" s="842">
        <f ca="1">+INDIRECT("[EMPINFO.xlsm]"&amp;$O$2&amp;"!n9")</f>
        <v>240</v>
      </c>
      <c r="AV9" s="244">
        <f t="shared" si="18"/>
        <v>0</v>
      </c>
      <c r="AW9" s="244">
        <f t="shared" si="19"/>
        <v>0</v>
      </c>
      <c r="AX9" s="836">
        <f ca="1">+INDIRECT("[EMPINFO.xlsm]"&amp;$O$2&amp;"!u9")</f>
        <v>30</v>
      </c>
      <c r="AY9" s="215">
        <f ca="1">+INDIRECT("[EMPINFO.xlsm]"&amp;$O$2&amp;"!v9")</f>
        <v>0</v>
      </c>
      <c r="AZ9" s="797" t="str">
        <f ca="1">+INDIRECT("[EMPINFO.xlsm]"&amp;$O$2&amp;"!x9")</f>
        <v>ACTIVE</v>
      </c>
      <c r="BA9" s="842">
        <f ca="1">+INDIRECT("[EMPINFO.xlsm]"&amp;$O$2&amp;"!w9")</f>
        <v>0</v>
      </c>
      <c r="BB9" s="288">
        <f t="shared" ca="1" si="20"/>
        <v>0.35</v>
      </c>
      <c r="BC9" s="289">
        <f t="shared" ca="1" si="21"/>
        <v>9400</v>
      </c>
      <c r="BD9" s="255"/>
      <c r="BE9" s="206"/>
    </row>
    <row r="10" spans="1:62" ht="15.75" customHeight="1" thickBot="1" x14ac:dyDescent="0.3">
      <c r="A10" s="54"/>
      <c r="B10" s="5" t="s">
        <v>142</v>
      </c>
      <c r="C10" s="921" t="str">
        <f>INDEX([1]!empdata,MATCH(ID,[1]!empid,0),20)</f>
        <v>Qormi</v>
      </c>
      <c r="D10" s="922"/>
      <c r="E10" s="922"/>
      <c r="F10" s="886"/>
      <c r="I10" s="312" t="s">
        <v>143</v>
      </c>
      <c r="L10" s="101"/>
      <c r="M10" s="303"/>
      <c r="N10" s="211">
        <f t="shared" ca="1" si="0"/>
        <v>45.131</v>
      </c>
      <c r="O10" s="213">
        <f>+DATA!A9</f>
        <v>46204</v>
      </c>
      <c r="P10" s="219">
        <f ca="1">+INDIRECT("[EMPINFO.xlsm]"&amp;$O$2&amp;"!G10")</f>
        <v>4</v>
      </c>
      <c r="Q10" s="215">
        <f ca="1">IF(AZ10="active",INDIRECT("[EMPINFO.xlsm]"&amp;$O$2&amp;"!H10"),0)</f>
        <v>40</v>
      </c>
      <c r="R10" s="239">
        <f t="shared" ca="1" si="22"/>
        <v>45.131</v>
      </c>
      <c r="S10" s="216">
        <f t="shared" ca="1" si="1"/>
        <v>7822.7066666666615</v>
      </c>
      <c r="T10" s="220">
        <f t="shared" ca="1" si="2"/>
        <v>0</v>
      </c>
      <c r="U10" s="218">
        <f t="shared" ca="1" si="3"/>
        <v>0</v>
      </c>
      <c r="V10" s="220">
        <f ca="1">+juloth*julhrrt</f>
        <v>0</v>
      </c>
      <c r="W10" s="201"/>
      <c r="X10" s="218">
        <f t="shared" ca="1" si="4"/>
        <v>0</v>
      </c>
      <c r="Y10" s="799">
        <f t="shared" ca="1" si="5"/>
        <v>0</v>
      </c>
      <c r="Z10" s="218">
        <f t="shared" ca="1" si="6"/>
        <v>7822.7066666666615</v>
      </c>
      <c r="AA10" s="799">
        <f t="shared" ca="1" si="7"/>
        <v>1954</v>
      </c>
      <c r="AB10" s="218">
        <f ca="1">+INDIRECT("[EMPINFO.xlsm]"&amp;$O$2&amp;"!s10")</f>
        <v>0</v>
      </c>
      <c r="AC10" s="292">
        <v>1.5</v>
      </c>
      <c r="AD10" s="218">
        <f t="shared" ca="1" si="8"/>
        <v>0</v>
      </c>
      <c r="AE10" s="220">
        <f t="shared" ca="1" si="9"/>
        <v>0</v>
      </c>
      <c r="AF10" s="218">
        <f t="shared" ca="1" si="10"/>
        <v>1954</v>
      </c>
      <c r="AG10" s="799">
        <f t="shared" ca="1" si="11"/>
        <v>1805.24</v>
      </c>
      <c r="AH10" s="218">
        <f t="shared" ca="1" si="12"/>
        <v>223.72</v>
      </c>
      <c r="AI10" s="799">
        <f t="shared" ca="1" si="13"/>
        <v>223.72</v>
      </c>
      <c r="AJ10" s="218">
        <f t="shared" ca="1" si="14"/>
        <v>447.44</v>
      </c>
      <c r="AK10" s="799">
        <f t="shared" ca="1" si="15"/>
        <v>6.72</v>
      </c>
      <c r="AL10" s="218">
        <f t="shared" ca="1" si="23"/>
        <v>8053.146666666662</v>
      </c>
      <c r="AM10" s="290" t="str">
        <f t="shared" ca="1" si="16"/>
        <v>D</v>
      </c>
      <c r="AN10" s="291" t="str">
        <f t="shared" ca="1" si="17"/>
        <v>FT</v>
      </c>
      <c r="AO10" s="223">
        <f ca="1">+INDIRECT("[EMPINFO.xlsm]"&amp;$O$2&amp;"!t10")</f>
        <v>31</v>
      </c>
      <c r="AP10" s="226">
        <f ca="1">+INDIRECT("[EMPINFO.xlsm]"&amp;$O$2&amp;"!o10")</f>
        <v>-160</v>
      </c>
      <c r="AQ10" s="836">
        <f ca="1">+INDIRECT("[EMPINFO.xlsm]"&amp;$O$2&amp;"!p10")</f>
        <v>-1200</v>
      </c>
      <c r="AR10" s="226">
        <f ca="1">+INDIRECT("[EMPINFO.xlsm]"&amp;$O$2&amp;"!j10")</f>
        <v>0</v>
      </c>
      <c r="AS10" s="836">
        <f ca="1">+INDIRECT("[EMPINFO.xlsm]"&amp;$O$2&amp;"!k10")</f>
        <v>223.99999999999997</v>
      </c>
      <c r="AT10" s="226">
        <f ca="1">+INDIRECT("[EMPINFO.xlsm]"&amp;$O$2&amp;"!m10")</f>
        <v>0</v>
      </c>
      <c r="AU10" s="842">
        <f ca="1">+INDIRECT("[EMPINFO.xlsm]"&amp;$O$2&amp;"!n10")</f>
        <v>240</v>
      </c>
      <c r="AV10" s="244">
        <f t="shared" si="18"/>
        <v>0</v>
      </c>
      <c r="AW10" s="244">
        <f t="shared" si="19"/>
        <v>0</v>
      </c>
      <c r="AX10" s="836">
        <f ca="1">+INDIRECT("[EMPINFO.xlsm]"&amp;$O$2&amp;"!u10")</f>
        <v>31</v>
      </c>
      <c r="AY10" s="215">
        <f ca="1">+INDIRECT("[EMPINFO.xlsm]"&amp;$O$2&amp;"!v10")</f>
        <v>0</v>
      </c>
      <c r="AZ10" s="797" t="str">
        <f ca="1">+INDIRECT("[EMPINFO.xlsm]"&amp;$O$2&amp;"!x10")</f>
        <v>ACTIVE</v>
      </c>
      <c r="BA10" s="842">
        <f ca="1">+INDIRECT("[EMPINFO.xlsm]"&amp;$O$2&amp;"!w10")</f>
        <v>0</v>
      </c>
      <c r="BB10" s="288">
        <f t="shared" ca="1" si="20"/>
        <v>0.35</v>
      </c>
      <c r="BC10" s="289">
        <f t="shared" ca="1" si="21"/>
        <v>9400</v>
      </c>
      <c r="BD10" s="255"/>
      <c r="BE10" s="206"/>
      <c r="BF10" s="32"/>
      <c r="BH10" s="32"/>
      <c r="BI10" s="30"/>
      <c r="BJ10" s="31"/>
    </row>
    <row r="11" spans="1:62" ht="15.75" customHeight="1" thickBot="1" x14ac:dyDescent="0.3">
      <c r="A11" s="54"/>
      <c r="B11" s="6" t="s">
        <v>144</v>
      </c>
      <c r="C11" s="921" t="str">
        <f>INDEX([1]!empdata,MATCH(ID,[1]!empid,0),21)</f>
        <v>QRM4562</v>
      </c>
      <c r="D11" s="922"/>
      <c r="E11" s="922"/>
      <c r="F11" s="886"/>
      <c r="H11" s="312" t="s">
        <v>31</v>
      </c>
      <c r="I11" s="927">
        <f>INDEX([1]!empdata,MATCH(ID,[1]!empid,0),7)</f>
        <v>0</v>
      </c>
      <c r="J11" s="859"/>
      <c r="K11" s="857"/>
      <c r="L11" s="101"/>
      <c r="M11" s="303"/>
      <c r="N11" s="211">
        <f t="shared" ca="1" si="0"/>
        <v>45.131</v>
      </c>
      <c r="O11" s="213">
        <f>+DATA!A10</f>
        <v>46235</v>
      </c>
      <c r="P11" s="219">
        <f ca="1">+INDIRECT("[EMPINFO.xlsm]"&amp;$O$2&amp;"!G11")</f>
        <v>5</v>
      </c>
      <c r="Q11" s="215">
        <f ca="1">IF(AZ11="active",INDIRECT("[EMPINFO.xlsm]"&amp;$O$2&amp;"!H11"),0)</f>
        <v>40</v>
      </c>
      <c r="R11" s="239">
        <f t="shared" ca="1" si="22"/>
        <v>45.131</v>
      </c>
      <c r="S11" s="216">
        <f t="shared" ca="1" si="1"/>
        <v>7822.7066666666615</v>
      </c>
      <c r="T11" s="220">
        <f t="shared" ca="1" si="2"/>
        <v>0</v>
      </c>
      <c r="U11" s="218">
        <f t="shared" ca="1" si="3"/>
        <v>0</v>
      </c>
      <c r="V11" s="220">
        <f ca="1">+augoth*aughrrt</f>
        <v>0</v>
      </c>
      <c r="W11" s="201"/>
      <c r="X11" s="218">
        <f t="shared" ca="1" si="4"/>
        <v>0</v>
      </c>
      <c r="Y11" s="799">
        <f t="shared" ca="1" si="5"/>
        <v>0</v>
      </c>
      <c r="Z11" s="218">
        <f t="shared" ca="1" si="6"/>
        <v>7822.7066666666615</v>
      </c>
      <c r="AA11" s="799">
        <f t="shared" ca="1" si="7"/>
        <v>1954</v>
      </c>
      <c r="AB11" s="218">
        <f ca="1">+INDIRECT("[EMPINFO.xlsm]"&amp;$O$2&amp;"!s11")</f>
        <v>0</v>
      </c>
      <c r="AC11" s="292">
        <v>1.5</v>
      </c>
      <c r="AD11" s="218">
        <f t="shared" ca="1" si="8"/>
        <v>0</v>
      </c>
      <c r="AE11" s="220">
        <f t="shared" ca="1" si="9"/>
        <v>0</v>
      </c>
      <c r="AF11" s="218">
        <f t="shared" ca="1" si="10"/>
        <v>1954</v>
      </c>
      <c r="AG11" s="799">
        <f t="shared" ca="1" si="11"/>
        <v>1805.24</v>
      </c>
      <c r="AH11" s="218">
        <f t="shared" ca="1" si="12"/>
        <v>279.64999999999998</v>
      </c>
      <c r="AI11" s="799">
        <f t="shared" ca="1" si="13"/>
        <v>279.64999999999998</v>
      </c>
      <c r="AJ11" s="218">
        <f t="shared" ca="1" si="14"/>
        <v>559.29999999999995</v>
      </c>
      <c r="AK11" s="799">
        <f t="shared" ca="1" si="15"/>
        <v>8.4</v>
      </c>
      <c r="AL11" s="218">
        <f t="shared" ca="1" si="23"/>
        <v>8110.7566666666607</v>
      </c>
      <c r="AM11" s="290" t="str">
        <f t="shared" ca="1" si="16"/>
        <v>D</v>
      </c>
      <c r="AN11" s="291" t="str">
        <f t="shared" ca="1" si="17"/>
        <v>FT</v>
      </c>
      <c r="AO11" s="223">
        <f ca="1">+INDIRECT("[EMPINFO.xlsm]"&amp;$O$2&amp;"!t11")</f>
        <v>31</v>
      </c>
      <c r="AP11" s="226">
        <f ca="1">+INDIRECT("[EMPINFO.xlsm]"&amp;$O$2&amp;"!o11")</f>
        <v>-160</v>
      </c>
      <c r="AQ11" s="836">
        <f ca="1">+INDIRECT("[EMPINFO.xlsm]"&amp;$O$2&amp;"!p11")</f>
        <v>-1360</v>
      </c>
      <c r="AR11" s="226">
        <f ca="1">+INDIRECT("[EMPINFO.xlsm]"&amp;$O$2&amp;"!j11")</f>
        <v>0</v>
      </c>
      <c r="AS11" s="836">
        <f ca="1">+INDIRECT("[EMPINFO.xlsm]"&amp;$O$2&amp;"!k11")</f>
        <v>223.99999999999997</v>
      </c>
      <c r="AT11" s="226">
        <f ca="1">+INDIRECT("[EMPINFO.xlsm]"&amp;$O$2&amp;"!m11")</f>
        <v>0</v>
      </c>
      <c r="AU11" s="842">
        <f ca="1">+INDIRECT("[EMPINFO.xlsm]"&amp;$O$2&amp;"!n11")</f>
        <v>240</v>
      </c>
      <c r="AV11" s="244">
        <f t="shared" si="18"/>
        <v>0</v>
      </c>
      <c r="AW11" s="244">
        <f t="shared" si="19"/>
        <v>0</v>
      </c>
      <c r="AX11" s="836">
        <f ca="1">+INDIRECT("[EMPINFO.xlsm]"&amp;$O$2&amp;"!u11")</f>
        <v>31</v>
      </c>
      <c r="AY11" s="215">
        <f ca="1">+INDIRECT("[EMPINFO.xlsm]"&amp;$O$2&amp;"!v11")</f>
        <v>0</v>
      </c>
      <c r="AZ11" s="797" t="str">
        <f ca="1">+INDIRECT("[EMPINFO.xlsm]"&amp;$O$2&amp;"!x11")</f>
        <v>ACTIVE</v>
      </c>
      <c r="BA11" s="842">
        <f ca="1">+INDIRECT("[EMPINFO.xlsm]"&amp;$O$2&amp;"!w11")</f>
        <v>0</v>
      </c>
      <c r="BB11" s="288">
        <f t="shared" ca="1" si="20"/>
        <v>0.35</v>
      </c>
      <c r="BC11" s="289">
        <f t="shared" ca="1" si="21"/>
        <v>9400</v>
      </c>
      <c r="BD11" s="255"/>
      <c r="BE11" s="206"/>
      <c r="BF11" s="27"/>
      <c r="BH11" s="27"/>
    </row>
    <row r="12" spans="1:62" ht="17.45" customHeight="1" thickBot="1" x14ac:dyDescent="0.3">
      <c r="A12" s="313"/>
      <c r="B12" s="91" t="s">
        <v>14</v>
      </c>
      <c r="C12" s="945">
        <f>INDEX([1]!empdata,MATCH(ID,[1]!empid,0),10)</f>
        <v>77170064</v>
      </c>
      <c r="D12" s="946"/>
      <c r="E12" s="946"/>
      <c r="F12" s="947"/>
      <c r="G12" s="85"/>
      <c r="H12" s="85"/>
      <c r="I12" s="85"/>
      <c r="J12" s="85"/>
      <c r="K12" s="85"/>
      <c r="L12" s="314"/>
      <c r="M12" s="303"/>
      <c r="N12" s="211">
        <f t="shared" ca="1" si="0"/>
        <v>45.131</v>
      </c>
      <c r="O12" s="213">
        <f>+DATA!A11</f>
        <v>46266</v>
      </c>
      <c r="P12" s="219">
        <f ca="1">+INDIRECT("[EMPINFO.xlsm]"&amp;$O$2&amp;"!G12")</f>
        <v>4</v>
      </c>
      <c r="Q12" s="215">
        <f ca="1">IF(AZ12="active",INDIRECT("[EMPINFO.xlsm]"&amp;$O$2&amp;"!H12"),0)</f>
        <v>40</v>
      </c>
      <c r="R12" s="239">
        <f t="shared" ca="1" si="22"/>
        <v>45.131</v>
      </c>
      <c r="S12" s="216">
        <f t="shared" ca="1" si="1"/>
        <v>7822.7066666666615</v>
      </c>
      <c r="T12" s="220">
        <f t="shared" ca="1" si="2"/>
        <v>0</v>
      </c>
      <c r="U12" s="218">
        <f t="shared" ca="1" si="3"/>
        <v>0</v>
      </c>
      <c r="V12" s="220">
        <f ca="1">+sepoth*sephrrt</f>
        <v>0</v>
      </c>
      <c r="W12" s="202">
        <f ca="1">IF(AZ12&lt;&gt;"active",0,(IF(Timer="PT_casual",(bonussep/1040*(BA7:BA12)),(bonussep*(SUM(AO7:AO12)/SUM(AX7:AX12))*(SUM(Q7:Q12)/240)))))</f>
        <v>121.16</v>
      </c>
      <c r="X12" s="218">
        <f t="shared" ca="1" si="4"/>
        <v>0</v>
      </c>
      <c r="Y12" s="799">
        <f t="shared" ca="1" si="5"/>
        <v>0</v>
      </c>
      <c r="Z12" s="218">
        <f t="shared" ca="1" si="6"/>
        <v>7943.8666666666613</v>
      </c>
      <c r="AA12" s="799">
        <f t="shared" ca="1" si="7"/>
        <v>1997</v>
      </c>
      <c r="AB12" s="218">
        <f ca="1">+INDIRECT("[EMPINFO.xlsm]"&amp;$O$2&amp;"!s12")</f>
        <v>0</v>
      </c>
      <c r="AC12" s="292">
        <v>1.5</v>
      </c>
      <c r="AD12" s="218">
        <f t="shared" ca="1" si="8"/>
        <v>0</v>
      </c>
      <c r="AE12" s="220">
        <f t="shared" ca="1" si="9"/>
        <v>0</v>
      </c>
      <c r="AF12" s="218">
        <f t="shared" ca="1" si="10"/>
        <v>1997</v>
      </c>
      <c r="AG12" s="799">
        <f t="shared" ca="1" si="11"/>
        <v>1805.24</v>
      </c>
      <c r="AH12" s="218">
        <f t="shared" ca="1" si="12"/>
        <v>223.72</v>
      </c>
      <c r="AI12" s="799">
        <f t="shared" ca="1" si="13"/>
        <v>223.72</v>
      </c>
      <c r="AJ12" s="218">
        <f t="shared" ca="1" si="14"/>
        <v>447.44</v>
      </c>
      <c r="AK12" s="799">
        <f t="shared" ca="1" si="15"/>
        <v>6.72</v>
      </c>
      <c r="AL12" s="218">
        <f t="shared" ca="1" si="23"/>
        <v>8174.3066666666618</v>
      </c>
      <c r="AM12" s="290" t="str">
        <f t="shared" ca="1" si="16"/>
        <v>D</v>
      </c>
      <c r="AN12" s="291" t="str">
        <f t="shared" ca="1" si="17"/>
        <v>FT</v>
      </c>
      <c r="AO12" s="223">
        <f ca="1">+INDIRECT("[EMPINFO.xlsm]"&amp;$O$2&amp;"!t12")</f>
        <v>30</v>
      </c>
      <c r="AP12" s="226">
        <f ca="1">+INDIRECT("[EMPINFO.xlsm]"&amp;$O$2&amp;"!o12")</f>
        <v>-160</v>
      </c>
      <c r="AQ12" s="836">
        <f ca="1">+INDIRECT("[EMPINFO.xlsm]"&amp;$O$2&amp;"!p12")</f>
        <v>-1520</v>
      </c>
      <c r="AR12" s="226">
        <f ca="1">+INDIRECT("[EMPINFO.xlsm]"&amp;$O$2&amp;"!j12")</f>
        <v>0</v>
      </c>
      <c r="AS12" s="836">
        <f ca="1">+INDIRECT("[EMPINFO.xlsm]"&amp;$O$2&amp;"!k12")</f>
        <v>223.99999999999997</v>
      </c>
      <c r="AT12" s="226">
        <f ca="1">+INDIRECT("[EMPINFO.xlsm]"&amp;$O$2&amp;"!m12")</f>
        <v>0</v>
      </c>
      <c r="AU12" s="842">
        <f ca="1">+INDIRECT("[EMPINFO.xlsm]"&amp;$O$2&amp;"!n12")</f>
        <v>240</v>
      </c>
      <c r="AV12" s="244">
        <f t="shared" si="18"/>
        <v>0</v>
      </c>
      <c r="AW12" s="244">
        <f t="shared" si="19"/>
        <v>0</v>
      </c>
      <c r="AX12" s="836">
        <f ca="1">+INDIRECT("[EMPINFO.xlsm]"&amp;$O$2&amp;"!u12")</f>
        <v>30</v>
      </c>
      <c r="AY12" s="215">
        <f ca="1">+INDIRECT("[EMPINFO.xlsm]"&amp;$O$2&amp;"!v12")</f>
        <v>0</v>
      </c>
      <c r="AZ12" s="797" t="str">
        <f ca="1">+INDIRECT("[EMPINFO.xlsm]"&amp;$O$2&amp;"!x12")</f>
        <v>ACTIVE</v>
      </c>
      <c r="BA12" s="842">
        <f ca="1">+INDIRECT("[EMPINFO.xlsm]"&amp;$O$2&amp;"!w12")</f>
        <v>0</v>
      </c>
      <c r="BB12" s="288">
        <f t="shared" ca="1" si="20"/>
        <v>0.35</v>
      </c>
      <c r="BC12" s="289">
        <f t="shared" ca="1" si="21"/>
        <v>9400</v>
      </c>
      <c r="BD12" s="255"/>
      <c r="BE12" s="206"/>
    </row>
    <row r="13" spans="1:62" ht="15.75" customHeight="1" thickBot="1" x14ac:dyDescent="0.3">
      <c r="A13" s="54"/>
      <c r="L13" s="101"/>
      <c r="M13" s="303"/>
      <c r="N13" s="211">
        <f t="shared" ca="1" si="0"/>
        <v>45.131</v>
      </c>
      <c r="O13" s="213">
        <f>+DATA!A12</f>
        <v>46296</v>
      </c>
      <c r="P13" s="219">
        <f ca="1">+INDIRECT("[EMPINFO.xlsm]"&amp;$O$2&amp;"!G13")</f>
        <v>4</v>
      </c>
      <c r="Q13" s="215">
        <f ca="1">IF(AZ13="active",INDIRECT("[EMPINFO.xlsm]"&amp;$O$2&amp;"!H13"),0)</f>
        <v>40</v>
      </c>
      <c r="R13" s="239">
        <f t="shared" ca="1" si="22"/>
        <v>45.131</v>
      </c>
      <c r="S13" s="216">
        <f t="shared" ca="1" si="1"/>
        <v>7822.7066666666615</v>
      </c>
      <c r="T13" s="220">
        <f t="shared" ca="1" si="2"/>
        <v>0</v>
      </c>
      <c r="U13" s="218">
        <f t="shared" ca="1" si="3"/>
        <v>0</v>
      </c>
      <c r="V13" s="220">
        <f ca="1">+octoth*octhrrt</f>
        <v>0</v>
      </c>
      <c r="W13" s="201"/>
      <c r="X13" s="218">
        <f t="shared" ca="1" si="4"/>
        <v>0</v>
      </c>
      <c r="Y13" s="799">
        <f t="shared" ca="1" si="5"/>
        <v>0</v>
      </c>
      <c r="Z13" s="218">
        <f t="shared" ca="1" si="6"/>
        <v>7822.7066666666615</v>
      </c>
      <c r="AA13" s="799">
        <f t="shared" ca="1" si="7"/>
        <v>1954</v>
      </c>
      <c r="AB13" s="218">
        <f ca="1">+INDIRECT("[EMPINFO.xlsm]"&amp;$O$2&amp;"!s13")</f>
        <v>0</v>
      </c>
      <c r="AC13" s="292">
        <v>1.5</v>
      </c>
      <c r="AD13" s="218">
        <f t="shared" ca="1" si="8"/>
        <v>0</v>
      </c>
      <c r="AE13" s="220">
        <f t="shared" ca="1" si="9"/>
        <v>0</v>
      </c>
      <c r="AF13" s="218">
        <f t="shared" ca="1" si="10"/>
        <v>1954</v>
      </c>
      <c r="AG13" s="799">
        <f t="shared" ca="1" si="11"/>
        <v>1805.24</v>
      </c>
      <c r="AH13" s="218">
        <f t="shared" ca="1" si="12"/>
        <v>223.72</v>
      </c>
      <c r="AI13" s="799">
        <f t="shared" ca="1" si="13"/>
        <v>223.72</v>
      </c>
      <c r="AJ13" s="218">
        <f t="shared" ca="1" si="14"/>
        <v>447.44</v>
      </c>
      <c r="AK13" s="799">
        <f t="shared" ca="1" si="15"/>
        <v>6.72</v>
      </c>
      <c r="AL13" s="218">
        <f t="shared" ca="1" si="23"/>
        <v>8053.146666666662</v>
      </c>
      <c r="AM13" s="290" t="str">
        <f t="shared" ca="1" si="16"/>
        <v>D</v>
      </c>
      <c r="AN13" s="291" t="str">
        <f t="shared" ca="1" si="17"/>
        <v>FT</v>
      </c>
      <c r="AO13" s="223">
        <f ca="1">+INDIRECT("[EMPINFO.xlsm]"&amp;$O$2&amp;"!t13")</f>
        <v>31</v>
      </c>
      <c r="AP13" s="226">
        <f ca="1">+INDIRECT("[EMPINFO.xlsm]"&amp;$O$2&amp;"!o13")</f>
        <v>-200</v>
      </c>
      <c r="AQ13" s="836">
        <f ca="1">+INDIRECT("[EMPINFO.xlsm]"&amp;$O$2&amp;"!p13")</f>
        <v>-1720</v>
      </c>
      <c r="AR13" s="226">
        <f ca="1">+INDIRECT("[EMPINFO.xlsm]"&amp;$O$2&amp;"!j13")</f>
        <v>0</v>
      </c>
      <c r="AS13" s="836">
        <f ca="1">+INDIRECT("[EMPINFO.xlsm]"&amp;$O$2&amp;"!k13")</f>
        <v>223.99999999999997</v>
      </c>
      <c r="AT13" s="226">
        <f ca="1">+INDIRECT("[EMPINFO.xlsm]"&amp;$O$2&amp;"!m13")</f>
        <v>0</v>
      </c>
      <c r="AU13" s="842">
        <f ca="1">+INDIRECT("[EMPINFO.xlsm]"&amp;$O$2&amp;"!n13")</f>
        <v>240</v>
      </c>
      <c r="AV13" s="244">
        <f t="shared" si="18"/>
        <v>0</v>
      </c>
      <c r="AW13" s="244">
        <f t="shared" si="19"/>
        <v>0</v>
      </c>
      <c r="AX13" s="836">
        <f ca="1">+INDIRECT("[EMPINFO.xlsm]"&amp;$O$2&amp;"!u13")</f>
        <v>31</v>
      </c>
      <c r="AY13" s="215">
        <f ca="1">+INDIRECT("[EMPINFO.xlsm]"&amp;$O$2&amp;"!v13")</f>
        <v>0</v>
      </c>
      <c r="AZ13" s="797" t="str">
        <f ca="1">+INDIRECT("[EMPINFO.xlsm]"&amp;$O$2&amp;"!x13")</f>
        <v>ACTIVE</v>
      </c>
      <c r="BA13" s="842">
        <f ca="1">+INDIRECT("[EMPINFO.xlsm]"&amp;$O$2&amp;"!w13")</f>
        <v>0</v>
      </c>
      <c r="BB13" s="288">
        <f t="shared" ca="1" si="20"/>
        <v>0.35</v>
      </c>
      <c r="BC13" s="289">
        <f t="shared" ca="1" si="21"/>
        <v>9400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45.131</v>
      </c>
      <c r="O14" s="213">
        <f>+DATA!A13</f>
        <v>46327</v>
      </c>
      <c r="P14" s="219">
        <f ca="1">+INDIRECT("[EMPINFO.xlsm]"&amp;$O$2&amp;"!G14")</f>
        <v>5</v>
      </c>
      <c r="Q14" s="215">
        <f ca="1">IF(AZ14="active",INDIRECT("[EMPINFO.xlsm]"&amp;$O$2&amp;"!H14"),0)</f>
        <v>40</v>
      </c>
      <c r="R14" s="239">
        <f t="shared" ca="1" si="22"/>
        <v>45.131</v>
      </c>
      <c r="S14" s="216">
        <f t="shared" ca="1" si="1"/>
        <v>7822.7066666666615</v>
      </c>
      <c r="T14" s="220">
        <f t="shared" ca="1" si="2"/>
        <v>0</v>
      </c>
      <c r="U14" s="218">
        <f t="shared" ca="1" si="3"/>
        <v>0</v>
      </c>
      <c r="V14" s="220">
        <f ca="1">+novoth*novhrrt</f>
        <v>0</v>
      </c>
      <c r="W14" s="201"/>
      <c r="X14" s="218">
        <f t="shared" ca="1" si="4"/>
        <v>0</v>
      </c>
      <c r="Y14" s="799">
        <f t="shared" ca="1" si="5"/>
        <v>0</v>
      </c>
      <c r="Z14" s="218">
        <f t="shared" ca="1" si="6"/>
        <v>7822.7066666666615</v>
      </c>
      <c r="AA14" s="799">
        <f t="shared" ca="1" si="7"/>
        <v>1954</v>
      </c>
      <c r="AB14" s="218">
        <f ca="1">+INDIRECT("[EMPINFO.xlsm]"&amp;$O$2&amp;"!s14")</f>
        <v>0</v>
      </c>
      <c r="AC14" s="292">
        <v>1.5</v>
      </c>
      <c r="AD14" s="218">
        <f t="shared" ca="1" si="8"/>
        <v>0</v>
      </c>
      <c r="AE14" s="220">
        <f t="shared" ca="1" si="9"/>
        <v>0</v>
      </c>
      <c r="AF14" s="218">
        <f t="shared" ca="1" si="10"/>
        <v>1954</v>
      </c>
      <c r="AG14" s="799">
        <f t="shared" ca="1" si="11"/>
        <v>1805.24</v>
      </c>
      <c r="AH14" s="218">
        <f t="shared" ca="1" si="12"/>
        <v>279.64999999999998</v>
      </c>
      <c r="AI14" s="799">
        <f t="shared" ca="1" si="13"/>
        <v>279.64999999999998</v>
      </c>
      <c r="AJ14" s="218">
        <f t="shared" ca="1" si="14"/>
        <v>559.29999999999995</v>
      </c>
      <c r="AK14" s="799">
        <f t="shared" ca="1" si="15"/>
        <v>8.4</v>
      </c>
      <c r="AL14" s="218">
        <f t="shared" ca="1" si="23"/>
        <v>8110.7566666666607</v>
      </c>
      <c r="AM14" s="290" t="str">
        <f t="shared" ca="1" si="16"/>
        <v>D</v>
      </c>
      <c r="AN14" s="291" t="str">
        <f t="shared" ca="1" si="17"/>
        <v>FT</v>
      </c>
      <c r="AO14" s="223">
        <f ca="1">+INDIRECT("[EMPINFO.xlsm]"&amp;$O$2&amp;"!t14")</f>
        <v>30</v>
      </c>
      <c r="AP14" s="226">
        <f ca="1">+INDIRECT("[EMPINFO.xlsm]"&amp;$O$2&amp;"!o14")</f>
        <v>-160</v>
      </c>
      <c r="AQ14" s="836">
        <f ca="1">+INDIRECT("[EMPINFO.xlsm]"&amp;$O$2&amp;"!p14")</f>
        <v>-1880</v>
      </c>
      <c r="AR14" s="226">
        <f ca="1">+INDIRECT("[EMPINFO.xlsm]"&amp;$O$2&amp;"!j14")</f>
        <v>0</v>
      </c>
      <c r="AS14" s="836">
        <f ca="1">+INDIRECT("[EMPINFO.xlsm]"&amp;$O$2&amp;"!k14")</f>
        <v>223.99999999999997</v>
      </c>
      <c r="AT14" s="226">
        <f ca="1">+INDIRECT("[EMPINFO.xlsm]"&amp;$O$2&amp;"!m14")</f>
        <v>0</v>
      </c>
      <c r="AU14" s="842">
        <f ca="1">+INDIRECT("[EMPINFO.xlsm]"&amp;$O$2&amp;"!n14")</f>
        <v>240</v>
      </c>
      <c r="AV14" s="244">
        <f t="shared" si="18"/>
        <v>0</v>
      </c>
      <c r="AW14" s="244">
        <f t="shared" si="19"/>
        <v>0</v>
      </c>
      <c r="AX14" s="836">
        <f ca="1">+INDIRECT("[EMPINFO.xlsm]"&amp;$O$2&amp;"!u14")</f>
        <v>30</v>
      </c>
      <c r="AY14" s="215">
        <f ca="1">+INDIRECT("[EMPINFO.xlsm]"&amp;$O$2&amp;"!v14")</f>
        <v>0</v>
      </c>
      <c r="AZ14" s="797" t="str">
        <f ca="1">+INDIRECT("[EMPINFO.xlsm]"&amp;$O$2&amp;"!x14")</f>
        <v>ACTIVE</v>
      </c>
      <c r="BA14" s="842">
        <f ca="1">+INDIRECT("[EMPINFO.xlsm]"&amp;$O$2&amp;"!w14")</f>
        <v>0</v>
      </c>
      <c r="BB14" s="288">
        <f t="shared" ca="1" si="20"/>
        <v>0.35</v>
      </c>
      <c r="BC14" s="289">
        <f t="shared" ca="1" si="21"/>
        <v>9400</v>
      </c>
      <c r="BD14" s="255"/>
      <c r="BE14" s="206"/>
      <c r="BF14" s="32"/>
      <c r="BH14" s="32"/>
    </row>
    <row r="15" spans="1:62" ht="15.75" customHeight="1" thickBot="1" x14ac:dyDescent="0.3">
      <c r="A15" s="54"/>
      <c r="L15" s="101"/>
      <c r="M15" s="303"/>
      <c r="N15" s="211">
        <f t="shared" ca="1" si="0"/>
        <v>45.131</v>
      </c>
      <c r="O15" s="213">
        <f>+DATA!A14</f>
        <v>46357</v>
      </c>
      <c r="P15" s="219">
        <f ca="1">+INDIRECT("[EMPINFO.xlsm]"&amp;$O$2&amp;"!G15")</f>
        <v>4</v>
      </c>
      <c r="Q15" s="215">
        <f ca="1">IF(AZ15="active",INDIRECT("[EMPINFO.xlsm]"&amp;$O$2&amp;"!H15"),0)</f>
        <v>40</v>
      </c>
      <c r="R15" s="239">
        <f t="shared" ca="1" si="22"/>
        <v>45.131</v>
      </c>
      <c r="S15" s="216">
        <f t="shared" ca="1" si="1"/>
        <v>7822.7066666666615</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799">
        <f t="shared" ca="1" si="5"/>
        <v>0</v>
      </c>
      <c r="Z15" s="218">
        <f t="shared" ca="1" si="6"/>
        <v>7957.8066666666618</v>
      </c>
      <c r="AA15" s="799">
        <f t="shared" ca="1" si="7"/>
        <v>2001</v>
      </c>
      <c r="AB15" s="218">
        <f ca="1">+INDIRECT("[EMPINFO.xlsm]"&amp;$O$2&amp;"!s15")</f>
        <v>0</v>
      </c>
      <c r="AC15" s="292">
        <v>1.5</v>
      </c>
      <c r="AD15" s="218">
        <f t="shared" ca="1" si="8"/>
        <v>0</v>
      </c>
      <c r="AE15" s="220">
        <f t="shared" ca="1" si="9"/>
        <v>0</v>
      </c>
      <c r="AF15" s="218">
        <f t="shared" ca="1" si="10"/>
        <v>2001</v>
      </c>
      <c r="AG15" s="799">
        <f t="shared" ca="1" si="11"/>
        <v>1805.24</v>
      </c>
      <c r="AH15" s="218">
        <f t="shared" ca="1" si="12"/>
        <v>223.72</v>
      </c>
      <c r="AI15" s="799">
        <f t="shared" ca="1" si="13"/>
        <v>223.72</v>
      </c>
      <c r="AJ15" s="218">
        <f t="shared" ca="1" si="14"/>
        <v>447.44</v>
      </c>
      <c r="AK15" s="799">
        <f t="shared" ca="1" si="15"/>
        <v>6.72</v>
      </c>
      <c r="AL15" s="218">
        <f t="shared" ca="1" si="23"/>
        <v>8188.2466666666623</v>
      </c>
      <c r="AM15" s="290" t="str">
        <f t="shared" ca="1" si="16"/>
        <v>D</v>
      </c>
      <c r="AN15" s="291" t="str">
        <f t="shared" ca="1" si="17"/>
        <v>FT</v>
      </c>
      <c r="AO15" s="223">
        <f ca="1">+INDIRECT("[EMPINFO.xlsm]"&amp;$O$2&amp;"!t15")</f>
        <v>31</v>
      </c>
      <c r="AP15" s="226">
        <f ca="1">+INDIRECT("[EMPINFO.xlsm]"&amp;$O$2&amp;"!o15")</f>
        <v>-160</v>
      </c>
      <c r="AQ15" s="836">
        <f ca="1">+INDIRECT("[EMPINFO.xlsm]"&amp;$O$2&amp;"!p15")</f>
        <v>-2040</v>
      </c>
      <c r="AR15" s="226">
        <f ca="1">+INDIRECT("[EMPINFO.xlsm]"&amp;$O$2&amp;"!j15")</f>
        <v>0</v>
      </c>
      <c r="AS15" s="836">
        <f ca="1">+INDIRECT("[EMPINFO.xlsm]"&amp;$O$2&amp;"!k15")</f>
        <v>223.99999999999997</v>
      </c>
      <c r="AT15" s="226">
        <f ca="1">+INDIRECT("[EMPINFO.xlsm]"&amp;$O$2&amp;"!m15")</f>
        <v>0</v>
      </c>
      <c r="AU15" s="842">
        <f ca="1">+INDIRECT("[EMPINFO.xlsm]"&amp;$O$2&amp;"!n15")</f>
        <v>240</v>
      </c>
      <c r="AV15" s="244">
        <f t="shared" si="18"/>
        <v>0</v>
      </c>
      <c r="AW15" s="244">
        <f t="shared" si="19"/>
        <v>0</v>
      </c>
      <c r="AX15" s="836">
        <f ca="1">+INDIRECT("[EMPINFO.xlsm]"&amp;$O$2&amp;"!u15")</f>
        <v>31</v>
      </c>
      <c r="AY15" s="215">
        <f ca="1">+INDIRECT("[EMPINFO.xlsm]"&amp;$O$2&amp;"!v15")</f>
        <v>0</v>
      </c>
      <c r="AZ15" s="797" t="str">
        <f ca="1">+INDIRECT("[EMPINFO.xlsm]"&amp;$O$2&amp;"!x15")</f>
        <v>ACTIVE</v>
      </c>
      <c r="BA15" s="842">
        <f ca="1">+INDIRECT("[EMPINFO.xlsm]"&amp;$O$2&amp;"!w15")</f>
        <v>0</v>
      </c>
      <c r="BB15" s="288">
        <f t="shared" ca="1" si="20"/>
        <v>0.35</v>
      </c>
      <c r="BC15" s="289">
        <f t="shared" ca="1" si="21"/>
        <v>9400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93872.479999999967</v>
      </c>
      <c r="T16" s="221">
        <f t="shared" ca="1" si="24"/>
        <v>0</v>
      </c>
      <c r="U16" s="217">
        <f t="shared" ca="1" si="24"/>
        <v>0</v>
      </c>
      <c r="V16" s="221">
        <f t="shared" ca="1" si="24"/>
        <v>0</v>
      </c>
      <c r="W16" s="217">
        <f t="shared" ca="1" si="24"/>
        <v>512.52</v>
      </c>
      <c r="X16" s="217">
        <f t="shared" ca="1" si="24"/>
        <v>0</v>
      </c>
      <c r="Y16" s="800">
        <f t="shared" ca="1" si="24"/>
        <v>0</v>
      </c>
      <c r="Z16" s="217">
        <f t="shared" ca="1" si="24"/>
        <v>94384.999999999956</v>
      </c>
      <c r="AA16" s="800">
        <f t="shared" ca="1" si="24"/>
        <v>23628</v>
      </c>
      <c r="AB16" s="217">
        <f ca="1">+INDIRECT("[EMPINFO.xlsm]"&amp;$O$2&amp;"!S16")</f>
        <v>0</v>
      </c>
      <c r="AC16" s="221" t="s">
        <v>150</v>
      </c>
      <c r="AD16" s="217">
        <f ca="1">SUM(AD4:AD15)</f>
        <v>0</v>
      </c>
      <c r="AE16" s="221">
        <f ca="1">SUM(AE4:AE15)</f>
        <v>0</v>
      </c>
      <c r="AF16" s="217">
        <f ca="1">SUM(AF4:AF15)</f>
        <v>23628</v>
      </c>
      <c r="AG16" s="221"/>
      <c r="AH16" s="217">
        <f ca="1">SUM(AH4:AH15)</f>
        <v>2908.3599999999992</v>
      </c>
      <c r="AI16" s="799">
        <f ca="1">SUM(AI4:AI15)</f>
        <v>2908.3599999999992</v>
      </c>
      <c r="AJ16" s="217">
        <f t="shared" ca="1" si="14"/>
        <v>5816.7199999999984</v>
      </c>
      <c r="AK16" s="833">
        <f ca="1">SUM(AK4:AK15)</f>
        <v>87.36</v>
      </c>
      <c r="AL16" s="217">
        <f ca="1">+SUM(AL4:AL15)</f>
        <v>97380.719999999928</v>
      </c>
      <c r="AM16" s="298"/>
      <c r="AN16" s="297"/>
      <c r="AO16" s="224">
        <f ca="1">+INDIRECT("[EMPINFO.xlsm]"&amp;$O$2&amp;"!T16")</f>
        <v>365</v>
      </c>
      <c r="AP16" s="299">
        <f>+[1]RGaldes!O16</f>
        <v>0</v>
      </c>
      <c r="AQ16" s="837">
        <f ca="1">+INDIRECT("[EMPINFO.xlsm]"&amp;$O$2&amp;"!p16")</f>
        <v>-2040</v>
      </c>
      <c r="AR16" s="299"/>
      <c r="AS16" s="837">
        <f ca="1">+INDIRECT("[EMPINFO.xlsm]"&amp;$O$2&amp;"!k16")</f>
        <v>223.99999999999997</v>
      </c>
      <c r="AT16" s="299">
        <f ca="1">+INDIRECT("[EMPINFO.xlsm]"&amp;$O$2&amp;"!m16")</f>
        <v>0</v>
      </c>
      <c r="AU16" s="837">
        <f ca="1">+INDIRECT("[EMPINFO.xlsm]"&amp;$O$2&amp;"!n16")</f>
        <v>240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94385</v>
      </c>
      <c r="I17" s="456"/>
      <c r="K17" s="317" t="s">
        <v>151</v>
      </c>
      <c r="L17" s="101"/>
      <c r="M17" s="256">
        <v>45</v>
      </c>
      <c r="N17" s="257" t="s">
        <v>152</v>
      </c>
      <c r="O17" s="258">
        <f ca="1">+Med_Tot</f>
        <v>94384.999999999956</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-2040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Galdes Ritienne</v>
      </c>
      <c r="P19" s="374" t="str">
        <f>+IDCard</f>
        <v>256693M</v>
      </c>
      <c r="Q19" s="375" t="str">
        <f>+designation</f>
        <v>2. Dental Surgeon</v>
      </c>
      <c r="R19" s="376" t="s">
        <v>156</v>
      </c>
      <c r="S19" s="377">
        <f ca="1">+S20+S23+S22+S24+S25+S26+S21</f>
        <v>7822.7066666666615</v>
      </c>
      <c r="T19" s="378" t="str">
        <f>+FS4_Status</f>
        <v>SIN</v>
      </c>
      <c r="U19" s="572" t="str">
        <f ca="1">INDEX(INDAT,MATCH(O21,(INDIRECT(("months"),TRUE)),0),26)</f>
        <v>FT</v>
      </c>
      <c r="V19" s="379" t="str">
        <f ca="1">INDEX(INDAT,MATCH(O21,(INDIRECT(("months"),TRUE)),0),25)</f>
        <v>D</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7822.7066666666615</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447.44</v>
      </c>
      <c r="U21" s="372">
        <f ca="1">INDEX(PYRL_Summary,MATCH(O21,months,0),22)</f>
        <v>223.72</v>
      </c>
      <c r="V21" s="373">
        <f ca="1">INDEX(PYRL_Summary,MATCH(O21,months,0),23)</f>
        <v>223.72</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6.72</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94385</v>
      </c>
      <c r="I23" s="466"/>
      <c r="J23" s="318" t="s">
        <v>169</v>
      </c>
      <c r="K23" s="916"/>
      <c r="L23" s="917"/>
      <c r="N23" s="420"/>
      <c r="O23" s="344">
        <f>+ID</f>
        <v>2018001</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1954</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MT31VALL22013000000040024253042</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5644.9866666666621</v>
      </c>
      <c r="V26" s="418"/>
      <c r="X26" s="575"/>
    </row>
    <row r="27" spans="1:56" ht="24" customHeight="1" thickBot="1" x14ac:dyDescent="0.3">
      <c r="A27" s="54"/>
      <c r="B27" s="73" t="s">
        <v>52</v>
      </c>
      <c r="G27" s="73" t="s">
        <v>53</v>
      </c>
      <c r="H27" s="8">
        <f ca="1">IF(OR(Timer="PT", Timer="pt_casual"),0,AA16)</f>
        <v>23628</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173401965</v>
      </c>
      <c r="U27" s="545"/>
      <c r="V27" s="546"/>
      <c r="W27" s="73" t="s">
        <v>183</v>
      </c>
      <c r="Y27" s="436">
        <v>173401965</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223.99999999999997</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Galdes Ritienne</v>
      </c>
      <c r="P29" s="394" t="str">
        <f>+IDCard</f>
        <v>256693M</v>
      </c>
      <c r="Q29" s="395" t="str">
        <f>+designation</f>
        <v>2. Dental Surgeon</v>
      </c>
      <c r="R29" s="396" t="s">
        <v>156</v>
      </c>
      <c r="S29" s="397">
        <f ca="1">+S30+S33+S32+S34+S35+S36+S31</f>
        <v>7822.7066666666606</v>
      </c>
      <c r="T29" s="431" t="str">
        <f>+FS4_Status</f>
        <v>SIN</v>
      </c>
      <c r="U29" s="573" t="str">
        <f ca="1">INDEX(INDAT,MATCH(O31,(INDIRECT(("months"),TRUE)),0),26)</f>
        <v>FT</v>
      </c>
      <c r="V29" s="432" t="str">
        <f ca="1">INDEX(INDAT,MATCH(O31,(INDIRECT(("months"),TRUE)),0),25)</f>
        <v>D</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7822.7066666666606</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23628</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447.44</v>
      </c>
      <c r="U31" s="358">
        <f ca="1">INDEX(PYRL_Summary,MATCH(O31,months,0),22)</f>
        <v>223.72</v>
      </c>
      <c r="V31" s="359">
        <f ca="1">INDEX(PYRL_Summary,MATCH(O31,months,0),23)</f>
        <v>223.72</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6.72</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2018001</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1954</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MT31VALL22013000000040024253042</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5644.9866666666603</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174692759</v>
      </c>
      <c r="U37" s="545"/>
      <c r="V37" s="546"/>
      <c r="W37" s="73" t="s">
        <v>183</v>
      </c>
      <c r="Y37" s="574" t="s">
        <v>633</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-200</v>
      </c>
      <c r="R38" s="410" t="s">
        <v>188</v>
      </c>
      <c r="S38" s="411">
        <f ca="1">INDEX(PYRL_Summary,MATCH(O31,months,0),33)</f>
        <v>223.99999999999997</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Galdes Ritienne</v>
      </c>
      <c r="P39" s="374" t="str">
        <f>+IDCard</f>
        <v>256693M</v>
      </c>
      <c r="Q39" s="375" t="str">
        <f>+designation</f>
        <v>2. Dental Surgeon</v>
      </c>
      <c r="R39" s="376" t="s">
        <v>156</v>
      </c>
      <c r="S39" s="377">
        <f ca="1">+S40+S43+S42+S44+S45+S46+S41</f>
        <v>7943.8666666666613</v>
      </c>
      <c r="T39" s="378" t="str">
        <f>+FS4_Status</f>
        <v>SIN</v>
      </c>
      <c r="U39" s="572" t="str">
        <f ca="1">INDEX(INDAT,MATCH(O41,(INDIRECT(("months"),TRUE)),0),26)</f>
        <v>FT</v>
      </c>
      <c r="V39" s="379" t="str">
        <f ca="1">INDEX(INDAT,MATCH(O41,(INDIRECT(("months"),TRUE)),0),25)</f>
        <v>D</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7822.7066666666615</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559.29999999999995</v>
      </c>
      <c r="U41" s="372">
        <f ca="1">INDEX(PYRL_Summary,MATCH(O41,months,0),22)</f>
        <v>279.64999999999998</v>
      </c>
      <c r="V41" s="373">
        <f ca="1">INDEX(PYRL_Summary,MATCH(O41,months,0),23)</f>
        <v>279.64999999999998</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8.4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2018001</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1997</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MT31VALL22013000000040024253042</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5667.2166666666617</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-360</v>
      </c>
      <c r="R48" s="392" t="s">
        <v>188</v>
      </c>
      <c r="S48" s="393">
        <f ca="1">INDEX(PYRL_Summary,MATCH(O41,months,0),33)</f>
        <v>223.99999999999997</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Galdes Ritienne</v>
      </c>
      <c r="P49" s="394" t="str">
        <f>+IDCard</f>
        <v>256693M</v>
      </c>
      <c r="Q49" s="395" t="str">
        <f>+designation</f>
        <v>2. Dental Surgeon</v>
      </c>
      <c r="R49" s="396" t="s">
        <v>156</v>
      </c>
      <c r="S49" s="397">
        <f ca="1">+S50+S53+S52+S54+S55+S56+S51</f>
        <v>7822.7066666666615</v>
      </c>
      <c r="T49" s="431" t="str">
        <f>+FS4_Status</f>
        <v>SIN</v>
      </c>
      <c r="U49" s="573" t="str">
        <f ca="1">INDEX(INDAT,MATCH(O51,(INDIRECT(("months"),TRUE)),0),26)</f>
        <v>FT</v>
      </c>
      <c r="V49" s="432" t="str">
        <f ca="1">INDEX(INDAT,MATCH(O51,(INDIRECT(("months"),TRUE)),0),25)</f>
        <v>D</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7822.7066666666615</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447.44</v>
      </c>
      <c r="U51" s="358">
        <f ca="1">INDEX(PYRL_Summary,MATCH(O51,months,0),22)</f>
        <v>223.72</v>
      </c>
      <c r="V51" s="359">
        <f ca="1">INDEX(PYRL_Summary,MATCH(O51,months,0),23)</f>
        <v>223.72</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6.72</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2018001</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1954</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MT31VALL22013000000040024253042</v>
      </c>
      <c r="U55" s="890"/>
      <c r="V55" s="891"/>
    </row>
    <row r="56" spans="1:37" ht="16.5" customHeight="1" thickBot="1" x14ac:dyDescent="0.3">
      <c r="E56" s="116" t="s">
        <v>215</v>
      </c>
      <c r="F56" s="115" t="str">
        <f>INDEX([1]!empdata,MATCH(ID,[1]!empid,0),17)</f>
        <v>MT31VALL22013000000040024253042</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5644.9866666666621</v>
      </c>
      <c r="V56" s="418"/>
    </row>
    <row r="57" spans="1:37" ht="26.25" customHeight="1" thickBot="1" x14ac:dyDescent="0.3">
      <c r="E57" s="116" t="s">
        <v>216</v>
      </c>
      <c r="F57" s="340" t="str">
        <f>INDEX([1]!empdata,MATCH(ID,[1]!empid,0),12)</f>
        <v>ritiennegaldes@mediatrixmalta.com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34123</v>
      </c>
      <c r="G58" s="56"/>
      <c r="H58" s="63"/>
      <c r="N58" s="406">
        <f ca="1">INDEX(PYRL_Summary,MATCH(O51,months,0),4)</f>
        <v>4</v>
      </c>
      <c r="O58" s="407" t="s">
        <v>187</v>
      </c>
      <c r="P58" s="408">
        <f>+O41</f>
        <v>46082</v>
      </c>
      <c r="Q58" s="409">
        <f ca="1">INDEX(PYRL_Summary,MATCH(P58,months,0),31)</f>
        <v>-520</v>
      </c>
      <c r="R58" s="410" t="s">
        <v>188</v>
      </c>
      <c r="S58" s="411">
        <f ca="1">INDEX(PYRL_Summary,MATCH(O51,months,0),33)</f>
        <v>223.99999999999997</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42614</v>
      </c>
      <c r="G59" s="56"/>
      <c r="H59" s="63"/>
      <c r="N59" s="386">
        <f ca="1">IF(OR(INDEX(PYRL_Summary,MATCH(O61,months,0),28)="pt",INDEX(PYRL_Summary,MATCH(O61,months,0),28)="pt_casual"),0,IF(N62-N61&gt;=1,1,0))</f>
        <v>1</v>
      </c>
      <c r="O59" s="894" t="str">
        <f>Surname&amp;" "&amp;Name</f>
        <v>Galdes Ritienne</v>
      </c>
      <c r="P59" s="374" t="str">
        <f>+IDCard</f>
        <v>256693M</v>
      </c>
      <c r="Q59" s="375" t="str">
        <f>+designation</f>
        <v>2. Dental Surgeon</v>
      </c>
      <c r="R59" s="376" t="s">
        <v>156</v>
      </c>
      <c r="S59" s="377">
        <f ca="1">+S60+S63+S62+S64+S65+S66+S61</f>
        <v>7822.7066666666615</v>
      </c>
      <c r="T59" s="378" t="str">
        <f>+FS4_Status</f>
        <v>SIN</v>
      </c>
      <c r="U59" s="572" t="str">
        <f ca="1">INDEX(INDAT,MATCH(O61,(INDIRECT(("months"),TRUE)),0),26)</f>
        <v>FT</v>
      </c>
      <c r="V59" s="379" t="str">
        <f ca="1">INDEX(INDAT,MATCH(O61,(INDIRECT(("months"),TRUE)),0),25)</f>
        <v>D</v>
      </c>
      <c r="W59" s="422">
        <f>+$O$8</f>
        <v>46143</v>
      </c>
      <c r="X59" s="423"/>
      <c r="Y59" s="423"/>
      <c r="Z59" s="73"/>
      <c r="AA59" s="73"/>
    </row>
    <row r="60" spans="1:37" ht="20.25" customHeight="1" thickBot="1" x14ac:dyDescent="0.3">
      <c r="E60" s="116" t="s">
        <v>219</v>
      </c>
      <c r="F60" s="115" t="str">
        <f>INDEX([1]!empdata,MATCH(ID,[1]!empid,0),8)</f>
        <v>2. Dental Surgeon</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7822.7066666666615</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447.44</v>
      </c>
      <c r="U61" s="372">
        <f ca="1">INDEX(PYRL_Summary,MATCH(O61,months,0),22)</f>
        <v>223.72</v>
      </c>
      <c r="V61" s="373">
        <f ca="1">INDEX(PYRL_Summary,MATCH(O61,months,0),23)</f>
        <v>223.72</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6.72</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2018001</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1954</v>
      </c>
      <c r="X64" s="577"/>
    </row>
    <row r="65" spans="5:37" ht="15.75" customHeight="1" thickBot="1" x14ac:dyDescent="0.3">
      <c r="E65" s="925" t="s">
        <v>224</v>
      </c>
      <c r="F65" s="926"/>
      <c r="G65" s="103">
        <f ca="1">+Med_Tot</f>
        <v>94384.999999999956</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MT31VALL22013000000040024253042</v>
      </c>
      <c r="U65" s="890"/>
      <c r="V65" s="891"/>
    </row>
    <row r="66" spans="5:37" ht="16.5" customHeight="1" thickBot="1" x14ac:dyDescent="0.3">
      <c r="E66" s="952" t="s">
        <v>226</v>
      </c>
      <c r="F66" s="953"/>
      <c r="G66" s="112">
        <f ca="1">+PREVFS3+Med_Tot</f>
        <v>94384.999999999956</v>
      </c>
      <c r="H66" s="114">
        <f ca="1">IF(grossyearly&lt;F68,1,IF(grossyearly&lt;F69,2,IF(grossyearly&lt;F70,3,IF(grossyearly&lt;F71,4,5))))</f>
        <v>5</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5644.9866666666621</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4</v>
      </c>
      <c r="O68" s="389" t="s">
        <v>187</v>
      </c>
      <c r="P68" s="390">
        <f>+O51</f>
        <v>46113</v>
      </c>
      <c r="Q68" s="391">
        <f ca="1">INDEX(PYRL_Summary,MATCH(P68,months,0),31)</f>
        <v>-680</v>
      </c>
      <c r="R68" s="392" t="s">
        <v>188</v>
      </c>
      <c r="S68" s="393">
        <f ca="1">INDEX(PYRL_Summary,MATCH(O61,months,0),33)</f>
        <v>223.99999999999997</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1</v>
      </c>
      <c r="O69" s="908" t="str">
        <f>Surname&amp;" "&amp;Name</f>
        <v>Galdes Ritienne</v>
      </c>
      <c r="P69" s="394" t="str">
        <f>+IDCard</f>
        <v>256693M</v>
      </c>
      <c r="Q69" s="395" t="str">
        <f>+designation</f>
        <v>2. Dental Surgeon</v>
      </c>
      <c r="R69" s="396" t="s">
        <v>156</v>
      </c>
      <c r="S69" s="397">
        <f ca="1">+S70+S73+S72+S74+S75+S76+S71</f>
        <v>7957.8066666666618</v>
      </c>
      <c r="T69" s="431" t="str">
        <f>+FS4_Status</f>
        <v>SIN</v>
      </c>
      <c r="U69" s="573" t="str">
        <f ca="1">INDEX(INDAT,MATCH(O71,(INDIRECT(("months"),TRUE)),0),26)</f>
        <v>FT</v>
      </c>
      <c r="V69" s="432" t="str">
        <f ca="1">INDEX(INDAT,MATCH(O71,(INDIRECT(("months"),TRUE)),0),25)</f>
        <v>D</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7822.7066666666615</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559.29999999999995</v>
      </c>
      <c r="U71" s="358">
        <f ca="1">INDEX(PYRL_Summary,MATCH(O71,months,0),22)</f>
        <v>279.64999999999998</v>
      </c>
      <c r="V71" s="359">
        <f ca="1">INDEX(PYRL_Summary,MATCH(O71,months,0),23)</f>
        <v>279.64999999999998</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8.4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2018001</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2001</v>
      </c>
      <c r="X74" s="577"/>
    </row>
    <row r="75" spans="5:37" ht="15.75" customHeight="1" thickBot="1" x14ac:dyDescent="0.3">
      <c r="E75" s="293"/>
      <c r="F75" s="294" t="s">
        <v>130</v>
      </c>
      <c r="G75" s="295">
        <f ca="1">IF(AND(Timer="pt",grossyearly&lt;10000),+ptrate,IF(grossyearly&lt;$F$68,$G$68,IF(grossyearly&lt;$F$69,$G$69,IF(grossyearly&lt;$F$70,$G$70,IF(grossyearly&lt;$F$71,$G$71,$G$72)))))</f>
        <v>0.35</v>
      </c>
      <c r="H75" s="296">
        <f ca="1">IF(grossyearly&lt;$F$68,$H$68,IF(grossyearly&lt;$F$69,$H$69,IF(grossyearly&lt;$F$70,$H$70,IF(grossyearly&lt;$F$71,$H$71,$H$72))))</f>
        <v>9400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MT31VALL22013000000040024253042</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5677.1566666666622</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-880</v>
      </c>
      <c r="R78" s="410" t="s">
        <v>188</v>
      </c>
      <c r="S78" s="411">
        <f ca="1">INDEX(PYRL_Summary,MATCH(O71,months,0),33)</f>
        <v>223.99999999999997</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Galdes Ritienne</v>
      </c>
      <c r="P79" s="374" t="str">
        <f>+IDCard</f>
        <v>256693M</v>
      </c>
      <c r="Q79" s="375" t="str">
        <f>+designation</f>
        <v>2. Dental Surgeon</v>
      </c>
      <c r="R79" s="376" t="s">
        <v>156</v>
      </c>
      <c r="S79" s="377">
        <f ca="1">+S80+S83+S82+S84+S85+S86+S81</f>
        <v>7822.7066666666615</v>
      </c>
      <c r="T79" s="378" t="str">
        <f>+FS4_Status</f>
        <v>SIN</v>
      </c>
      <c r="U79" s="572" t="str">
        <f ca="1">INDEX(INDAT,MATCH(O81,(INDIRECT(("months"),TRUE)),0),26)</f>
        <v>FT</v>
      </c>
      <c r="V79" s="379" t="str">
        <f ca="1">INDEX(INDAT,MATCH(O81,(INDIRECT(("months"),TRUE)),0),25)</f>
        <v>D</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7822.7066666666615</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447.44</v>
      </c>
      <c r="U81" s="372">
        <f ca="1">INDEX(PYRL_Summary,MATCH(O81,months,0),22)</f>
        <v>223.72</v>
      </c>
      <c r="V81" s="373">
        <f ca="1">INDEX(PYRL_Summary,MATCH(O81,months,0),23)</f>
        <v>223.72</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6.72</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2018001</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1954</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MT31VALL22013000000040024253042</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5644.9866666666621</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223.99999999999997</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Galdes Ritienne</v>
      </c>
      <c r="P89" s="394" t="str">
        <f>+IDCard</f>
        <v>256693M</v>
      </c>
      <c r="Q89" s="395" t="str">
        <f>+designation</f>
        <v>2. Dental Surgeon</v>
      </c>
      <c r="R89" s="396" t="s">
        <v>156</v>
      </c>
      <c r="S89" s="397">
        <f ca="1">+S90+S93+S92+S94+S95+S96+S91</f>
        <v>7822.7066666666615</v>
      </c>
      <c r="T89" s="431" t="str">
        <f>+FS4_Status</f>
        <v>SIN</v>
      </c>
      <c r="U89" s="573" t="str">
        <f ca="1">INDEX(INDAT,MATCH(O91,(INDIRECT(("months"),TRUE)),0),26)</f>
        <v>FT</v>
      </c>
      <c r="V89" s="432" t="str">
        <f ca="1">INDEX(INDAT,MATCH(O91,(INDIRECT(("months"),TRUE)),0),25)</f>
        <v>D</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7822.7066666666615</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559.29999999999995</v>
      </c>
      <c r="U91" s="358">
        <f ca="1">INDEX(PYRL_Summary,MATCH(O91,months,0),22)</f>
        <v>279.64999999999998</v>
      </c>
      <c r="V91" s="359">
        <f ca="1">INDEX(PYRL_Summary,MATCH(O91,months,0),23)</f>
        <v>279.64999999999998</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8.4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2018001</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1954</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MT31VALL22013000000040024253042</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5589.0566666666618</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-1200</v>
      </c>
      <c r="R98" s="410" t="s">
        <v>188</v>
      </c>
      <c r="S98" s="411">
        <f ca="1">INDEX(PYRL_Summary,MATCH(O91,months,0),33)</f>
        <v>223.99999999999997</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Galdes Ritienne</v>
      </c>
      <c r="P99" s="374" t="str">
        <f>+IDCard</f>
        <v>256693M</v>
      </c>
      <c r="Q99" s="375" t="str">
        <f>+designation</f>
        <v>2. Dental Surgeon</v>
      </c>
      <c r="R99" s="376" t="s">
        <v>156</v>
      </c>
      <c r="S99" s="377">
        <f ca="1">+S100+S103+S102+S104+S105+S106+S101</f>
        <v>7943.8666666666613</v>
      </c>
      <c r="T99" s="378" t="str">
        <f>+FS4_Status</f>
        <v>SIN</v>
      </c>
      <c r="U99" s="572" t="str">
        <f ca="1">INDEX(INDAT,MATCH(O101,(INDIRECT(("months"),TRUE)),0),26)</f>
        <v>FT</v>
      </c>
      <c r="V99" s="379" t="str">
        <f ca="1">INDEX(INDAT,MATCH(O101,(INDIRECT(("months"),TRUE)),0),25)</f>
        <v>D</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7822.7066666666615</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447.44</v>
      </c>
      <c r="U101" s="372">
        <f ca="1">INDEX(PYRL_Summary,MATCH(O101,months,0),22)</f>
        <v>223.72</v>
      </c>
      <c r="V101" s="373">
        <f ca="1">INDEX(PYRL_Summary,MATCH(O101,months,0),23)</f>
        <v>223.72</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6.72</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2018001</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1997</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MT31VALL22013000000040024253042</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5723.146666666662</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-1360</v>
      </c>
      <c r="R108" s="392" t="s">
        <v>188</v>
      </c>
      <c r="S108" s="393">
        <f ca="1">INDEX(PYRL_Summary,MATCH(O101,months,0),33)</f>
        <v>223.99999999999997</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Galdes Ritienne</v>
      </c>
      <c r="P109" s="394" t="str">
        <f>+IDCard</f>
        <v>256693M</v>
      </c>
      <c r="Q109" s="395" t="str">
        <f>+designation</f>
        <v>2. Dental Surgeon</v>
      </c>
      <c r="R109" s="396" t="s">
        <v>156</v>
      </c>
      <c r="S109" s="397">
        <f ca="1">+S110+S113+S112+S114+S115+S116+S111</f>
        <v>7822.7066666666615</v>
      </c>
      <c r="T109" s="431" t="str">
        <f>+FS4_Status</f>
        <v>SIN</v>
      </c>
      <c r="U109" s="573" t="str">
        <f ca="1">INDEX(INDAT,MATCH(W109,(INDIRECT(("months"),TRUE)),0),26)</f>
        <v>FT</v>
      </c>
      <c r="V109" s="432" t="str">
        <f ca="1">INDEX(INDAT,MATCH(W109,(INDIRECT(("months"),TRUE)),0),25)</f>
        <v>D</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7822.7066666666615</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447.44</v>
      </c>
      <c r="U111" s="358">
        <f ca="1">INDEX(PYRL_Summary,MATCH(W109,months,0),22)</f>
        <v>223.72</v>
      </c>
      <c r="V111" s="359">
        <f ca="1">INDEX(PYRL_Summary,MATCH(W109,months,0),23)</f>
        <v>223.72</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6.72</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2018001</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1954</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MT31VALL22013000000040024253042</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5644.9866666666621</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-1520</v>
      </c>
      <c r="R118" s="410" t="s">
        <v>188</v>
      </c>
      <c r="S118" s="411">
        <f ca="1">INDEX(PYRL_Summary,MATCH(W109,months,0),33)</f>
        <v>223.99999999999997</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Galdes Ritienne</v>
      </c>
      <c r="P119" s="374" t="str">
        <f>+IDCard</f>
        <v>256693M</v>
      </c>
      <c r="Q119" s="375" t="str">
        <f>+designation</f>
        <v>2. Dental Surgeon</v>
      </c>
      <c r="R119" s="376" t="s">
        <v>156</v>
      </c>
      <c r="S119" s="377">
        <f ca="1">+S120+S123+S122+S124+S125+S126+S121</f>
        <v>7822.7066666666615</v>
      </c>
      <c r="T119" s="378" t="str">
        <f>+FS4_Status</f>
        <v>SIN</v>
      </c>
      <c r="U119" s="572" t="str">
        <f ca="1">INDEX(INDAT,MATCH(W119,(INDIRECT(("months"),TRUE)),0),26)</f>
        <v>FT</v>
      </c>
      <c r="V119" s="379" t="str">
        <f ca="1">INDEX(INDAT,MATCH(W119,(INDIRECT(("months"),TRUE)),0),25)</f>
        <v>D</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7822.7066666666615</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559.29999999999995</v>
      </c>
      <c r="U121" s="372">
        <f ca="1">INDEX(PYRL_Summary,MATCH(W119,months,0),22)</f>
        <v>279.64999999999998</v>
      </c>
      <c r="V121" s="373">
        <f ca="1">INDEX(PYRL_Summary,MATCH(W119,months,0),23)</f>
        <v>279.64999999999998</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8.4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2018001</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1954</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MT31VALL22013000000040024253042</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5589.0566666666618</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-1720</v>
      </c>
      <c r="R128" s="392" t="s">
        <v>188</v>
      </c>
      <c r="S128" s="393">
        <f ca="1">INDEX(PYRL_Summary,MATCH(W119,months,0),33)</f>
        <v>223.99999999999997</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Galdes Ritienne</v>
      </c>
      <c r="P129" s="394" t="str">
        <f>+IDCard</f>
        <v>256693M</v>
      </c>
      <c r="Q129" s="395" t="str">
        <f>+designation</f>
        <v>2. Dental Surgeon</v>
      </c>
      <c r="R129" s="396" t="s">
        <v>156</v>
      </c>
      <c r="S129" s="397">
        <f ca="1">+S130+S133+S132+S134+S135+S136+S131</f>
        <v>7957.8066666666618</v>
      </c>
      <c r="T129" s="431" t="str">
        <f>+FS4_Status</f>
        <v>SIN</v>
      </c>
      <c r="U129" s="573" t="str">
        <f ca="1">INDEX(INDAT,MATCH(W129,(INDIRECT(("months"),TRUE)),0),26)</f>
        <v>FT</v>
      </c>
      <c r="V129" s="432" t="str">
        <f ca="1">INDEX(INDAT,MATCH(W129,(INDIRECT(("months"),TRUE)),0),25)</f>
        <v>D</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7822.7066666666615</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447.44</v>
      </c>
      <c r="U131" s="358">
        <f ca="1">INDEX(PYRL_Summary,MATCH(W129,months,0),22)</f>
        <v>223.72</v>
      </c>
      <c r="V131" s="359">
        <f ca="1">INDEX(PYRL_Summary,MATCH(W129,months,0),23)</f>
        <v>223.72</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6.72</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2018001</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2001</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MT31VALL22013000000040024253042</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5733.0866666666625</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-1880</v>
      </c>
      <c r="R138" s="410" t="s">
        <v>188</v>
      </c>
      <c r="S138" s="411">
        <f ca="1">INDEX(PYRL_Summary,MATCH(W129,months,0),33)</f>
        <v>223.99999999999997</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609" priority="29">
      <formula>$P25=0</formula>
    </cfRule>
  </conditionalFormatting>
  <conditionalFormatting sqref="Q25:R25">
    <cfRule type="expression" dxfId="608" priority="28">
      <formula>$R25=0</formula>
    </cfRule>
  </conditionalFormatting>
  <conditionalFormatting sqref="S25">
    <cfRule type="expression" dxfId="607" priority="27">
      <formula>$S25=0</formula>
    </cfRule>
  </conditionalFormatting>
  <conditionalFormatting sqref="S26">
    <cfRule type="expression" dxfId="606" priority="25">
      <formula>$S$46&gt;0.01</formula>
    </cfRule>
    <cfRule type="expression" dxfId="605" priority="26">
      <formula>$S$46=0</formula>
    </cfRule>
  </conditionalFormatting>
  <conditionalFormatting sqref="T23 T33 T43 T53 T63 T73 T83 T93 T103 T113 T123 T133">
    <cfRule type="expression" dxfId="604" priority="24" stopIfTrue="1">
      <formula>"$R$23=0"""</formula>
    </cfRule>
  </conditionalFormatting>
  <conditionalFormatting sqref="O26:Q26">
    <cfRule type="expression" dxfId="603" priority="23">
      <formula>$Q$26=0</formula>
    </cfRule>
  </conditionalFormatting>
  <conditionalFormatting sqref="V23">
    <cfRule type="expression" dxfId="602" priority="22">
      <formula>$V$23=0</formula>
    </cfRule>
  </conditionalFormatting>
  <conditionalFormatting sqref="O35:P35">
    <cfRule type="expression" dxfId="601" priority="21">
      <formula>$P35=0</formula>
    </cfRule>
  </conditionalFormatting>
  <conditionalFormatting sqref="Q35:R35">
    <cfRule type="expression" dxfId="600" priority="20">
      <formula>$R35=0</formula>
    </cfRule>
  </conditionalFormatting>
  <conditionalFormatting sqref="S35">
    <cfRule type="expression" dxfId="599" priority="19">
      <formula>$S35=0</formula>
    </cfRule>
  </conditionalFormatting>
  <conditionalFormatting sqref="S36">
    <cfRule type="expression" dxfId="598" priority="17">
      <formula>$S$46&gt;0.01</formula>
    </cfRule>
    <cfRule type="expression" dxfId="597" priority="18">
      <formula>$S$46=0</formula>
    </cfRule>
  </conditionalFormatting>
  <conditionalFormatting sqref="O36:Q36">
    <cfRule type="expression" dxfId="596" priority="16">
      <formula>$Q$26=0</formula>
    </cfRule>
  </conditionalFormatting>
  <conditionalFormatting sqref="V33">
    <cfRule type="expression" dxfId="595" priority="15">
      <formula>$V$23=0</formula>
    </cfRule>
  </conditionalFormatting>
  <conditionalFormatting sqref="O45:P45 O65:P65 O85:P85 O105:P105 O125:P125">
    <cfRule type="expression" dxfId="594" priority="14">
      <formula>$P45=0</formula>
    </cfRule>
  </conditionalFormatting>
  <conditionalFormatting sqref="Q45:R45 Q65:R65 Q85:R85 Q105:R105 Q125:R125">
    <cfRule type="expression" dxfId="593" priority="13">
      <formula>$R45=0</formula>
    </cfRule>
  </conditionalFormatting>
  <conditionalFormatting sqref="S45 S65 S85 S105 S125">
    <cfRule type="expression" dxfId="592" priority="12">
      <formula>$S45=0</formula>
    </cfRule>
  </conditionalFormatting>
  <conditionalFormatting sqref="S46 S66 S86 S106 S126">
    <cfRule type="expression" dxfId="591" priority="10">
      <formula>$S$46&gt;0.01</formula>
    </cfRule>
    <cfRule type="expression" dxfId="590" priority="11">
      <formula>$S$46=0</formula>
    </cfRule>
  </conditionalFormatting>
  <conditionalFormatting sqref="O46:Q46 O66:Q66 O86:Q86 O106:Q106 O126:Q126">
    <cfRule type="expression" dxfId="589" priority="9">
      <formula>$Q$26=0</formula>
    </cfRule>
  </conditionalFormatting>
  <conditionalFormatting sqref="V43 V63 V83 V103 V123">
    <cfRule type="expression" dxfId="588" priority="8">
      <formula>$V$23=0</formula>
    </cfRule>
  </conditionalFormatting>
  <conditionalFormatting sqref="O55:P55 O75:P75 O95:P95 O115:P115 O135:P135">
    <cfRule type="expression" dxfId="587" priority="7">
      <formula>$P55=0</formula>
    </cfRule>
  </conditionalFormatting>
  <conditionalFormatting sqref="Q55:R55 Q75:R75 Q95:R95 Q115:R115 Q135:R135">
    <cfRule type="expression" dxfId="586" priority="6">
      <formula>$R55=0</formula>
    </cfRule>
  </conditionalFormatting>
  <conditionalFormatting sqref="S55 S75 S95 S115 S135">
    <cfRule type="expression" dxfId="585" priority="5">
      <formula>$S55=0</formula>
    </cfRule>
  </conditionalFormatting>
  <conditionalFormatting sqref="S56 S76 S96 S116 S136">
    <cfRule type="expression" dxfId="584" priority="3">
      <formula>$S$46&gt;0.01</formula>
    </cfRule>
    <cfRule type="expression" dxfId="583" priority="4">
      <formula>$S$46=0</formula>
    </cfRule>
  </conditionalFormatting>
  <conditionalFormatting sqref="O56:Q56 O76:Q76 O96:Q96 O116:Q116 O136:Q136">
    <cfRule type="expression" dxfId="582" priority="2">
      <formula>$Q$26=0</formula>
    </cfRule>
  </conditionalFormatting>
  <conditionalFormatting sqref="V53 V73 V93 V113 V133">
    <cfRule type="expression" dxfId="581" priority="1">
      <formula>$V$23=0</formula>
    </cfRule>
  </conditionalFormatting>
  <hyperlinks>
    <hyperlink ref="F57" r:id="rId1" display="drchrisgauci@gmail.com" xr:uid="{00000000-0004-0000-03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598465"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598466"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598467"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598468"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598469"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598470"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598471"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598472"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598473"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598474"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598475"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598476"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598477"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3">
    <tabColor rgb="FF4472C4"/>
    <pageSetUpPr fitToPage="1"/>
  </sheetPr>
  <dimension ref="A1:BJ149"/>
  <sheetViews>
    <sheetView tabSelected="1" topLeftCell="L16" workbookViewId="0">
      <selection activeCell="Z28" sqref="Z28"/>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LCarini</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2018002</v>
      </c>
      <c r="O2" s="810" t="str">
        <f>CONCATENATE(LEFT(Name,1),Surname)</f>
        <v>LCarini</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45</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45.131</v>
      </c>
      <c r="O4" s="213">
        <f>+DATA!A3</f>
        <v>46023</v>
      </c>
      <c r="P4" s="219">
        <f ca="1">+INDIRECT("[EMPINFO.xlsm]"&amp;$O$2&amp;"!G4")</f>
        <v>4</v>
      </c>
      <c r="Q4" s="215">
        <f ca="1">IF(AZ4="active",INDIRECT("[EMPINFO.xlsm]"&amp;$O$2&amp;"!H4"),0)</f>
        <v>21</v>
      </c>
      <c r="R4" s="239">
        <f ca="1">IF(AZ4&lt;&gt;"active",0,N3+COLA)</f>
        <v>45.131</v>
      </c>
      <c r="S4" s="216">
        <f t="shared" ref="S4:S15" ca="1" si="1">+Q4*R4*4.33333333333333*AO4/AX4</f>
        <v>4106.9209999999966</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4106.9209999999966</v>
      </c>
      <c r="AA4" s="803">
        <f t="shared" ref="AA4:AA15" ca="1" si="7">IF(OR(AN4="PT",AN4="PT_Casual"),TRUNC((Z4*PT_Rate),0),(TRUNC((Z4*BB4)-(BC4/12),0)))</f>
        <v>582</v>
      </c>
      <c r="AB4" s="218">
        <f ca="1">+INDIRECT("[EMPINFO.xlsm]"&amp;$O$2&amp;"!s4")</f>
        <v>0</v>
      </c>
      <c r="AC4" s="292">
        <v>1.5</v>
      </c>
      <c r="AD4" s="218">
        <f t="shared" ref="AD4:AD15" ca="1" si="8">+AB4*(R4*AC4)</f>
        <v>0</v>
      </c>
      <c r="AE4" s="220">
        <f t="shared" ref="AE4:AE15" ca="1" si="9">+TRUNC((AD4*0.15),0)</f>
        <v>0</v>
      </c>
      <c r="AF4" s="218">
        <f t="shared" ref="AF4:AF15" ca="1" si="10">+AA4+AE4</f>
        <v>582</v>
      </c>
      <c r="AG4" s="803">
        <f t="shared" ref="AG4:AG15" ca="1" si="11">+R4*Q4</f>
        <v>947.75099999999998</v>
      </c>
      <c r="AH4" s="218">
        <f t="shared" ref="AH4:AH15" ca="1" si="12">ROUND(IF(AN4="",0,IF(OR(AN4="PT",AN4="PT_Casual"),0,IF(AM4="B",ROUND(SSCBemployermultiplier*P4,2),IF(AM4="c",SOCSECCRATE*AG4*P4,IF(AM4="D",ROUND(socsecrateD*P4,2)))))),2)</f>
        <v>223.72</v>
      </c>
      <c r="AI4" s="803">
        <f t="shared" ref="AI4:AI15" ca="1" si="13">ROUND(IF(AN4="",0,IF(OR(AN4="PT",AN4="PT_Casual"),0,IF(AM4="B",ROUND(SSCBemployermultiplier*P4,2),IF(AM4="c",SOCSECCRATE*AG4*P4,IF(AM4="D",ROUND(socsecrateD*P4,2)))))),2)</f>
        <v>223.72</v>
      </c>
      <c r="AJ4" s="218">
        <f t="shared" ref="AJ4:AJ16" ca="1" si="14">+AH4+AI4</f>
        <v>447.44</v>
      </c>
      <c r="AK4" s="803">
        <f t="shared" ref="AK4:AK15" ca="1" si="15">ROUND(IF(AN4="",0,IF(OR(AN4="PT",AN4="PT_Casual"),0,IF(AM4="B",SSCBmlfmultiplier*P4,IF(AM4="c",SSCCmlfmultiplier*P4*AG4,IF(AM4="D",SSCDmlfmultiplier*P4))))),2)</f>
        <v>6.72</v>
      </c>
      <c r="AL4" s="218">
        <f ca="1">+Z4+AH4+AK4</f>
        <v>4337.3609999999971</v>
      </c>
      <c r="AM4" s="290" t="str">
        <f t="shared" ref="AM4:AM15" ca="1" si="16">IF(AZ4="Active",IF(OR(AN4="PT",AN4="PT_Casual"),0,(IF(AG4&lt;SSCcatBMAX,"B",(IF(AG4&lt;SSCcatCMAX,"C","D"))))),0)</f>
        <v>D</v>
      </c>
      <c r="AN4" s="291" t="str">
        <f t="shared" ref="AN4:AN15" ca="1" si="17">IF(AZ4="active",+Timer,"")</f>
        <v>FT_RED</v>
      </c>
      <c r="AO4" s="223">
        <f ca="1">+INDIRECT("[EMPINFO.xlsm]"&amp;$O$2&amp;"!t4")</f>
        <v>31</v>
      </c>
      <c r="AP4" s="226">
        <f ca="1">+INDIRECT("[EMPINFO.xlsm]"&amp;$O$2&amp;"!o4")</f>
        <v>-105</v>
      </c>
      <c r="AQ4" s="840">
        <f ca="1">+INDIRECT("[EMPINFO.xlsm]"&amp;$O$2&amp;"!p4")</f>
        <v>-105</v>
      </c>
      <c r="AR4" s="226">
        <f ca="1">+INDIRECT("[EMPINFO.xlsm]"&amp;$O$2&amp;"!j4")</f>
        <v>0</v>
      </c>
      <c r="AS4" s="840">
        <f ca="1">+INDIRECT("[EMPINFO.xlsm]"&amp;$O$2&amp;"!k4")</f>
        <v>117.59999999999998</v>
      </c>
      <c r="AT4" s="226">
        <f ca="1">+INDIRECT("[EMPINFO.xlsm]"&amp;$O$2&amp;"!m4")</f>
        <v>0</v>
      </c>
      <c r="AU4" s="844">
        <f ca="1">+INDIRECT("[EMPINFO.xlsm]"&amp;$O$2&amp;"!n4")</f>
        <v>126</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0.25</v>
      </c>
      <c r="BC4" s="289">
        <f t="shared" ref="BC4:BC15" ca="1" si="21">IF((Z4*12)&lt;$F$68,$H$68,IF((Z4*12)&lt;$F$69,$H$69,IF((Z4*12)&lt;$F$70,$H$70,IF((Z4*12)&lt;$F$71,$H$71,$H$72))))</f>
        <v>5325</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45.131</v>
      </c>
      <c r="O5" s="213">
        <f>+DATA!A4</f>
        <v>46054</v>
      </c>
      <c r="P5" s="219">
        <f ca="1">+INDIRECT("[EMPINFO.xlsm]"&amp;$O$2&amp;"!G5")</f>
        <v>4</v>
      </c>
      <c r="Q5" s="215">
        <f ca="1">IF(AZ5="active",INDIRECT("[EMPINFO.xlsm]"&amp;$O$2&amp;"!H5"),0)</f>
        <v>21</v>
      </c>
      <c r="R5" s="239">
        <f t="shared" ref="R5:R15" ca="1" si="22">+R4</f>
        <v>45.131</v>
      </c>
      <c r="S5" s="216">
        <f t="shared" ca="1" si="1"/>
        <v>4106.9209999999966</v>
      </c>
      <c r="T5" s="220">
        <f t="shared" ca="1" si="2"/>
        <v>0</v>
      </c>
      <c r="U5" s="218">
        <f t="shared" ca="1" si="3"/>
        <v>0</v>
      </c>
      <c r="V5" s="220">
        <f ca="1">+feboth*febhrrt</f>
        <v>0</v>
      </c>
      <c r="W5" s="201"/>
      <c r="X5" s="218">
        <f t="shared" ca="1" si="4"/>
        <v>0</v>
      </c>
      <c r="Y5" s="803">
        <f t="shared" ca="1" si="5"/>
        <v>0</v>
      </c>
      <c r="Z5" s="218">
        <f t="shared" ca="1" si="6"/>
        <v>4106.9209999999966</v>
      </c>
      <c r="AA5" s="803">
        <f t="shared" ca="1" si="7"/>
        <v>582</v>
      </c>
      <c r="AB5" s="218">
        <f ca="1">+INDIRECT("[EMPINFO.xlsm]"&amp;$O$2&amp;"!s5")</f>
        <v>0</v>
      </c>
      <c r="AC5" s="292">
        <v>1.5</v>
      </c>
      <c r="AD5" s="218">
        <f t="shared" ca="1" si="8"/>
        <v>0</v>
      </c>
      <c r="AE5" s="220">
        <f t="shared" ca="1" si="9"/>
        <v>0</v>
      </c>
      <c r="AF5" s="218">
        <f t="shared" ca="1" si="10"/>
        <v>582</v>
      </c>
      <c r="AG5" s="803">
        <f t="shared" ca="1" si="11"/>
        <v>947.75099999999998</v>
      </c>
      <c r="AH5" s="218">
        <f t="shared" ca="1" si="12"/>
        <v>223.72</v>
      </c>
      <c r="AI5" s="803">
        <f t="shared" ca="1" si="13"/>
        <v>223.72</v>
      </c>
      <c r="AJ5" s="218">
        <f t="shared" ca="1" si="14"/>
        <v>447.44</v>
      </c>
      <c r="AK5" s="803">
        <f t="shared" ca="1" si="15"/>
        <v>6.72</v>
      </c>
      <c r="AL5" s="218">
        <f t="shared" ref="AL5:AL15" ca="1" si="23">+Z5+AI5+AK5</f>
        <v>4337.3609999999971</v>
      </c>
      <c r="AM5" s="290" t="str">
        <f t="shared" ca="1" si="16"/>
        <v>D</v>
      </c>
      <c r="AN5" s="291" t="str">
        <f t="shared" ca="1" si="17"/>
        <v>FT_RED</v>
      </c>
      <c r="AO5" s="223">
        <f ca="1">+INDIRECT("[EMPINFO.xlsm]"&amp;$O$2&amp;"!t5")</f>
        <v>28</v>
      </c>
      <c r="AP5" s="226">
        <f ca="1">+INDIRECT("[EMPINFO.xlsm]"&amp;$O$2&amp;"!o5")</f>
        <v>-84</v>
      </c>
      <c r="AQ5" s="840">
        <f ca="1">+INDIRECT("[EMPINFO.xlsm]"&amp;$O$2&amp;"!p5")</f>
        <v>-189</v>
      </c>
      <c r="AR5" s="226">
        <f ca="1">+INDIRECT("[EMPINFO.xlsm]"&amp;$O$2&amp;"!j5")</f>
        <v>0</v>
      </c>
      <c r="AS5" s="840">
        <f ca="1">+INDIRECT("[EMPINFO.xlsm]"&amp;$O$2&amp;"!k5")</f>
        <v>117.59999999999998</v>
      </c>
      <c r="AT5" s="226">
        <f ca="1">+INDIRECT("[EMPINFO.xlsm]"&amp;$O$2&amp;"!m5")</f>
        <v>0</v>
      </c>
      <c r="AU5" s="844">
        <f ca="1">+INDIRECT("[EMPINFO.xlsm]"&amp;$O$2&amp;"!n5")</f>
        <v>126</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0.25</v>
      </c>
      <c r="BC5" s="289">
        <f t="shared" ca="1" si="21"/>
        <v>5325</v>
      </c>
      <c r="BD5" s="255"/>
      <c r="BE5" s="205"/>
      <c r="BG5" s="27"/>
      <c r="BH5" s="28"/>
    </row>
    <row r="6" spans="1:62" ht="15.75" customHeight="1" thickBot="1" x14ac:dyDescent="0.3">
      <c r="A6" s="54"/>
      <c r="B6" s="2" t="s">
        <v>135</v>
      </c>
      <c r="C6" s="921" t="str">
        <f>INDEX([1]!empdata,MATCH(ID,[1]!empid,0),3)</f>
        <v>Carini</v>
      </c>
      <c r="D6" s="922"/>
      <c r="E6" s="922"/>
      <c r="F6" s="886"/>
      <c r="I6" s="312" t="s">
        <v>136</v>
      </c>
      <c r="L6" s="101"/>
      <c r="M6" s="303"/>
      <c r="N6" s="211">
        <f t="shared" ca="1" si="0"/>
        <v>45.131</v>
      </c>
      <c r="O6" s="213">
        <f>+DATA!A5</f>
        <v>46082</v>
      </c>
      <c r="P6" s="219">
        <f ca="1">+INDIRECT("[EMPINFO.xlsm]"&amp;$O$2&amp;"!G6")</f>
        <v>5</v>
      </c>
      <c r="Q6" s="215">
        <f ca="1">IF(AZ6="active",INDIRECT("[EMPINFO.xlsm]"&amp;$O$2&amp;"!H6"),0)</f>
        <v>21</v>
      </c>
      <c r="R6" s="239">
        <f t="shared" ca="1" si="22"/>
        <v>45.131</v>
      </c>
      <c r="S6" s="216">
        <f t="shared" ca="1" si="1"/>
        <v>4106.9209999999966</v>
      </c>
      <c r="T6" s="220">
        <f t="shared" ca="1" si="2"/>
        <v>0</v>
      </c>
      <c r="U6" s="218">
        <f t="shared" ca="1" si="3"/>
        <v>0</v>
      </c>
      <c r="V6" s="220">
        <f ca="1">+maroth*marhrrt</f>
        <v>0</v>
      </c>
      <c r="W6" s="202">
        <f ca="1">+IF(AZ6&lt;&gt;"active",0,(IF(Timer="PT_casual",(bonusmar/1040*(BA6+BA5+BA4)),(bonusmar/182*(AO6+AO5+AO4+AO3)*(Q6+Q5+Q4)/120))))</f>
        <v>63.609000000000002</v>
      </c>
      <c r="X6" s="218">
        <f t="shared" ca="1" si="4"/>
        <v>0</v>
      </c>
      <c r="Y6" s="803">
        <f t="shared" ca="1" si="5"/>
        <v>0</v>
      </c>
      <c r="Z6" s="218">
        <f t="shared" ca="1" si="6"/>
        <v>4170.529999999997</v>
      </c>
      <c r="AA6" s="803">
        <f t="shared" ca="1" si="7"/>
        <v>598</v>
      </c>
      <c r="AB6" s="218">
        <f ca="1">+INDIRECT("[EMPINFO.xlsm]"&amp;$O$2&amp;"!s6")</f>
        <v>0</v>
      </c>
      <c r="AC6" s="292">
        <v>1.5</v>
      </c>
      <c r="AD6" s="218">
        <f t="shared" ca="1" si="8"/>
        <v>0</v>
      </c>
      <c r="AE6" s="220">
        <f t="shared" ca="1" si="9"/>
        <v>0</v>
      </c>
      <c r="AF6" s="218">
        <f t="shared" ca="1" si="10"/>
        <v>598</v>
      </c>
      <c r="AG6" s="803">
        <f t="shared" ca="1" si="11"/>
        <v>947.75099999999998</v>
      </c>
      <c r="AH6" s="218">
        <f t="shared" ca="1" si="12"/>
        <v>279.64999999999998</v>
      </c>
      <c r="AI6" s="803">
        <f t="shared" ca="1" si="13"/>
        <v>279.64999999999998</v>
      </c>
      <c r="AJ6" s="218">
        <f t="shared" ca="1" si="14"/>
        <v>559.29999999999995</v>
      </c>
      <c r="AK6" s="803">
        <f t="shared" ca="1" si="15"/>
        <v>8.4</v>
      </c>
      <c r="AL6" s="218">
        <f t="shared" ca="1" si="23"/>
        <v>4458.5799999999963</v>
      </c>
      <c r="AM6" s="290" t="str">
        <f t="shared" ca="1" si="16"/>
        <v>D</v>
      </c>
      <c r="AN6" s="291" t="str">
        <f t="shared" ca="1" si="17"/>
        <v>FT_RED</v>
      </c>
      <c r="AO6" s="223">
        <f ca="1">+INDIRECT("[EMPINFO.xlsm]"&amp;$O$2&amp;"!t6")</f>
        <v>31</v>
      </c>
      <c r="AP6" s="226">
        <f ca="1">+INDIRECT("[EMPINFO.xlsm]"&amp;$O$2&amp;"!o6")</f>
        <v>-84</v>
      </c>
      <c r="AQ6" s="840">
        <f ca="1">+INDIRECT("[EMPINFO.xlsm]"&amp;$O$2&amp;"!p6")</f>
        <v>-273</v>
      </c>
      <c r="AR6" s="226">
        <f ca="1">+INDIRECT("[EMPINFO.xlsm]"&amp;$O$2&amp;"!j6")</f>
        <v>0</v>
      </c>
      <c r="AS6" s="840">
        <f ca="1">+INDIRECT("[EMPINFO.xlsm]"&amp;$O$2&amp;"!k6")</f>
        <v>117.59999999999998</v>
      </c>
      <c r="AT6" s="226">
        <f ca="1">+INDIRECT("[EMPINFO.xlsm]"&amp;$O$2&amp;"!m6")</f>
        <v>0</v>
      </c>
      <c r="AU6" s="844">
        <f ca="1">+INDIRECT("[EMPINFO.xlsm]"&amp;$O$2&amp;"!n6")</f>
        <v>126</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0.25</v>
      </c>
      <c r="BC6" s="289">
        <f t="shared" ca="1" si="21"/>
        <v>5325</v>
      </c>
      <c r="BD6" s="255"/>
      <c r="BE6" s="206"/>
    </row>
    <row r="7" spans="1:62" ht="15.75" customHeight="1" thickBot="1" x14ac:dyDescent="0.3">
      <c r="A7" s="54"/>
      <c r="B7" s="3" t="s">
        <v>137</v>
      </c>
      <c r="C7" s="921" t="str">
        <f>INDEX([1]!empdata,MATCH(ID,[1]!empid,0),4)</f>
        <v>Lucia</v>
      </c>
      <c r="D7" s="922"/>
      <c r="E7" s="922"/>
      <c r="F7" s="886"/>
      <c r="H7" s="312" t="s">
        <v>138</v>
      </c>
      <c r="I7" s="927" t="str">
        <f>INDEX([1]!empdata,MATCH(ID,[1]!empid,0),6)</f>
        <v>136555A</v>
      </c>
      <c r="J7" s="859"/>
      <c r="K7" s="857"/>
      <c r="L7" s="101"/>
      <c r="M7" s="303"/>
      <c r="N7" s="211">
        <f t="shared" ca="1" si="0"/>
        <v>45.131</v>
      </c>
      <c r="O7" s="213">
        <f>+DATA!A6</f>
        <v>46113</v>
      </c>
      <c r="P7" s="219">
        <f ca="1">+INDIRECT("[EMPINFO.xlsm]"&amp;$O$2&amp;"!G7")</f>
        <v>4</v>
      </c>
      <c r="Q7" s="215">
        <f ca="1">IF(AZ7="active",INDIRECT("[EMPINFO.xlsm]"&amp;$O$2&amp;"!H7"),0)</f>
        <v>21</v>
      </c>
      <c r="R7" s="239">
        <f t="shared" ca="1" si="22"/>
        <v>45.131</v>
      </c>
      <c r="S7" s="216">
        <f t="shared" ca="1" si="1"/>
        <v>4106.9209999999966</v>
      </c>
      <c r="T7" s="220">
        <f t="shared" ca="1" si="2"/>
        <v>0</v>
      </c>
      <c r="U7" s="218">
        <f t="shared" ca="1" si="3"/>
        <v>0</v>
      </c>
      <c r="V7" s="220">
        <f ca="1">+aproth*aprhrrt</f>
        <v>0</v>
      </c>
      <c r="W7" s="201"/>
      <c r="X7" s="218">
        <f t="shared" ca="1" si="4"/>
        <v>0</v>
      </c>
      <c r="Y7" s="803">
        <f t="shared" ca="1" si="5"/>
        <v>0</v>
      </c>
      <c r="Z7" s="218">
        <f t="shared" ca="1" si="6"/>
        <v>4106.9209999999966</v>
      </c>
      <c r="AA7" s="803">
        <f t="shared" ca="1" si="7"/>
        <v>582</v>
      </c>
      <c r="AB7" s="218">
        <f ca="1">+INDIRECT("[EMPINFO.xlsm]"&amp;$O$2&amp;"!s7")</f>
        <v>0</v>
      </c>
      <c r="AC7" s="292">
        <v>1.5</v>
      </c>
      <c r="AD7" s="218">
        <f t="shared" ca="1" si="8"/>
        <v>0</v>
      </c>
      <c r="AE7" s="220">
        <f t="shared" ca="1" si="9"/>
        <v>0</v>
      </c>
      <c r="AF7" s="218">
        <f t="shared" ca="1" si="10"/>
        <v>582</v>
      </c>
      <c r="AG7" s="803">
        <f t="shared" ca="1" si="11"/>
        <v>947.75099999999998</v>
      </c>
      <c r="AH7" s="218">
        <f t="shared" ca="1" si="12"/>
        <v>223.72</v>
      </c>
      <c r="AI7" s="803">
        <f t="shared" ca="1" si="13"/>
        <v>223.72</v>
      </c>
      <c r="AJ7" s="218">
        <f t="shared" ca="1" si="14"/>
        <v>447.44</v>
      </c>
      <c r="AK7" s="803">
        <f t="shared" ca="1" si="15"/>
        <v>6.72</v>
      </c>
      <c r="AL7" s="218">
        <f t="shared" ca="1" si="23"/>
        <v>4337.3609999999971</v>
      </c>
      <c r="AM7" s="290" t="str">
        <f t="shared" ca="1" si="16"/>
        <v>D</v>
      </c>
      <c r="AN7" s="291" t="str">
        <f t="shared" ca="1" si="17"/>
        <v>FT_RED</v>
      </c>
      <c r="AO7" s="223">
        <f ca="1">+INDIRECT("[EMPINFO.xlsm]"&amp;$O$2&amp;"!t7")</f>
        <v>30</v>
      </c>
      <c r="AP7" s="226">
        <f ca="1">+INDIRECT("[EMPINFO.xlsm]"&amp;$O$2&amp;"!o7")</f>
        <v>-84</v>
      </c>
      <c r="AQ7" s="840">
        <f ca="1">+INDIRECT("[EMPINFO.xlsm]"&amp;$O$2&amp;"!p7")</f>
        <v>-357</v>
      </c>
      <c r="AR7" s="226">
        <f ca="1">+INDIRECT("[EMPINFO.xlsm]"&amp;$O$2&amp;"!j7")</f>
        <v>0</v>
      </c>
      <c r="AS7" s="840">
        <f ca="1">+INDIRECT("[EMPINFO.xlsm]"&amp;$O$2&amp;"!k7")</f>
        <v>117.59999999999998</v>
      </c>
      <c r="AT7" s="226">
        <f ca="1">+INDIRECT("[EMPINFO.xlsm]"&amp;$O$2&amp;"!m7")</f>
        <v>0</v>
      </c>
      <c r="AU7" s="844">
        <f ca="1">+INDIRECT("[EMPINFO.xlsm]"&amp;$O$2&amp;"!n7")</f>
        <v>126</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0.25</v>
      </c>
      <c r="BC7" s="289">
        <f t="shared" ca="1" si="21"/>
        <v>5325</v>
      </c>
      <c r="BD7" s="255"/>
      <c r="BE7" s="206"/>
    </row>
    <row r="8" spans="1:62" ht="15.75" customHeight="1" thickBot="1" x14ac:dyDescent="0.3">
      <c r="A8" s="54"/>
      <c r="B8" s="3" t="s">
        <v>139</v>
      </c>
      <c r="C8" s="921" t="str">
        <f>INDEX([1]!empdata,MATCH(ID,[1]!empid,0),18)</f>
        <v>25th Anniversary Ent C, Flt 3</v>
      </c>
      <c r="D8" s="922"/>
      <c r="E8" s="922"/>
      <c r="F8" s="886"/>
      <c r="I8" s="312" t="s">
        <v>140</v>
      </c>
      <c r="L8" s="101"/>
      <c r="M8" s="303"/>
      <c r="N8" s="211">
        <f t="shared" ca="1" si="0"/>
        <v>45.131</v>
      </c>
      <c r="O8" s="213">
        <f>+DATA!A7</f>
        <v>46143</v>
      </c>
      <c r="P8" s="219">
        <f ca="1">+INDIRECT("[EMPINFO.xlsm]"&amp;$O$2&amp;"!G8")</f>
        <v>4</v>
      </c>
      <c r="Q8" s="215">
        <f ca="1">IF(AZ8="active",INDIRECT("[EMPINFO.xlsm]"&amp;$O$2&amp;"!H8"),0)</f>
        <v>21</v>
      </c>
      <c r="R8" s="239">
        <f t="shared" ca="1" si="22"/>
        <v>45.131</v>
      </c>
      <c r="S8" s="216">
        <f t="shared" ca="1" si="1"/>
        <v>4106.9209999999966</v>
      </c>
      <c r="T8" s="220">
        <f t="shared" ca="1" si="2"/>
        <v>0</v>
      </c>
      <c r="U8" s="218">
        <f t="shared" ca="1" si="3"/>
        <v>0</v>
      </c>
      <c r="V8" s="220">
        <f ca="1">+mayoth*mayhrrt</f>
        <v>0</v>
      </c>
      <c r="W8" s="201"/>
      <c r="X8" s="218">
        <f t="shared" ca="1" si="4"/>
        <v>0</v>
      </c>
      <c r="Y8" s="803">
        <f t="shared" ca="1" si="5"/>
        <v>0</v>
      </c>
      <c r="Z8" s="218">
        <f t="shared" ca="1" si="6"/>
        <v>4106.9209999999966</v>
      </c>
      <c r="AA8" s="803">
        <f t="shared" ca="1" si="7"/>
        <v>582</v>
      </c>
      <c r="AB8" s="218">
        <f ca="1">+INDIRECT("[EMPINFO.xlsm]"&amp;$O$2&amp;"!s8")</f>
        <v>0</v>
      </c>
      <c r="AC8" s="292">
        <v>1.5</v>
      </c>
      <c r="AD8" s="218">
        <f t="shared" ca="1" si="8"/>
        <v>0</v>
      </c>
      <c r="AE8" s="220">
        <f t="shared" ca="1" si="9"/>
        <v>0</v>
      </c>
      <c r="AF8" s="218">
        <f t="shared" ca="1" si="10"/>
        <v>582</v>
      </c>
      <c r="AG8" s="803">
        <f t="shared" ca="1" si="11"/>
        <v>947.75099999999998</v>
      </c>
      <c r="AH8" s="218">
        <f t="shared" ca="1" si="12"/>
        <v>223.72</v>
      </c>
      <c r="AI8" s="803">
        <f t="shared" ca="1" si="13"/>
        <v>223.72</v>
      </c>
      <c r="AJ8" s="218">
        <f t="shared" ca="1" si="14"/>
        <v>447.44</v>
      </c>
      <c r="AK8" s="803">
        <f t="shared" ca="1" si="15"/>
        <v>6.72</v>
      </c>
      <c r="AL8" s="218">
        <f t="shared" ca="1" si="23"/>
        <v>4337.3609999999971</v>
      </c>
      <c r="AM8" s="290" t="str">
        <f t="shared" ca="1" si="16"/>
        <v>D</v>
      </c>
      <c r="AN8" s="291" t="str">
        <f t="shared" ca="1" si="17"/>
        <v>FT_RED</v>
      </c>
      <c r="AO8" s="223">
        <f ca="1">+INDIRECT("[EMPINFO.xlsm]"&amp;$O$2&amp;"!t8")</f>
        <v>31</v>
      </c>
      <c r="AP8" s="226">
        <f ca="1">+INDIRECT("[EMPINFO.xlsm]"&amp;$O$2&amp;"!o8")</f>
        <v>-105</v>
      </c>
      <c r="AQ8" s="840">
        <f ca="1">+INDIRECT("[EMPINFO.xlsm]"&amp;$O$2&amp;"!p8")</f>
        <v>-462</v>
      </c>
      <c r="AR8" s="226">
        <f ca="1">+INDIRECT("[EMPINFO.xlsm]"&amp;$O$2&amp;"!j8")</f>
        <v>0</v>
      </c>
      <c r="AS8" s="840">
        <f ca="1">+INDIRECT("[EMPINFO.xlsm]"&amp;$O$2&amp;"!k8")</f>
        <v>117.59999999999998</v>
      </c>
      <c r="AT8" s="226">
        <f ca="1">+INDIRECT("[EMPINFO.xlsm]"&amp;$O$2&amp;"!m8")</f>
        <v>0</v>
      </c>
      <c r="AU8" s="844">
        <f ca="1">+INDIRECT("[EMPINFO.xlsm]"&amp;$O$2&amp;"!n8")</f>
        <v>126</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0.25</v>
      </c>
      <c r="BC8" s="289">
        <f t="shared" ca="1" si="21"/>
        <v>5325</v>
      </c>
      <c r="BD8" s="255"/>
      <c r="BE8" s="206"/>
    </row>
    <row r="9" spans="1:62" ht="15.75" customHeight="1" thickBot="1" x14ac:dyDescent="0.3">
      <c r="A9" s="54"/>
      <c r="B9" s="4" t="s">
        <v>141</v>
      </c>
      <c r="C9" s="921" t="str">
        <f>INDEX([1]!empdata,MATCH(ID,[1]!empid,0),19)</f>
        <v>Triq Luigi Pisani</v>
      </c>
      <c r="D9" s="922"/>
      <c r="E9" s="922"/>
      <c r="F9" s="886"/>
      <c r="H9" s="312" t="s">
        <v>20</v>
      </c>
      <c r="I9" s="927" t="str">
        <f>INDEX([1]!empdata,MATCH(ID,[1]!empid,0),14)</f>
        <v>B50772610</v>
      </c>
      <c r="J9" s="859"/>
      <c r="K9" s="857"/>
      <c r="L9" s="101"/>
      <c r="M9" s="303"/>
      <c r="N9" s="211">
        <f t="shared" ca="1" si="0"/>
        <v>45.131</v>
      </c>
      <c r="O9" s="213">
        <f>+DATA!A8</f>
        <v>46174</v>
      </c>
      <c r="P9" s="219">
        <f ca="1">+INDIRECT("[EMPINFO.xlsm]"&amp;$O$2&amp;"!G9")</f>
        <v>5</v>
      </c>
      <c r="Q9" s="215">
        <f ca="1">IF(AZ9="active",INDIRECT("[EMPINFO.xlsm]"&amp;$O$2&amp;"!H9"),0)</f>
        <v>21</v>
      </c>
      <c r="R9" s="239">
        <f t="shared" ca="1" si="22"/>
        <v>45.131</v>
      </c>
      <c r="S9" s="216">
        <f t="shared" ca="1" si="1"/>
        <v>4106.9209999999966</v>
      </c>
      <c r="T9" s="220">
        <f t="shared" ca="1" si="2"/>
        <v>0</v>
      </c>
      <c r="U9" s="218">
        <f t="shared" ca="1" si="3"/>
        <v>0</v>
      </c>
      <c r="V9" s="220">
        <f ca="1">+junoth*junhrrt</f>
        <v>0</v>
      </c>
      <c r="W9" s="202">
        <f ca="1">IF(AZ9&lt;&gt;"active",0,(IF(Timer="PT_casual",(BONUSJUN/1040*(BA9+BA8+BA7+BA6+BA5+BA4)),(BONUSJUN*(SUM(AO4:AO9)/SUM(AX4:AX9))*(SUM(Q4:Q9)/240)))))</f>
        <v>70.927499999999995</v>
      </c>
      <c r="X9" s="218">
        <f t="shared" ca="1" si="4"/>
        <v>0</v>
      </c>
      <c r="Y9" s="803">
        <f t="shared" ca="1" si="5"/>
        <v>0</v>
      </c>
      <c r="Z9" s="218">
        <f t="shared" ca="1" si="6"/>
        <v>4177.8484999999964</v>
      </c>
      <c r="AA9" s="803">
        <f t="shared" ca="1" si="7"/>
        <v>600</v>
      </c>
      <c r="AB9" s="218">
        <f ca="1">+INDIRECT("[EMPINFO.xlsm]"&amp;$O$2&amp;"!s9")</f>
        <v>0</v>
      </c>
      <c r="AC9" s="292">
        <v>1.5</v>
      </c>
      <c r="AD9" s="218">
        <f t="shared" ca="1" si="8"/>
        <v>0</v>
      </c>
      <c r="AE9" s="220">
        <f t="shared" ca="1" si="9"/>
        <v>0</v>
      </c>
      <c r="AF9" s="218">
        <f t="shared" ca="1" si="10"/>
        <v>600</v>
      </c>
      <c r="AG9" s="803">
        <f t="shared" ca="1" si="11"/>
        <v>947.75099999999998</v>
      </c>
      <c r="AH9" s="218">
        <f t="shared" ca="1" si="12"/>
        <v>279.64999999999998</v>
      </c>
      <c r="AI9" s="803">
        <f t="shared" ca="1" si="13"/>
        <v>279.64999999999998</v>
      </c>
      <c r="AJ9" s="218">
        <f t="shared" ca="1" si="14"/>
        <v>559.29999999999995</v>
      </c>
      <c r="AK9" s="803">
        <f t="shared" ca="1" si="15"/>
        <v>8.4</v>
      </c>
      <c r="AL9" s="218">
        <f t="shared" ca="1" si="23"/>
        <v>4465.8984999999957</v>
      </c>
      <c r="AM9" s="290" t="str">
        <f t="shared" ca="1" si="16"/>
        <v>D</v>
      </c>
      <c r="AN9" s="291" t="str">
        <f t="shared" ca="1" si="17"/>
        <v>FT_RED</v>
      </c>
      <c r="AO9" s="223">
        <f ca="1">+INDIRECT("[EMPINFO.xlsm]"&amp;$O$2&amp;"!t9")</f>
        <v>30</v>
      </c>
      <c r="AP9" s="226">
        <f ca="1">+INDIRECT("[EMPINFO.xlsm]"&amp;$O$2&amp;"!o9")</f>
        <v>-84</v>
      </c>
      <c r="AQ9" s="840">
        <f ca="1">+INDIRECT("[EMPINFO.xlsm]"&amp;$O$2&amp;"!p9")</f>
        <v>-546</v>
      </c>
      <c r="AR9" s="226">
        <f ca="1">+INDIRECT("[EMPINFO.xlsm]"&amp;$O$2&amp;"!j9")</f>
        <v>0</v>
      </c>
      <c r="AS9" s="840">
        <f ca="1">+INDIRECT("[EMPINFO.xlsm]"&amp;$O$2&amp;"!k9")</f>
        <v>117.59999999999998</v>
      </c>
      <c r="AT9" s="226">
        <f ca="1">+INDIRECT("[EMPINFO.xlsm]"&amp;$O$2&amp;"!m9")</f>
        <v>0</v>
      </c>
      <c r="AU9" s="844">
        <f ca="1">+INDIRECT("[EMPINFO.xlsm]"&amp;$O$2&amp;"!n9")</f>
        <v>126</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0.25</v>
      </c>
      <c r="BC9" s="289">
        <f t="shared" ca="1" si="21"/>
        <v>5325</v>
      </c>
      <c r="BD9" s="255"/>
      <c r="BE9" s="206"/>
    </row>
    <row r="10" spans="1:62" ht="15.75" customHeight="1" thickBot="1" x14ac:dyDescent="0.3">
      <c r="A10" s="54"/>
      <c r="B10" s="5" t="s">
        <v>142</v>
      </c>
      <c r="C10" s="921" t="str">
        <f>INDEX([1]!empdata,MATCH(ID,[1]!empid,0),20)</f>
        <v>Kalkara</v>
      </c>
      <c r="D10" s="922"/>
      <c r="E10" s="922"/>
      <c r="F10" s="886"/>
      <c r="I10" s="312" t="s">
        <v>143</v>
      </c>
      <c r="L10" s="101"/>
      <c r="M10" s="303"/>
      <c r="N10" s="211">
        <f t="shared" ca="1" si="0"/>
        <v>45.131</v>
      </c>
      <c r="O10" s="213">
        <f>+DATA!A9</f>
        <v>46204</v>
      </c>
      <c r="P10" s="219">
        <f ca="1">+INDIRECT("[EMPINFO.xlsm]"&amp;$O$2&amp;"!G10")</f>
        <v>4</v>
      </c>
      <c r="Q10" s="215">
        <f ca="1">IF(AZ10="active",INDIRECT("[EMPINFO.xlsm]"&amp;$O$2&amp;"!H10"),0)</f>
        <v>21</v>
      </c>
      <c r="R10" s="239">
        <f t="shared" ca="1" si="22"/>
        <v>45.131</v>
      </c>
      <c r="S10" s="216">
        <f t="shared" ca="1" si="1"/>
        <v>4106.9209999999966</v>
      </c>
      <c r="T10" s="220">
        <f t="shared" ca="1" si="2"/>
        <v>0</v>
      </c>
      <c r="U10" s="218">
        <f t="shared" ca="1" si="3"/>
        <v>0</v>
      </c>
      <c r="V10" s="220">
        <f ca="1">+juloth*julhrrt</f>
        <v>0</v>
      </c>
      <c r="W10" s="201"/>
      <c r="X10" s="218">
        <f t="shared" ca="1" si="4"/>
        <v>0</v>
      </c>
      <c r="Y10" s="803">
        <f t="shared" ca="1" si="5"/>
        <v>0</v>
      </c>
      <c r="Z10" s="218">
        <f t="shared" ca="1" si="6"/>
        <v>4106.9209999999966</v>
      </c>
      <c r="AA10" s="803">
        <f t="shared" ca="1" si="7"/>
        <v>582</v>
      </c>
      <c r="AB10" s="218">
        <f ca="1">+INDIRECT("[EMPINFO.xlsm]"&amp;$O$2&amp;"!s10")</f>
        <v>0</v>
      </c>
      <c r="AC10" s="292">
        <v>1.5</v>
      </c>
      <c r="AD10" s="218">
        <f t="shared" ca="1" si="8"/>
        <v>0</v>
      </c>
      <c r="AE10" s="220">
        <f t="shared" ca="1" si="9"/>
        <v>0</v>
      </c>
      <c r="AF10" s="218">
        <f t="shared" ca="1" si="10"/>
        <v>582</v>
      </c>
      <c r="AG10" s="803">
        <f t="shared" ca="1" si="11"/>
        <v>947.75099999999998</v>
      </c>
      <c r="AH10" s="218">
        <f t="shared" ca="1" si="12"/>
        <v>223.72</v>
      </c>
      <c r="AI10" s="803">
        <f t="shared" ca="1" si="13"/>
        <v>223.72</v>
      </c>
      <c r="AJ10" s="218">
        <f t="shared" ca="1" si="14"/>
        <v>447.44</v>
      </c>
      <c r="AK10" s="803">
        <f t="shared" ca="1" si="15"/>
        <v>6.72</v>
      </c>
      <c r="AL10" s="218">
        <f t="shared" ca="1" si="23"/>
        <v>4337.3609999999971</v>
      </c>
      <c r="AM10" s="290" t="str">
        <f t="shared" ca="1" si="16"/>
        <v>D</v>
      </c>
      <c r="AN10" s="291" t="str">
        <f t="shared" ca="1" si="17"/>
        <v>FT_RED</v>
      </c>
      <c r="AO10" s="223">
        <f ca="1">+INDIRECT("[EMPINFO.xlsm]"&amp;$O$2&amp;"!t10")</f>
        <v>31</v>
      </c>
      <c r="AP10" s="226">
        <f ca="1">+INDIRECT("[EMPINFO.xlsm]"&amp;$O$2&amp;"!o10")</f>
        <v>-84</v>
      </c>
      <c r="AQ10" s="840">
        <f ca="1">+INDIRECT("[EMPINFO.xlsm]"&amp;$O$2&amp;"!p10")</f>
        <v>-630</v>
      </c>
      <c r="AR10" s="226">
        <f ca="1">+INDIRECT("[EMPINFO.xlsm]"&amp;$O$2&amp;"!j10")</f>
        <v>0</v>
      </c>
      <c r="AS10" s="840">
        <f ca="1">+INDIRECT("[EMPINFO.xlsm]"&amp;$O$2&amp;"!k10")</f>
        <v>117.59999999999998</v>
      </c>
      <c r="AT10" s="226">
        <f ca="1">+INDIRECT("[EMPINFO.xlsm]"&amp;$O$2&amp;"!m10")</f>
        <v>0</v>
      </c>
      <c r="AU10" s="844">
        <f ca="1">+INDIRECT("[EMPINFO.xlsm]"&amp;$O$2&amp;"!n10")</f>
        <v>126</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0.25</v>
      </c>
      <c r="BC10" s="289">
        <f t="shared" ca="1" si="21"/>
        <v>5325</v>
      </c>
      <c r="BD10" s="255"/>
      <c r="BE10" s="206"/>
      <c r="BF10" s="32"/>
      <c r="BH10" s="32"/>
      <c r="BI10" s="30"/>
      <c r="BJ10" s="31"/>
    </row>
    <row r="11" spans="1:62" ht="15.75" customHeight="1" thickBot="1" x14ac:dyDescent="0.3">
      <c r="A11" s="54"/>
      <c r="B11" s="6" t="s">
        <v>144</v>
      </c>
      <c r="C11" s="921" t="str">
        <f>INDEX([1]!empdata,MATCH(ID,[1]!empid,0),21)</f>
        <v>KKR1331</v>
      </c>
      <c r="D11" s="922"/>
      <c r="E11" s="922"/>
      <c r="F11" s="886"/>
      <c r="H11" s="312" t="s">
        <v>31</v>
      </c>
      <c r="I11" s="927" t="str">
        <f>INDEX([1]!empdata,MATCH(ID,[1]!empid,0),7)</f>
        <v>0129604A</v>
      </c>
      <c r="J11" s="859"/>
      <c r="K11" s="857"/>
      <c r="L11" s="101"/>
      <c r="M11" s="303"/>
      <c r="N11" s="211">
        <f t="shared" ca="1" si="0"/>
        <v>45.131</v>
      </c>
      <c r="O11" s="213">
        <f>+DATA!A10</f>
        <v>46235</v>
      </c>
      <c r="P11" s="219">
        <f ca="1">+INDIRECT("[EMPINFO.xlsm]"&amp;$O$2&amp;"!G11")</f>
        <v>5</v>
      </c>
      <c r="Q11" s="215">
        <f ca="1">IF(AZ11="active",INDIRECT("[EMPINFO.xlsm]"&amp;$O$2&amp;"!H11"),0)</f>
        <v>21</v>
      </c>
      <c r="R11" s="239">
        <f t="shared" ca="1" si="22"/>
        <v>45.131</v>
      </c>
      <c r="S11" s="216">
        <f t="shared" ca="1" si="1"/>
        <v>4106.9209999999966</v>
      </c>
      <c r="T11" s="220">
        <f t="shared" ca="1" si="2"/>
        <v>0</v>
      </c>
      <c r="U11" s="218">
        <f t="shared" ca="1" si="3"/>
        <v>0</v>
      </c>
      <c r="V11" s="220">
        <f ca="1">+augoth*aughrrt</f>
        <v>0</v>
      </c>
      <c r="W11" s="201"/>
      <c r="X11" s="218">
        <f t="shared" ca="1" si="4"/>
        <v>0</v>
      </c>
      <c r="Y11" s="803">
        <f t="shared" ca="1" si="5"/>
        <v>0</v>
      </c>
      <c r="Z11" s="218">
        <f t="shared" ca="1" si="6"/>
        <v>4106.9209999999966</v>
      </c>
      <c r="AA11" s="803">
        <f t="shared" ca="1" si="7"/>
        <v>582</v>
      </c>
      <c r="AB11" s="218">
        <f ca="1">+INDIRECT("[EMPINFO.xlsm]"&amp;$O$2&amp;"!s11")</f>
        <v>0</v>
      </c>
      <c r="AC11" s="292">
        <v>1.5</v>
      </c>
      <c r="AD11" s="218">
        <f t="shared" ca="1" si="8"/>
        <v>0</v>
      </c>
      <c r="AE11" s="220">
        <f t="shared" ca="1" si="9"/>
        <v>0</v>
      </c>
      <c r="AF11" s="218">
        <f t="shared" ca="1" si="10"/>
        <v>582</v>
      </c>
      <c r="AG11" s="803">
        <f t="shared" ca="1" si="11"/>
        <v>947.75099999999998</v>
      </c>
      <c r="AH11" s="218">
        <f t="shared" ca="1" si="12"/>
        <v>279.64999999999998</v>
      </c>
      <c r="AI11" s="803">
        <f t="shared" ca="1" si="13"/>
        <v>279.64999999999998</v>
      </c>
      <c r="AJ11" s="218">
        <f t="shared" ca="1" si="14"/>
        <v>559.29999999999995</v>
      </c>
      <c r="AK11" s="803">
        <f t="shared" ca="1" si="15"/>
        <v>8.4</v>
      </c>
      <c r="AL11" s="218">
        <f t="shared" ca="1" si="23"/>
        <v>4394.9709999999959</v>
      </c>
      <c r="AM11" s="290" t="str">
        <f t="shared" ca="1" si="16"/>
        <v>D</v>
      </c>
      <c r="AN11" s="291" t="str">
        <f t="shared" ca="1" si="17"/>
        <v>FT_RED</v>
      </c>
      <c r="AO11" s="223">
        <f ca="1">+INDIRECT("[EMPINFO.xlsm]"&amp;$O$2&amp;"!t11")</f>
        <v>31</v>
      </c>
      <c r="AP11" s="226">
        <f ca="1">+INDIRECT("[EMPINFO.xlsm]"&amp;$O$2&amp;"!o11")</f>
        <v>-65</v>
      </c>
      <c r="AQ11" s="840">
        <f ca="1">+INDIRECT("[EMPINFO.xlsm]"&amp;$O$2&amp;"!p11")</f>
        <v>-695</v>
      </c>
      <c r="AR11" s="226">
        <f ca="1">+INDIRECT("[EMPINFO.xlsm]"&amp;$O$2&amp;"!j11")</f>
        <v>0</v>
      </c>
      <c r="AS11" s="840">
        <f ca="1">+INDIRECT("[EMPINFO.xlsm]"&amp;$O$2&amp;"!k11")</f>
        <v>117.59999999999998</v>
      </c>
      <c r="AT11" s="226">
        <f ca="1">+INDIRECT("[EMPINFO.xlsm]"&amp;$O$2&amp;"!m11")</f>
        <v>0</v>
      </c>
      <c r="AU11" s="844">
        <f ca="1">+INDIRECT("[EMPINFO.xlsm]"&amp;$O$2&amp;"!n11")</f>
        <v>126</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0.25</v>
      </c>
      <c r="BC11" s="289">
        <f t="shared" ca="1" si="21"/>
        <v>5325</v>
      </c>
      <c r="BD11" s="255"/>
      <c r="BE11" s="206"/>
      <c r="BF11" s="27"/>
      <c r="BH11" s="27"/>
    </row>
    <row r="12" spans="1:62" ht="17.45" customHeight="1" thickBot="1" x14ac:dyDescent="0.3">
      <c r="A12" s="313"/>
      <c r="B12" s="91" t="s">
        <v>14</v>
      </c>
      <c r="C12" s="945">
        <f>INDEX([1]!empdata,MATCH(ID,[1]!empid,0),10)</f>
        <v>77022341</v>
      </c>
      <c r="D12" s="946"/>
      <c r="E12" s="946"/>
      <c r="F12" s="947"/>
      <c r="G12" s="85"/>
      <c r="H12" s="85"/>
      <c r="I12" s="85"/>
      <c r="J12" s="85"/>
      <c r="K12" s="85"/>
      <c r="L12" s="314"/>
      <c r="M12" s="303"/>
      <c r="N12" s="211">
        <f t="shared" ca="1" si="0"/>
        <v>45.131</v>
      </c>
      <c r="O12" s="213">
        <f>+DATA!A11</f>
        <v>46266</v>
      </c>
      <c r="P12" s="219">
        <f ca="1">+INDIRECT("[EMPINFO.xlsm]"&amp;$O$2&amp;"!G12")</f>
        <v>4</v>
      </c>
      <c r="Q12" s="215">
        <f ca="1">IF(AZ12="active",INDIRECT("[EMPINFO.xlsm]"&amp;$O$2&amp;"!H12"),0)</f>
        <v>21</v>
      </c>
      <c r="R12" s="239">
        <f t="shared" ca="1" si="22"/>
        <v>45.131</v>
      </c>
      <c r="S12" s="216">
        <f t="shared" ca="1" si="1"/>
        <v>4106.9209999999966</v>
      </c>
      <c r="T12" s="220">
        <f t="shared" ca="1" si="2"/>
        <v>0</v>
      </c>
      <c r="U12" s="218">
        <f t="shared" ca="1" si="3"/>
        <v>0</v>
      </c>
      <c r="V12" s="220">
        <f ca="1">+sepoth*sephrrt</f>
        <v>0</v>
      </c>
      <c r="W12" s="202">
        <f ca="1">IF(AZ12&lt;&gt;"active",0,(IF(Timer="PT_casual",(bonussep/1040*(BA7:BA12)),(bonussep*(SUM(AO7:AO12)/SUM(AX7:AX12))*(SUM(Q7:Q12)/240)))))</f>
        <v>63.609000000000002</v>
      </c>
      <c r="X12" s="218">
        <f t="shared" ca="1" si="4"/>
        <v>0</v>
      </c>
      <c r="Y12" s="803">
        <f t="shared" ca="1" si="5"/>
        <v>0</v>
      </c>
      <c r="Z12" s="218">
        <f t="shared" ca="1" si="6"/>
        <v>4170.529999999997</v>
      </c>
      <c r="AA12" s="803">
        <f t="shared" ca="1" si="7"/>
        <v>598</v>
      </c>
      <c r="AB12" s="218">
        <f ca="1">+INDIRECT("[EMPINFO.xlsm]"&amp;$O$2&amp;"!s12")</f>
        <v>0</v>
      </c>
      <c r="AC12" s="292">
        <v>1.5</v>
      </c>
      <c r="AD12" s="218">
        <f t="shared" ca="1" si="8"/>
        <v>0</v>
      </c>
      <c r="AE12" s="220">
        <f t="shared" ca="1" si="9"/>
        <v>0</v>
      </c>
      <c r="AF12" s="218">
        <f t="shared" ca="1" si="10"/>
        <v>598</v>
      </c>
      <c r="AG12" s="803">
        <f t="shared" ca="1" si="11"/>
        <v>947.75099999999998</v>
      </c>
      <c r="AH12" s="218">
        <f t="shared" ca="1" si="12"/>
        <v>223.72</v>
      </c>
      <c r="AI12" s="803">
        <f t="shared" ca="1" si="13"/>
        <v>223.72</v>
      </c>
      <c r="AJ12" s="218">
        <f t="shared" ca="1" si="14"/>
        <v>447.44</v>
      </c>
      <c r="AK12" s="803">
        <f t="shared" ca="1" si="15"/>
        <v>6.72</v>
      </c>
      <c r="AL12" s="218">
        <f t="shared" ca="1" si="23"/>
        <v>4400.9699999999975</v>
      </c>
      <c r="AM12" s="290" t="str">
        <f t="shared" ca="1" si="16"/>
        <v>D</v>
      </c>
      <c r="AN12" s="291" t="str">
        <f t="shared" ca="1" si="17"/>
        <v>FT_RED</v>
      </c>
      <c r="AO12" s="223">
        <f ca="1">+INDIRECT("[EMPINFO.xlsm]"&amp;$O$2&amp;"!t12")</f>
        <v>30</v>
      </c>
      <c r="AP12" s="226">
        <f ca="1">+INDIRECT("[EMPINFO.xlsm]"&amp;$O$2&amp;"!o12")</f>
        <v>-84</v>
      </c>
      <c r="AQ12" s="840">
        <f ca="1">+INDIRECT("[EMPINFO.xlsm]"&amp;$O$2&amp;"!p12")</f>
        <v>-779</v>
      </c>
      <c r="AR12" s="226">
        <f ca="1">+INDIRECT("[EMPINFO.xlsm]"&amp;$O$2&amp;"!j12")</f>
        <v>0</v>
      </c>
      <c r="AS12" s="840">
        <f ca="1">+INDIRECT("[EMPINFO.xlsm]"&amp;$O$2&amp;"!k12")</f>
        <v>117.59999999999998</v>
      </c>
      <c r="AT12" s="226">
        <f ca="1">+INDIRECT("[EMPINFO.xlsm]"&amp;$O$2&amp;"!m12")</f>
        <v>0</v>
      </c>
      <c r="AU12" s="844">
        <f ca="1">+INDIRECT("[EMPINFO.xlsm]"&amp;$O$2&amp;"!n12")</f>
        <v>126</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0.25</v>
      </c>
      <c r="BC12" s="289">
        <f t="shared" ca="1" si="21"/>
        <v>5325</v>
      </c>
      <c r="BD12" s="255"/>
      <c r="BE12" s="206"/>
    </row>
    <row r="13" spans="1:62" ht="15.75" customHeight="1" thickBot="1" x14ac:dyDescent="0.3">
      <c r="A13" s="54"/>
      <c r="L13" s="101"/>
      <c r="M13" s="303"/>
      <c r="N13" s="211">
        <f t="shared" ca="1" si="0"/>
        <v>45.131</v>
      </c>
      <c r="O13" s="213">
        <f>+DATA!A12</f>
        <v>46296</v>
      </c>
      <c r="P13" s="219">
        <f ca="1">+INDIRECT("[EMPINFO.xlsm]"&amp;$O$2&amp;"!G13")</f>
        <v>4</v>
      </c>
      <c r="Q13" s="215">
        <f ca="1">IF(AZ13="active",INDIRECT("[EMPINFO.xlsm]"&amp;$O$2&amp;"!H13"),0)</f>
        <v>21</v>
      </c>
      <c r="R13" s="239">
        <f t="shared" ca="1" si="22"/>
        <v>45.131</v>
      </c>
      <c r="S13" s="216">
        <f t="shared" ca="1" si="1"/>
        <v>4106.9209999999966</v>
      </c>
      <c r="T13" s="220">
        <f t="shared" ca="1" si="2"/>
        <v>0</v>
      </c>
      <c r="U13" s="218">
        <f t="shared" ca="1" si="3"/>
        <v>0</v>
      </c>
      <c r="V13" s="220">
        <f ca="1">+octoth*octhrrt</f>
        <v>0</v>
      </c>
      <c r="W13" s="201"/>
      <c r="X13" s="218">
        <f t="shared" ca="1" si="4"/>
        <v>0</v>
      </c>
      <c r="Y13" s="803">
        <f t="shared" ca="1" si="5"/>
        <v>0</v>
      </c>
      <c r="Z13" s="218">
        <f t="shared" ca="1" si="6"/>
        <v>4106.9209999999966</v>
      </c>
      <c r="AA13" s="803">
        <f t="shared" ca="1" si="7"/>
        <v>582</v>
      </c>
      <c r="AB13" s="218">
        <f ca="1">+INDIRECT("[EMPINFO.xlsm]"&amp;$O$2&amp;"!s13")</f>
        <v>0</v>
      </c>
      <c r="AC13" s="292">
        <v>1.5</v>
      </c>
      <c r="AD13" s="218">
        <f t="shared" ca="1" si="8"/>
        <v>0</v>
      </c>
      <c r="AE13" s="220">
        <f t="shared" ca="1" si="9"/>
        <v>0</v>
      </c>
      <c r="AF13" s="218">
        <f t="shared" ca="1" si="10"/>
        <v>582</v>
      </c>
      <c r="AG13" s="803">
        <f t="shared" ca="1" si="11"/>
        <v>947.75099999999998</v>
      </c>
      <c r="AH13" s="218">
        <f t="shared" ca="1" si="12"/>
        <v>223.72</v>
      </c>
      <c r="AI13" s="803">
        <f t="shared" ca="1" si="13"/>
        <v>223.72</v>
      </c>
      <c r="AJ13" s="218">
        <f t="shared" ca="1" si="14"/>
        <v>447.44</v>
      </c>
      <c r="AK13" s="803">
        <f t="shared" ca="1" si="15"/>
        <v>6.72</v>
      </c>
      <c r="AL13" s="218">
        <f t="shared" ca="1" si="23"/>
        <v>4337.3609999999971</v>
      </c>
      <c r="AM13" s="290" t="str">
        <f t="shared" ca="1" si="16"/>
        <v>D</v>
      </c>
      <c r="AN13" s="291" t="str">
        <f t="shared" ca="1" si="17"/>
        <v>FT_RED</v>
      </c>
      <c r="AO13" s="223">
        <f ca="1">+INDIRECT("[EMPINFO.xlsm]"&amp;$O$2&amp;"!t13")</f>
        <v>31</v>
      </c>
      <c r="AP13" s="226">
        <f ca="1">+INDIRECT("[EMPINFO.xlsm]"&amp;$O$2&amp;"!o13")</f>
        <v>-105</v>
      </c>
      <c r="AQ13" s="840">
        <f ca="1">+INDIRECT("[EMPINFO.xlsm]"&amp;$O$2&amp;"!p13")</f>
        <v>-884</v>
      </c>
      <c r="AR13" s="226">
        <f ca="1">+INDIRECT("[EMPINFO.xlsm]"&amp;$O$2&amp;"!j13")</f>
        <v>0</v>
      </c>
      <c r="AS13" s="840">
        <f ca="1">+INDIRECT("[EMPINFO.xlsm]"&amp;$O$2&amp;"!k13")</f>
        <v>117.59999999999998</v>
      </c>
      <c r="AT13" s="226">
        <f ca="1">+INDIRECT("[EMPINFO.xlsm]"&amp;$O$2&amp;"!m13")</f>
        <v>0</v>
      </c>
      <c r="AU13" s="844">
        <f ca="1">+INDIRECT("[EMPINFO.xlsm]"&amp;$O$2&amp;"!n13")</f>
        <v>126</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0.25</v>
      </c>
      <c r="BC13" s="289">
        <f t="shared" ca="1" si="21"/>
        <v>5325</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45.131</v>
      </c>
      <c r="O14" s="213">
        <f>+DATA!A13</f>
        <v>46327</v>
      </c>
      <c r="P14" s="219">
        <f ca="1">+INDIRECT("[EMPINFO.xlsm]"&amp;$O$2&amp;"!G14")</f>
        <v>5</v>
      </c>
      <c r="Q14" s="215">
        <f ca="1">IF(AZ14="active",INDIRECT("[EMPINFO.xlsm]"&amp;$O$2&amp;"!H14"),0)</f>
        <v>21</v>
      </c>
      <c r="R14" s="239">
        <f t="shared" ca="1" si="22"/>
        <v>45.131</v>
      </c>
      <c r="S14" s="216">
        <f t="shared" ca="1" si="1"/>
        <v>4106.9209999999966</v>
      </c>
      <c r="T14" s="220">
        <f t="shared" ca="1" si="2"/>
        <v>0</v>
      </c>
      <c r="U14" s="218">
        <f t="shared" ca="1" si="3"/>
        <v>0</v>
      </c>
      <c r="V14" s="220">
        <f ca="1">+novoth*novhrrt</f>
        <v>0</v>
      </c>
      <c r="W14" s="201"/>
      <c r="X14" s="218">
        <f t="shared" ca="1" si="4"/>
        <v>0</v>
      </c>
      <c r="Y14" s="803">
        <f t="shared" ca="1" si="5"/>
        <v>0</v>
      </c>
      <c r="Z14" s="218">
        <f t="shared" ca="1" si="6"/>
        <v>4106.9209999999966</v>
      </c>
      <c r="AA14" s="803">
        <f t="shared" ca="1" si="7"/>
        <v>582</v>
      </c>
      <c r="AB14" s="218">
        <f ca="1">+INDIRECT("[EMPINFO.xlsm]"&amp;$O$2&amp;"!s14")</f>
        <v>0</v>
      </c>
      <c r="AC14" s="292">
        <v>1.5</v>
      </c>
      <c r="AD14" s="218">
        <f t="shared" ca="1" si="8"/>
        <v>0</v>
      </c>
      <c r="AE14" s="220">
        <f t="shared" ca="1" si="9"/>
        <v>0</v>
      </c>
      <c r="AF14" s="218">
        <f t="shared" ca="1" si="10"/>
        <v>582</v>
      </c>
      <c r="AG14" s="803">
        <f t="shared" ca="1" si="11"/>
        <v>947.75099999999998</v>
      </c>
      <c r="AH14" s="218">
        <f t="shared" ca="1" si="12"/>
        <v>279.64999999999998</v>
      </c>
      <c r="AI14" s="803">
        <f t="shared" ca="1" si="13"/>
        <v>279.64999999999998</v>
      </c>
      <c r="AJ14" s="218">
        <f t="shared" ca="1" si="14"/>
        <v>559.29999999999995</v>
      </c>
      <c r="AK14" s="803">
        <f t="shared" ca="1" si="15"/>
        <v>8.4</v>
      </c>
      <c r="AL14" s="218">
        <f t="shared" ca="1" si="23"/>
        <v>4394.9709999999959</v>
      </c>
      <c r="AM14" s="290" t="str">
        <f t="shared" ca="1" si="16"/>
        <v>D</v>
      </c>
      <c r="AN14" s="291" t="str">
        <f t="shared" ca="1" si="17"/>
        <v>FT_RED</v>
      </c>
      <c r="AO14" s="223">
        <f ca="1">+INDIRECT("[EMPINFO.xlsm]"&amp;$O$2&amp;"!t14")</f>
        <v>30</v>
      </c>
      <c r="AP14" s="226">
        <f ca="1">+INDIRECT("[EMPINFO.xlsm]"&amp;$O$2&amp;"!o14")</f>
        <v>-84</v>
      </c>
      <c r="AQ14" s="840">
        <f ca="1">+INDIRECT("[EMPINFO.xlsm]"&amp;$O$2&amp;"!p14")</f>
        <v>-968</v>
      </c>
      <c r="AR14" s="226">
        <f ca="1">+INDIRECT("[EMPINFO.xlsm]"&amp;$O$2&amp;"!j14")</f>
        <v>0</v>
      </c>
      <c r="AS14" s="840">
        <f ca="1">+INDIRECT("[EMPINFO.xlsm]"&amp;$O$2&amp;"!k14")</f>
        <v>117.59999999999998</v>
      </c>
      <c r="AT14" s="226">
        <f ca="1">+INDIRECT("[EMPINFO.xlsm]"&amp;$O$2&amp;"!m14")</f>
        <v>0</v>
      </c>
      <c r="AU14" s="844">
        <f ca="1">+INDIRECT("[EMPINFO.xlsm]"&amp;$O$2&amp;"!n14")</f>
        <v>126</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0.25</v>
      </c>
      <c r="BC14" s="289">
        <f t="shared" ca="1" si="21"/>
        <v>5325</v>
      </c>
      <c r="BD14" s="255"/>
      <c r="BE14" s="206"/>
      <c r="BF14" s="32"/>
      <c r="BH14" s="32"/>
    </row>
    <row r="15" spans="1:62" ht="15.75" customHeight="1" thickBot="1" x14ac:dyDescent="0.3">
      <c r="A15" s="54"/>
      <c r="L15" s="101"/>
      <c r="M15" s="303"/>
      <c r="N15" s="211">
        <f t="shared" ca="1" si="0"/>
        <v>45.131</v>
      </c>
      <c r="O15" s="213">
        <f>+DATA!A14</f>
        <v>46357</v>
      </c>
      <c r="P15" s="219">
        <f ca="1">+INDIRECT("[EMPINFO.xlsm]"&amp;$O$2&amp;"!G15")</f>
        <v>4</v>
      </c>
      <c r="Q15" s="215">
        <f ca="1">IF(AZ15="active",INDIRECT("[EMPINFO.xlsm]"&amp;$O$2&amp;"!H15"),0)</f>
        <v>21</v>
      </c>
      <c r="R15" s="239">
        <f t="shared" ca="1" si="22"/>
        <v>45.131</v>
      </c>
      <c r="S15" s="216">
        <f t="shared" ca="1" si="1"/>
        <v>4106.9209999999966</v>
      </c>
      <c r="T15" s="220">
        <f t="shared" ca="1" si="2"/>
        <v>0</v>
      </c>
      <c r="U15" s="218">
        <f t="shared" ca="1" si="3"/>
        <v>0</v>
      </c>
      <c r="V15" s="220">
        <f ca="1">+decoth*dechrrt</f>
        <v>0</v>
      </c>
      <c r="W15" s="202">
        <f ca="1">IF(AZ15&lt;&gt;"active",0,(IF(Timer="PT_casual",(bonusdec/1040*(BA10:BA15)),(bonusdec*(SUM(AO10:AO15)/SUM(AX10:AX15))*(SUM(Q10:Q15)/240)))))</f>
        <v>70.927499999999995</v>
      </c>
      <c r="X15" s="218">
        <f t="shared" ca="1" si="4"/>
        <v>0</v>
      </c>
      <c r="Y15" s="803">
        <f t="shared" ca="1" si="5"/>
        <v>0</v>
      </c>
      <c r="Z15" s="218">
        <f t="shared" ca="1" si="6"/>
        <v>4177.8484999999964</v>
      </c>
      <c r="AA15" s="803">
        <f t="shared" ca="1" si="7"/>
        <v>600</v>
      </c>
      <c r="AB15" s="218">
        <f ca="1">+INDIRECT("[EMPINFO.xlsm]"&amp;$O$2&amp;"!s15")</f>
        <v>0</v>
      </c>
      <c r="AC15" s="292">
        <v>1.5</v>
      </c>
      <c r="AD15" s="218">
        <f t="shared" ca="1" si="8"/>
        <v>0</v>
      </c>
      <c r="AE15" s="220">
        <f t="shared" ca="1" si="9"/>
        <v>0</v>
      </c>
      <c r="AF15" s="218">
        <f t="shared" ca="1" si="10"/>
        <v>600</v>
      </c>
      <c r="AG15" s="803">
        <f t="shared" ca="1" si="11"/>
        <v>947.75099999999998</v>
      </c>
      <c r="AH15" s="218">
        <f t="shared" ca="1" si="12"/>
        <v>223.72</v>
      </c>
      <c r="AI15" s="803">
        <f t="shared" ca="1" si="13"/>
        <v>223.72</v>
      </c>
      <c r="AJ15" s="218">
        <f t="shared" ca="1" si="14"/>
        <v>447.44</v>
      </c>
      <c r="AK15" s="803">
        <f t="shared" ca="1" si="15"/>
        <v>6.72</v>
      </c>
      <c r="AL15" s="218">
        <f t="shared" ca="1" si="23"/>
        <v>4408.2884999999969</v>
      </c>
      <c r="AM15" s="290" t="str">
        <f t="shared" ca="1" si="16"/>
        <v>D</v>
      </c>
      <c r="AN15" s="291" t="str">
        <f t="shared" ca="1" si="17"/>
        <v>FT_RED</v>
      </c>
      <c r="AO15" s="223">
        <f ca="1">+INDIRECT("[EMPINFO.xlsm]"&amp;$O$2&amp;"!t15")</f>
        <v>31</v>
      </c>
      <c r="AP15" s="226">
        <f ca="1">+INDIRECT("[EMPINFO.xlsm]"&amp;$O$2&amp;"!o15")</f>
        <v>-84</v>
      </c>
      <c r="AQ15" s="840">
        <f ca="1">+INDIRECT("[EMPINFO.xlsm]"&amp;$O$2&amp;"!p15")</f>
        <v>-1052</v>
      </c>
      <c r="AR15" s="226">
        <f ca="1">+INDIRECT("[EMPINFO.xlsm]"&amp;$O$2&amp;"!j15")</f>
        <v>0</v>
      </c>
      <c r="AS15" s="840">
        <f ca="1">+INDIRECT("[EMPINFO.xlsm]"&amp;$O$2&amp;"!k15")</f>
        <v>117.59999999999998</v>
      </c>
      <c r="AT15" s="226">
        <f ca="1">+INDIRECT("[EMPINFO.xlsm]"&amp;$O$2&amp;"!m15")</f>
        <v>0</v>
      </c>
      <c r="AU15" s="844">
        <f ca="1">+INDIRECT("[EMPINFO.xlsm]"&amp;$O$2&amp;"!n15")</f>
        <v>126</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0.25</v>
      </c>
      <c r="BC15" s="289">
        <f t="shared" ca="1" si="21"/>
        <v>5325</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49283.051999999945</v>
      </c>
      <c r="T16" s="221">
        <f t="shared" ca="1" si="24"/>
        <v>0</v>
      </c>
      <c r="U16" s="217">
        <f t="shared" ca="1" si="24"/>
        <v>0</v>
      </c>
      <c r="V16" s="221">
        <f t="shared" ca="1" si="24"/>
        <v>0</v>
      </c>
      <c r="W16" s="217">
        <f t="shared" ca="1" si="24"/>
        <v>269.07299999999998</v>
      </c>
      <c r="X16" s="217">
        <f t="shared" ca="1" si="24"/>
        <v>0</v>
      </c>
      <c r="Y16" s="804">
        <f t="shared" ca="1" si="24"/>
        <v>0</v>
      </c>
      <c r="Z16" s="217">
        <f t="shared" ca="1" si="24"/>
        <v>49552.124999999956</v>
      </c>
      <c r="AA16" s="804">
        <f t="shared" ca="1" si="24"/>
        <v>7052</v>
      </c>
      <c r="AB16" s="217">
        <f ca="1">+INDIRECT("[EMPINFO.xlsm]"&amp;$O$2&amp;"!S16")</f>
        <v>0</v>
      </c>
      <c r="AC16" s="221" t="s">
        <v>150</v>
      </c>
      <c r="AD16" s="217">
        <f ca="1">SUM(AD4:AD15)</f>
        <v>0</v>
      </c>
      <c r="AE16" s="221">
        <f ca="1">SUM(AE4:AE15)</f>
        <v>0</v>
      </c>
      <c r="AF16" s="217">
        <f ca="1">SUM(AF4:AF15)</f>
        <v>7052</v>
      </c>
      <c r="AG16" s="221"/>
      <c r="AH16" s="217">
        <f ca="1">SUM(AH4:AH15)</f>
        <v>2908.3599999999992</v>
      </c>
      <c r="AI16" s="803">
        <f ca="1">SUM(AI4:AI15)</f>
        <v>2908.3599999999992</v>
      </c>
      <c r="AJ16" s="217">
        <f t="shared" ca="1" si="14"/>
        <v>5816.7199999999984</v>
      </c>
      <c r="AK16" s="835">
        <f ca="1">SUM(AK4:AK15)</f>
        <v>87.36</v>
      </c>
      <c r="AL16" s="217">
        <f ca="1">+SUM(AL4:AL15)</f>
        <v>52547.844999999958</v>
      </c>
      <c r="AM16" s="298"/>
      <c r="AN16" s="297"/>
      <c r="AO16" s="224">
        <f ca="1">+INDIRECT("[EMPINFO.xlsm]"&amp;$O$2&amp;"!T16")</f>
        <v>365</v>
      </c>
      <c r="AP16" s="299">
        <f>+[1]RGaldes!O16</f>
        <v>0</v>
      </c>
      <c r="AQ16" s="841">
        <f ca="1">+INDIRECT("[EMPINFO.xlsm]"&amp;$O$2&amp;"!p16")</f>
        <v>-1052</v>
      </c>
      <c r="AR16" s="299"/>
      <c r="AS16" s="841">
        <f ca="1">+INDIRECT("[EMPINFO.xlsm]"&amp;$O$2&amp;"!k16")</f>
        <v>117.59999999999998</v>
      </c>
      <c r="AT16" s="299">
        <f ca="1">+INDIRECT("[EMPINFO.xlsm]"&amp;$O$2&amp;"!m16")</f>
        <v>0</v>
      </c>
      <c r="AU16" s="841">
        <f ca="1">+INDIRECT("[EMPINFO.xlsm]"&amp;$O$2&amp;"!n16")</f>
        <v>126</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49552</v>
      </c>
      <c r="I17" s="456"/>
      <c r="K17" s="317" t="s">
        <v>151</v>
      </c>
      <c r="L17" s="101"/>
      <c r="M17" s="256">
        <v>45</v>
      </c>
      <c r="N17" s="257" t="s">
        <v>152</v>
      </c>
      <c r="O17" s="258">
        <f ca="1">+Med_Tot</f>
        <v>49552.124999999956</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-1052</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Carini Lucia</v>
      </c>
      <c r="P19" s="374" t="str">
        <f>+IDCard</f>
        <v>136555A</v>
      </c>
      <c r="Q19" s="375" t="str">
        <f>+designation</f>
        <v>2. Dental Surgeon</v>
      </c>
      <c r="R19" s="376" t="s">
        <v>156</v>
      </c>
      <c r="S19" s="377">
        <f ca="1">+S20+S23+S22+S24+S25+S26+S21</f>
        <v>4106.9209999999966</v>
      </c>
      <c r="T19" s="378" t="str">
        <f>+FS4_Status</f>
        <v>PAR2</v>
      </c>
      <c r="U19" s="572" t="str">
        <f ca="1">INDEX(INDAT,MATCH(O21,(INDIRECT(("months"),TRUE)),0),26)</f>
        <v>FT_RED</v>
      </c>
      <c r="V19" s="379" t="str">
        <f ca="1">INDEX(INDAT,MATCH(O21,(INDIRECT(("months"),TRUE)),0),25)</f>
        <v>D</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21</v>
      </c>
      <c r="R20" s="381" t="s">
        <v>94</v>
      </c>
      <c r="S20" s="382">
        <f ca="1">INDEX(PYRL_Summary,MATCH(O21,months,0),7)</f>
        <v>4106.9209999999966</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447.44</v>
      </c>
      <c r="U21" s="372">
        <f ca="1">INDEX(PYRL_Summary,MATCH(O21,months,0),22)</f>
        <v>223.72</v>
      </c>
      <c r="V21" s="373">
        <f ca="1">INDEX(PYRL_Summary,MATCH(O21,months,0),23)</f>
        <v>223.72</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6.72</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49552</v>
      </c>
      <c r="I23" s="466"/>
      <c r="J23" s="318" t="s">
        <v>169</v>
      </c>
      <c r="K23" s="916"/>
      <c r="L23" s="917"/>
      <c r="N23" s="420"/>
      <c r="O23" s="344">
        <f>+ID</f>
        <v>2018002</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582</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MT47VALL22013000000040023484029</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3301.2009999999964</v>
      </c>
      <c r="V26" s="418"/>
      <c r="X26" s="575"/>
    </row>
    <row r="27" spans="1:56" ht="24" customHeight="1" thickBot="1" x14ac:dyDescent="0.3">
      <c r="A27" s="54"/>
      <c r="B27" s="73" t="s">
        <v>52</v>
      </c>
      <c r="G27" s="73" t="s">
        <v>53</v>
      </c>
      <c r="H27" s="8">
        <f ca="1">IF(OR(Timer="PT", Timer="pt_casual"),0,AA16)</f>
        <v>7052</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173401996</v>
      </c>
      <c r="U27" s="545"/>
      <c r="V27" s="546"/>
      <c r="W27" s="73" t="s">
        <v>183</v>
      </c>
      <c r="Y27" s="436">
        <v>173401996</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117.59999999999998</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Carini Lucia</v>
      </c>
      <c r="P29" s="394" t="str">
        <f>+IDCard</f>
        <v>136555A</v>
      </c>
      <c r="Q29" s="395" t="str">
        <f>+designation</f>
        <v>2. Dental Surgeon</v>
      </c>
      <c r="R29" s="396" t="s">
        <v>156</v>
      </c>
      <c r="S29" s="397">
        <f ca="1">+S30+S33+S32+S34+S35+S36+S31</f>
        <v>4106.9209999999966</v>
      </c>
      <c r="T29" s="431" t="str">
        <f>+FS4_Status</f>
        <v>PAR2</v>
      </c>
      <c r="U29" s="573" t="str">
        <f ca="1">INDEX(INDAT,MATCH(O31,(INDIRECT(("months"),TRUE)),0),26)</f>
        <v>FT_RED</v>
      </c>
      <c r="V29" s="432" t="str">
        <f ca="1">INDEX(INDAT,MATCH(O31,(INDIRECT(("months"),TRUE)),0),25)</f>
        <v>D</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21</v>
      </c>
      <c r="R30" s="398" t="s">
        <v>94</v>
      </c>
      <c r="S30" s="399">
        <f ca="1">INDEX(PYRL_Summary,MATCH(O31,months,0),7)</f>
        <v>4106.9209999999966</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7052</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447.44</v>
      </c>
      <c r="U31" s="358">
        <f ca="1">INDEX(PYRL_Summary,MATCH(O31,months,0),22)</f>
        <v>223.72</v>
      </c>
      <c r="V31" s="359">
        <f ca="1">INDEX(PYRL_Summary,MATCH(O31,months,0),23)</f>
        <v>223.72</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6.72</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2018002</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582</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MT47VALL22013000000040023484029</v>
      </c>
      <c r="U35" s="890"/>
      <c r="V35" s="891"/>
      <c r="AA35" t="s">
        <v>652</v>
      </c>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3301.2009999999964</v>
      </c>
      <c r="V36" s="418"/>
      <c r="AA36" s="77">
        <v>9068.6199999999917</v>
      </c>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174692779</v>
      </c>
      <c r="U37" s="545"/>
      <c r="V37" s="546"/>
      <c r="W37" s="73" t="s">
        <v>183</v>
      </c>
      <c r="Y37" s="574" t="s">
        <v>634</v>
      </c>
      <c r="Z37" s="78"/>
      <c r="AA37" t="s">
        <v>653</v>
      </c>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-105</v>
      </c>
      <c r="R38" s="410" t="s">
        <v>188</v>
      </c>
      <c r="S38" s="411">
        <f ca="1">INDEX(PYRL_Summary,MATCH(O31,months,0),33)</f>
        <v>117.59999999999998</v>
      </c>
      <c r="T38" s="428" t="str">
        <f>+Clinic_add</f>
        <v>7,  Mediatrix, Sanctuary Str. Zabbar ZBR1010
8, Mediatrix, Guze Duca Str., Qormi QRM9088</v>
      </c>
      <c r="U38" s="429"/>
      <c r="V38" s="430" t="s">
        <v>189</v>
      </c>
      <c r="AA38" s="77">
        <f ca="1">+U36+U26</f>
        <v>6602.4019999999928</v>
      </c>
      <c r="AB38" s="73" t="s">
        <v>654</v>
      </c>
      <c r="AC38" s="66">
        <f ca="1">+AA36-AA38</f>
        <v>2466.2179999999989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Carini Lucia</v>
      </c>
      <c r="P39" s="374" t="str">
        <f>+IDCard</f>
        <v>136555A</v>
      </c>
      <c r="Q39" s="375" t="str">
        <f>+designation</f>
        <v>2. Dental Surgeon</v>
      </c>
      <c r="R39" s="376" t="s">
        <v>156</v>
      </c>
      <c r="S39" s="377">
        <f ca="1">+S40+S43+S42+S44+S45+S46+S41</f>
        <v>4170.529999999997</v>
      </c>
      <c r="T39" s="378" t="str">
        <f>+FS4_Status</f>
        <v>PAR2</v>
      </c>
      <c r="U39" s="572" t="str">
        <f ca="1">INDEX(INDAT,MATCH(O41,(INDIRECT(("months"),TRUE)),0),26)</f>
        <v>FT_RED</v>
      </c>
      <c r="V39" s="379" t="str">
        <f ca="1">INDEX(INDAT,MATCH(O41,(INDIRECT(("months"),TRUE)),0),25)</f>
        <v>D</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21</v>
      </c>
      <c r="R40" s="381" t="s">
        <v>94</v>
      </c>
      <c r="S40" s="382">
        <f ca="1">INDEX(PYRL_Summary,MATCH(O41,months,0),7)</f>
        <v>4106.9209999999966</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559.29999999999995</v>
      </c>
      <c r="U41" s="372">
        <f ca="1">INDEX(PYRL_Summary,MATCH(O41,months,0),22)</f>
        <v>279.64999999999998</v>
      </c>
      <c r="V41" s="373">
        <f ca="1">INDEX(PYRL_Summary,MATCH(O41,months,0),23)</f>
        <v>279.64999999999998</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8.4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2018002</v>
      </c>
      <c r="P43" s="365" t="s">
        <v>172</v>
      </c>
      <c r="Q43" s="365"/>
      <c r="R43" s="366"/>
      <c r="S43" s="367">
        <f ca="1">INDEX(PYRL_Summary,MATCH(O41,months,0),11)</f>
        <v>63.609000000000002</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598</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MT47VALL22013000000040023484029</v>
      </c>
      <c r="U45" s="890"/>
      <c r="V45" s="891"/>
      <c r="W45" s="73" t="s">
        <v>655</v>
      </c>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3292.8799999999969</v>
      </c>
      <c r="V46" s="418"/>
      <c r="W46" s="66">
        <f ca="1">+U46-AC38</f>
        <v>826.66199999999799</v>
      </c>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-189</v>
      </c>
      <c r="R48" s="392" t="s">
        <v>188</v>
      </c>
      <c r="S48" s="393">
        <f ca="1">INDEX(PYRL_Summary,MATCH(O41,months,0),33)</f>
        <v>117.59999999999998</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Carini Lucia</v>
      </c>
      <c r="P49" s="394" t="str">
        <f>+IDCard</f>
        <v>136555A</v>
      </c>
      <c r="Q49" s="395" t="str">
        <f>+designation</f>
        <v>2. Dental Surgeon</v>
      </c>
      <c r="R49" s="396" t="s">
        <v>156</v>
      </c>
      <c r="S49" s="397">
        <f ca="1">+S50+S53+S52+S54+S55+S56+S51</f>
        <v>4106.9209999999966</v>
      </c>
      <c r="T49" s="431" t="str">
        <f>+FS4_Status</f>
        <v>PAR2</v>
      </c>
      <c r="U49" s="573" t="str">
        <f ca="1">INDEX(INDAT,MATCH(O51,(INDIRECT(("months"),TRUE)),0),26)</f>
        <v>FT_RED</v>
      </c>
      <c r="V49" s="432" t="str">
        <f ca="1">INDEX(INDAT,MATCH(O51,(INDIRECT(("months"),TRUE)),0),25)</f>
        <v>D</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21</v>
      </c>
      <c r="R50" s="398" t="s">
        <v>94</v>
      </c>
      <c r="S50" s="399">
        <f ca="1">INDEX(PYRL_Summary,MATCH(O51,months,0),7)</f>
        <v>4106.9209999999966</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447.44</v>
      </c>
      <c r="U51" s="358">
        <f ca="1">INDEX(PYRL_Summary,MATCH(O51,months,0),22)</f>
        <v>223.72</v>
      </c>
      <c r="V51" s="359">
        <f ca="1">INDEX(PYRL_Summary,MATCH(O51,months,0),23)</f>
        <v>223.72</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6.72</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2018002</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582</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MT47VALL22013000000040023484029</v>
      </c>
      <c r="U55" s="890"/>
      <c r="V55" s="891"/>
    </row>
    <row r="56" spans="1:37" ht="16.5" customHeight="1" thickBot="1" x14ac:dyDescent="0.3">
      <c r="E56" s="116" t="s">
        <v>215</v>
      </c>
      <c r="F56" s="115" t="str">
        <f>INDEX([1]!empdata,MATCH(ID,[1]!empid,0),17)</f>
        <v>MT47VALL22013000000040023484029</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3301.2009999999964</v>
      </c>
      <c r="V56" s="418"/>
    </row>
    <row r="57" spans="1:37" ht="26.25" customHeight="1" thickBot="1" x14ac:dyDescent="0.3">
      <c r="E57" s="116" t="s">
        <v>216</v>
      </c>
      <c r="F57" s="340" t="str">
        <f>INDEX([1]!empdata,MATCH(ID,[1]!empid,0),12)</f>
        <v>luciacarini@mediatrixmalta.com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32625</v>
      </c>
      <c r="G58" s="56"/>
      <c r="H58" s="63"/>
      <c r="N58" s="406">
        <f ca="1">INDEX(PYRL_Summary,MATCH(O51,months,0),4)</f>
        <v>4</v>
      </c>
      <c r="O58" s="407" t="s">
        <v>187</v>
      </c>
      <c r="P58" s="408">
        <f>+O41</f>
        <v>46082</v>
      </c>
      <c r="Q58" s="409">
        <f ca="1">INDEX(PYRL_Summary,MATCH(P58,months,0),31)</f>
        <v>-273</v>
      </c>
      <c r="R58" s="410" t="s">
        <v>188</v>
      </c>
      <c r="S58" s="411">
        <f ca="1">INDEX(PYRL_Summary,MATCH(O51,months,0),33)</f>
        <v>117.59999999999998</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42037</v>
      </c>
      <c r="G59" s="56"/>
      <c r="H59" s="63"/>
      <c r="N59" s="386">
        <f ca="1">IF(OR(INDEX(PYRL_Summary,MATCH(O61,months,0),28)="pt",INDEX(PYRL_Summary,MATCH(O61,months,0),28)="pt_casual"),0,IF(N62-N61&gt;=1,1,0))</f>
        <v>1</v>
      </c>
      <c r="O59" s="894" t="str">
        <f>Surname&amp;" "&amp;Name</f>
        <v>Carini Lucia</v>
      </c>
      <c r="P59" s="374" t="str">
        <f>+IDCard</f>
        <v>136555A</v>
      </c>
      <c r="Q59" s="375" t="str">
        <f>+designation</f>
        <v>2. Dental Surgeon</v>
      </c>
      <c r="R59" s="376" t="s">
        <v>156</v>
      </c>
      <c r="S59" s="377">
        <f ca="1">+S60+S63+S62+S64+S65+S66+S61</f>
        <v>4106.9209999999966</v>
      </c>
      <c r="T59" s="378" t="str">
        <f>+FS4_Status</f>
        <v>PAR2</v>
      </c>
      <c r="U59" s="572" t="str">
        <f ca="1">INDEX(INDAT,MATCH(O61,(INDIRECT(("months"),TRUE)),0),26)</f>
        <v>FT_RED</v>
      </c>
      <c r="V59" s="379" t="str">
        <f ca="1">INDEX(INDAT,MATCH(O61,(INDIRECT(("months"),TRUE)),0),25)</f>
        <v>D</v>
      </c>
      <c r="W59" s="422">
        <f>+$O$8</f>
        <v>46143</v>
      </c>
      <c r="X59" s="423"/>
      <c r="Y59" s="423"/>
      <c r="Z59" s="73"/>
      <c r="AA59" s="73"/>
    </row>
    <row r="60" spans="1:37" ht="20.25" customHeight="1" thickBot="1" x14ac:dyDescent="0.3">
      <c r="E60" s="116" t="s">
        <v>219</v>
      </c>
      <c r="F60" s="115" t="str">
        <f>INDEX([1]!empdata,MATCH(ID,[1]!empid,0),8)</f>
        <v>2. Dental Surgeon</v>
      </c>
      <c r="G60" s="56"/>
      <c r="H60" s="63"/>
      <c r="N60" s="387">
        <f ca="1">IF(AND(OR((INDEX(PYRL_Summary,MATCH(O61,months,0),28))="PT",( INDEX(PYRL_Summary,MATCH(O61,months,0),28))="PT_casual" ),(N62-N61&gt;=1)),1,0)</f>
        <v>0</v>
      </c>
      <c r="O60" s="895"/>
      <c r="P60" s="416" t="s">
        <v>161</v>
      </c>
      <c r="Q60" s="380">
        <f ca="1">INDEX(PYRL_Summary,MATCH(O61,months,0),5)</f>
        <v>21</v>
      </c>
      <c r="R60" s="381" t="s">
        <v>94</v>
      </c>
      <c r="S60" s="382">
        <f ca="1">INDEX(PYRL_Summary,MATCH(O61,months,0),7)</f>
        <v>4106.9209999999966</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FT_RED</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447.44</v>
      </c>
      <c r="U61" s="372">
        <f ca="1">INDEX(PYRL_Summary,MATCH(O61,months,0),22)</f>
        <v>223.72</v>
      </c>
      <c r="V61" s="373">
        <f ca="1">INDEX(PYRL_Summary,MATCH(O61,months,0),23)</f>
        <v>223.72</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PAR2</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6.72</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2018002</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582</v>
      </c>
      <c r="X64" s="577"/>
    </row>
    <row r="65" spans="5:37" ht="15.75" customHeight="1" thickBot="1" x14ac:dyDescent="0.3">
      <c r="E65" s="925" t="s">
        <v>224</v>
      </c>
      <c r="F65" s="926"/>
      <c r="G65" s="103">
        <f ca="1">+Med_Tot</f>
        <v>49552.124999999956</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MT47VALL22013000000040023484029</v>
      </c>
      <c r="U65" s="890"/>
      <c r="V65" s="891"/>
    </row>
    <row r="66" spans="5:37" ht="16.5" customHeight="1" thickBot="1" x14ac:dyDescent="0.3">
      <c r="E66" s="952" t="s">
        <v>226</v>
      </c>
      <c r="F66" s="953"/>
      <c r="G66" s="112">
        <f ca="1">+PREVFS3+Med_Tot</f>
        <v>49552.124999999956</v>
      </c>
      <c r="H66" s="114">
        <f ca="1">IF(grossyearly&lt;F68,1,IF(grossyearly&lt;F69,2,IF(grossyearly&lt;F70,3,IF(grossyearly&lt;F71,4,5))))</f>
        <v>3</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3301.2009999999964</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PAR2max1</v>
      </c>
      <c r="F68" s="66">
        <f>+VLOOKUP(E68,SStable,4,)</f>
        <v>18500</v>
      </c>
      <c r="G68" s="109">
        <f>+VLOOKUP(E68,SStable,5,)</f>
        <v>0</v>
      </c>
      <c r="H68" s="104">
        <f>+VLOOKUP(E68,SStable,6,)</f>
        <v>0</v>
      </c>
      <c r="N68" s="388">
        <f ca="1">INDEX(PYRL_Summary,MATCH(O61,months,0),4)</f>
        <v>4</v>
      </c>
      <c r="O68" s="389" t="s">
        <v>187</v>
      </c>
      <c r="P68" s="390">
        <f>+O51</f>
        <v>46113</v>
      </c>
      <c r="Q68" s="391">
        <f ca="1">INDEX(PYRL_Summary,MATCH(P68,months,0),31)</f>
        <v>-357</v>
      </c>
      <c r="R68" s="392" t="s">
        <v>188</v>
      </c>
      <c r="S68" s="393">
        <f ca="1">INDEX(PYRL_Summary,MATCH(O61,months,0),33)</f>
        <v>117.59999999999998</v>
      </c>
      <c r="T68" s="425" t="str">
        <f>+Clinic_add</f>
        <v>7,  Mediatrix, Sanctuary Str. Zabbar ZBR1010
8, Mediatrix, Guze Duca Str., Qormi QRM9088</v>
      </c>
      <c r="U68" s="426"/>
      <c r="V68" s="427" t="s">
        <v>189</v>
      </c>
    </row>
    <row r="69" spans="5:37" ht="27" customHeight="1" thickBot="1" x14ac:dyDescent="0.3">
      <c r="E69" s="80" t="str">
        <f>CONCATENATE(FS4_Status,"max",2)</f>
        <v>PAR2max2</v>
      </c>
      <c r="F69" s="66">
        <f>+VLOOKUP(E69,SStable,4,)</f>
        <v>25500</v>
      </c>
      <c r="G69" s="109">
        <f>+VLOOKUP(E69,SStable,5,)</f>
        <v>0.15</v>
      </c>
      <c r="H69" s="104">
        <f>+VLOOKUP(E69,SStable,6,)</f>
        <v>2775</v>
      </c>
      <c r="N69" s="403">
        <f ca="1">IF(OR(INDEX(PYRL_Summary,MATCH(O71,months,0),28)="pt",INDEX(PYRL_Summary,MATCH(O71,months,0),28)="pt_casual"),0,IF(N72-N71&gt;=1,1,0))</f>
        <v>1</v>
      </c>
      <c r="O69" s="908" t="str">
        <f>Surname&amp;" "&amp;Name</f>
        <v>Carini Lucia</v>
      </c>
      <c r="P69" s="394" t="str">
        <f>+IDCard</f>
        <v>136555A</v>
      </c>
      <c r="Q69" s="395" t="str">
        <f>+designation</f>
        <v>2. Dental Surgeon</v>
      </c>
      <c r="R69" s="396" t="s">
        <v>156</v>
      </c>
      <c r="S69" s="397">
        <f ca="1">+S70+S73+S72+S74+S75+S76+S71</f>
        <v>4177.8484999999964</v>
      </c>
      <c r="T69" s="431" t="str">
        <f>+FS4_Status</f>
        <v>PAR2</v>
      </c>
      <c r="U69" s="573" t="str">
        <f ca="1">INDEX(INDAT,MATCH(O71,(INDIRECT(("months"),TRUE)),0),26)</f>
        <v>FT_RED</v>
      </c>
      <c r="V69" s="432" t="str">
        <f ca="1">INDEX(INDAT,MATCH(O71,(INDIRECT(("months"),TRUE)),0),25)</f>
        <v>D</v>
      </c>
      <c r="W69" s="412">
        <f>+$O$9</f>
        <v>46174</v>
      </c>
      <c r="X69" s="424"/>
      <c r="Y69" s="424"/>
      <c r="Z69" s="73"/>
      <c r="AA69" s="73"/>
    </row>
    <row r="70" spans="5:37" ht="20.25" customHeight="1" thickBot="1" x14ac:dyDescent="0.3">
      <c r="E70" s="80" t="str">
        <f>CONCATENATE(FS4_Status,"max",3)</f>
        <v>PAR2max3</v>
      </c>
      <c r="F70" s="66">
        <f>+VLOOKUP(E70,SStable,4,)</f>
        <v>60000</v>
      </c>
      <c r="G70" s="109">
        <f>+VLOOKUP(E70,SStable,5,)</f>
        <v>0.25</v>
      </c>
      <c r="H70" s="104">
        <f>+VLOOKUP(E70,SStable,6,)</f>
        <v>5325</v>
      </c>
      <c r="N70" s="404">
        <f ca="1">IF(AND(OR((INDEX(PYRL_Summary,MATCH(O71,months,0),28))="PT",( INDEX(PYRL_Summary,MATCH(O71,months,0),28))="PT_casual" ),(N72-N71&gt;=1)),1,0)</f>
        <v>0</v>
      </c>
      <c r="O70" s="909"/>
      <c r="P70" s="415" t="s">
        <v>161</v>
      </c>
      <c r="Q70" s="414">
        <f ca="1">INDEX(PYRL_Summary,MATCH(O71,months,0),5)</f>
        <v>21</v>
      </c>
      <c r="R70" s="398" t="s">
        <v>94</v>
      </c>
      <c r="S70" s="399">
        <f ca="1">INDEX(PYRL_Summary,MATCH(O71,months,0),7)</f>
        <v>4106.9209999999966</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PAR2max4</v>
      </c>
      <c r="F71" s="66">
        <f>+VLOOKUP(E71,SStable,4,)</f>
        <v>150000</v>
      </c>
      <c r="G71" s="109">
        <f>+VLOOKUP(E71,SStable,5,)</f>
        <v>0.35</v>
      </c>
      <c r="H71" s="104">
        <f>+VLOOKUP(E71,SStable,6,)</f>
        <v>11325</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559.29999999999995</v>
      </c>
      <c r="U71" s="358">
        <f ca="1">INDEX(PYRL_Summary,MATCH(O71,months,0),22)</f>
        <v>279.64999999999998</v>
      </c>
      <c r="V71" s="359">
        <f ca="1">INDEX(PYRL_Summary,MATCH(O71,months,0),23)</f>
        <v>279.64999999999998</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PAR2max5</v>
      </c>
      <c r="F72" s="66" t="s">
        <v>230</v>
      </c>
      <c r="G72" s="109">
        <f>+VLOOKUP(E72,SStable,5,)</f>
        <v>0</v>
      </c>
      <c r="H72" s="104">
        <f>+VLOOKUP(E72,SStable,6,)</f>
        <v>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8.4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2018002</v>
      </c>
      <c r="P73" s="195" t="s">
        <v>172</v>
      </c>
      <c r="Q73" s="195"/>
      <c r="R73" s="194"/>
      <c r="S73" s="193">
        <f ca="1">INDEX(PYRL_Summary,MATCH(O71,months,0),11)</f>
        <v>70.927499999999995</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600</v>
      </c>
      <c r="X74" s="577"/>
    </row>
    <row r="75" spans="5:37" ht="15.75" customHeight="1" thickBot="1" x14ac:dyDescent="0.3">
      <c r="E75" s="293"/>
      <c r="F75" s="294" t="s">
        <v>130</v>
      </c>
      <c r="G75" s="295">
        <f ca="1">IF(AND(Timer="pt",grossyearly&lt;10000),+ptrate,IF(grossyearly&lt;$F$68,$G$68,IF(grossyearly&lt;$F$69,$G$69,IF(grossyearly&lt;$F$70,$G$70,IF(grossyearly&lt;$F$71,$G$71,$G$72)))))</f>
        <v>0.25</v>
      </c>
      <c r="H75" s="296">
        <f ca="1">IF(grossyearly&lt;$F$68,$H$68,IF(grossyearly&lt;$F$69,$H$69,IF(grossyearly&lt;$F$70,$H$70,IF(grossyearly&lt;$F$71,$H$71,$H$72))))</f>
        <v>5325</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MT47VALL22013000000040023484029</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3298.1984999999963</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-462</v>
      </c>
      <c r="R78" s="410" t="s">
        <v>188</v>
      </c>
      <c r="S78" s="411">
        <f ca="1">INDEX(PYRL_Summary,MATCH(O71,months,0),33)</f>
        <v>117.59999999999998</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Carini Lucia</v>
      </c>
      <c r="P79" s="374" t="str">
        <f>+IDCard</f>
        <v>136555A</v>
      </c>
      <c r="Q79" s="375" t="str">
        <f>+designation</f>
        <v>2. Dental Surgeon</v>
      </c>
      <c r="R79" s="376" t="s">
        <v>156</v>
      </c>
      <c r="S79" s="377">
        <f ca="1">+S80+S83+S82+S84+S85+S86+S81</f>
        <v>4106.9209999999966</v>
      </c>
      <c r="T79" s="378" t="str">
        <f>+FS4_Status</f>
        <v>PAR2</v>
      </c>
      <c r="U79" s="572" t="str">
        <f ca="1">INDEX(INDAT,MATCH(O81,(INDIRECT(("months"),TRUE)),0),26)</f>
        <v>FT_RED</v>
      </c>
      <c r="V79" s="379" t="str">
        <f ca="1">INDEX(INDAT,MATCH(O81,(INDIRECT(("months"),TRUE)),0),25)</f>
        <v>D</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21</v>
      </c>
      <c r="R80" s="381" t="s">
        <v>94</v>
      </c>
      <c r="S80" s="382">
        <f ca="1">INDEX(PYRL_Summary,MATCH(O81,months,0),7)</f>
        <v>4106.9209999999966</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447.44</v>
      </c>
      <c r="U81" s="372">
        <f ca="1">INDEX(PYRL_Summary,MATCH(O81,months,0),22)</f>
        <v>223.72</v>
      </c>
      <c r="V81" s="373">
        <f ca="1">INDEX(PYRL_Summary,MATCH(O81,months,0),23)</f>
        <v>223.72</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6.72</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2018002</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582</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MT47VALL22013000000040023484029</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3301.2009999999964</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117.59999999999998</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Carini Lucia</v>
      </c>
      <c r="P89" s="394" t="str">
        <f>+IDCard</f>
        <v>136555A</v>
      </c>
      <c r="Q89" s="395" t="str">
        <f>+designation</f>
        <v>2. Dental Surgeon</v>
      </c>
      <c r="R89" s="396" t="s">
        <v>156</v>
      </c>
      <c r="S89" s="397">
        <f ca="1">+S90+S93+S92+S94+S95+S96+S91</f>
        <v>4106.9209999999966</v>
      </c>
      <c r="T89" s="431" t="str">
        <f>+FS4_Status</f>
        <v>PAR2</v>
      </c>
      <c r="U89" s="573" t="str">
        <f ca="1">INDEX(INDAT,MATCH(O91,(INDIRECT(("months"),TRUE)),0),26)</f>
        <v>FT_RED</v>
      </c>
      <c r="V89" s="432" t="str">
        <f ca="1">INDEX(INDAT,MATCH(O91,(INDIRECT(("months"),TRUE)),0),25)</f>
        <v>D</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21</v>
      </c>
      <c r="R90" s="398" t="s">
        <v>94</v>
      </c>
      <c r="S90" s="399">
        <f ca="1">INDEX(PYRL_Summary,MATCH(O91,months,0),7)</f>
        <v>4106.9209999999966</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559.29999999999995</v>
      </c>
      <c r="U91" s="358">
        <f ca="1">INDEX(PYRL_Summary,MATCH(O91,months,0),22)</f>
        <v>279.64999999999998</v>
      </c>
      <c r="V91" s="359">
        <f ca="1">INDEX(PYRL_Summary,MATCH(O91,months,0),23)</f>
        <v>279.64999999999998</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8.4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2018002</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582</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MT47VALL22013000000040023484029</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3245.2709999999965</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-630</v>
      </c>
      <c r="R98" s="410" t="s">
        <v>188</v>
      </c>
      <c r="S98" s="411">
        <f ca="1">INDEX(PYRL_Summary,MATCH(O91,months,0),33)</f>
        <v>117.59999999999998</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Carini Lucia</v>
      </c>
      <c r="P99" s="374" t="str">
        <f>+IDCard</f>
        <v>136555A</v>
      </c>
      <c r="Q99" s="375" t="str">
        <f>+designation</f>
        <v>2. Dental Surgeon</v>
      </c>
      <c r="R99" s="376" t="s">
        <v>156</v>
      </c>
      <c r="S99" s="377">
        <f ca="1">+S100+S103+S102+S104+S105+S106+S101</f>
        <v>4170.529999999997</v>
      </c>
      <c r="T99" s="378" t="str">
        <f>+FS4_Status</f>
        <v>PAR2</v>
      </c>
      <c r="U99" s="572" t="str">
        <f ca="1">INDEX(INDAT,MATCH(O101,(INDIRECT(("months"),TRUE)),0),26)</f>
        <v>FT_RED</v>
      </c>
      <c r="V99" s="379" t="str">
        <f ca="1">INDEX(INDAT,MATCH(O101,(INDIRECT(("months"),TRUE)),0),25)</f>
        <v>D</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21</v>
      </c>
      <c r="R100" s="381" t="s">
        <v>94</v>
      </c>
      <c r="S100" s="382">
        <f ca="1">INDEX(PYRL_Summary,MATCH(O101,months,0),7)</f>
        <v>4106.9209999999966</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447.44</v>
      </c>
      <c r="U101" s="372">
        <f ca="1">INDEX(PYRL_Summary,MATCH(O101,months,0),22)</f>
        <v>223.72</v>
      </c>
      <c r="V101" s="373">
        <f ca="1">INDEX(PYRL_Summary,MATCH(O101,months,0),23)</f>
        <v>223.72</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6.72</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2018002</v>
      </c>
      <c r="P103" s="365" t="s">
        <v>172</v>
      </c>
      <c r="Q103" s="365"/>
      <c r="R103" s="366"/>
      <c r="S103" s="367">
        <f ca="1">INDEX(PYRL_Summary,MATCH(O101,months,0),11)</f>
        <v>63.609000000000002</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598</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MT47VALL22013000000040023484029</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3348.8099999999968</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-695</v>
      </c>
      <c r="R108" s="392" t="s">
        <v>188</v>
      </c>
      <c r="S108" s="393">
        <f ca="1">INDEX(PYRL_Summary,MATCH(O101,months,0),33)</f>
        <v>117.59999999999998</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Carini Lucia</v>
      </c>
      <c r="P109" s="394" t="str">
        <f>+IDCard</f>
        <v>136555A</v>
      </c>
      <c r="Q109" s="395" t="str">
        <f>+designation</f>
        <v>2. Dental Surgeon</v>
      </c>
      <c r="R109" s="396" t="s">
        <v>156</v>
      </c>
      <c r="S109" s="397">
        <f ca="1">+S110+S113+S112+S114+S115+S116+S111</f>
        <v>4106.9209999999966</v>
      </c>
      <c r="T109" s="431" t="str">
        <f>+FS4_Status</f>
        <v>PAR2</v>
      </c>
      <c r="U109" s="573" t="str">
        <f ca="1">INDEX(INDAT,MATCH(W109,(INDIRECT(("months"),TRUE)),0),26)</f>
        <v>FT_RED</v>
      </c>
      <c r="V109" s="432" t="str">
        <f ca="1">INDEX(INDAT,MATCH(W109,(INDIRECT(("months"),TRUE)),0),25)</f>
        <v>D</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21</v>
      </c>
      <c r="R110" s="398" t="s">
        <v>94</v>
      </c>
      <c r="S110" s="399">
        <f ca="1">INDEX(PYRL_Summary,MATCH(W109,months,0),7)</f>
        <v>4106.9209999999966</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447.44</v>
      </c>
      <c r="U111" s="358">
        <f ca="1">INDEX(PYRL_Summary,MATCH(W109,months,0),22)</f>
        <v>223.72</v>
      </c>
      <c r="V111" s="359">
        <f ca="1">INDEX(PYRL_Summary,MATCH(W109,months,0),23)</f>
        <v>223.72</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6.72</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2018002</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582</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MT47VALL22013000000040023484029</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3301.2009999999964</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-779</v>
      </c>
      <c r="R118" s="410" t="s">
        <v>188</v>
      </c>
      <c r="S118" s="411">
        <f ca="1">INDEX(PYRL_Summary,MATCH(W109,months,0),33)</f>
        <v>117.59999999999998</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Carini Lucia</v>
      </c>
      <c r="P119" s="374" t="str">
        <f>+IDCard</f>
        <v>136555A</v>
      </c>
      <c r="Q119" s="375" t="str">
        <f>+designation</f>
        <v>2. Dental Surgeon</v>
      </c>
      <c r="R119" s="376" t="s">
        <v>156</v>
      </c>
      <c r="S119" s="377">
        <f ca="1">+S120+S123+S122+S124+S125+S126+S121</f>
        <v>4106.9209999999966</v>
      </c>
      <c r="T119" s="378" t="str">
        <f>+FS4_Status</f>
        <v>PAR2</v>
      </c>
      <c r="U119" s="572" t="str">
        <f ca="1">INDEX(INDAT,MATCH(W119,(INDIRECT(("months"),TRUE)),0),26)</f>
        <v>FT_RED</v>
      </c>
      <c r="V119" s="379" t="str">
        <f ca="1">INDEX(INDAT,MATCH(W119,(INDIRECT(("months"),TRUE)),0),25)</f>
        <v>D</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21</v>
      </c>
      <c r="R120" s="381" t="s">
        <v>94</v>
      </c>
      <c r="S120" s="382">
        <f ca="1">INDEX(PYRL_Summary,MATCH(W119,months,0),7)</f>
        <v>4106.9209999999966</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559.29999999999995</v>
      </c>
      <c r="U121" s="372">
        <f ca="1">INDEX(PYRL_Summary,MATCH(W119,months,0),22)</f>
        <v>279.64999999999998</v>
      </c>
      <c r="V121" s="373">
        <f ca="1">INDEX(PYRL_Summary,MATCH(W119,months,0),23)</f>
        <v>279.64999999999998</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8.4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2018002</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582</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MT47VALL22013000000040023484029</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3245.2709999999965</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-884</v>
      </c>
      <c r="R128" s="392" t="s">
        <v>188</v>
      </c>
      <c r="S128" s="393">
        <f ca="1">INDEX(PYRL_Summary,MATCH(W119,months,0),33)</f>
        <v>117.59999999999998</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Carini Lucia</v>
      </c>
      <c r="P129" s="394" t="str">
        <f>+IDCard</f>
        <v>136555A</v>
      </c>
      <c r="Q129" s="395" t="str">
        <f>+designation</f>
        <v>2. Dental Surgeon</v>
      </c>
      <c r="R129" s="396" t="s">
        <v>156</v>
      </c>
      <c r="S129" s="397">
        <f ca="1">+S130+S133+S132+S134+S135+S136+S131</f>
        <v>4177.8484999999964</v>
      </c>
      <c r="T129" s="431" t="str">
        <f>+FS4_Status</f>
        <v>PAR2</v>
      </c>
      <c r="U129" s="573" t="str">
        <f ca="1">INDEX(INDAT,MATCH(W129,(INDIRECT(("months"),TRUE)),0),26)</f>
        <v>FT_RED</v>
      </c>
      <c r="V129" s="432" t="str">
        <f ca="1">INDEX(INDAT,MATCH(W129,(INDIRECT(("months"),TRUE)),0),25)</f>
        <v>D</v>
      </c>
      <c r="W129" s="412">
        <f>+$O$131</f>
        <v>46357</v>
      </c>
      <c r="X129" s="424"/>
      <c r="Y129" s="424"/>
      <c r="Z129" s="73"/>
      <c r="AA129" s="73"/>
    </row>
    <row r="130" spans="14:37" ht="20.25" customHeight="1" thickBot="1" x14ac:dyDescent="0.3">
      <c r="N130" s="404"/>
      <c r="O130" s="909"/>
      <c r="P130" s="415" t="s">
        <v>161</v>
      </c>
      <c r="Q130" s="414">
        <f ca="1">INDEX(PYRL_Summary,MATCH(W129,months,0),5)</f>
        <v>21</v>
      </c>
      <c r="R130" s="398" t="s">
        <v>94</v>
      </c>
      <c r="S130" s="399">
        <f ca="1">INDEX(PYRL_Summary,MATCH(W129,months,0),7)</f>
        <v>4106.9209999999966</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447.44</v>
      </c>
      <c r="U131" s="358">
        <f ca="1">INDEX(PYRL_Summary,MATCH(W129,months,0),22)</f>
        <v>223.72</v>
      </c>
      <c r="V131" s="359">
        <f ca="1">INDEX(PYRL_Summary,MATCH(W129,months,0),23)</f>
        <v>223.72</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6.72</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2018002</v>
      </c>
      <c r="P133" s="195" t="s">
        <v>172</v>
      </c>
      <c r="Q133" s="195"/>
      <c r="R133" s="194"/>
      <c r="S133" s="193">
        <f ca="1">INDEX(PYRL_Summary,MATCH(W129,months,0),11)</f>
        <v>70.927499999999995</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600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MT47VALL22013000000040023484029</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3354.1284999999962</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-968</v>
      </c>
      <c r="R138" s="410" t="s">
        <v>188</v>
      </c>
      <c r="S138" s="411">
        <f ca="1">INDEX(PYRL_Summary,MATCH(W129,months,0),33)</f>
        <v>117.59999999999998</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580" priority="29">
      <formula>$P25=0</formula>
    </cfRule>
  </conditionalFormatting>
  <conditionalFormatting sqref="Q25:R25">
    <cfRule type="expression" dxfId="579" priority="28">
      <formula>$R25=0</formula>
    </cfRule>
  </conditionalFormatting>
  <conditionalFormatting sqref="S25">
    <cfRule type="expression" dxfId="578" priority="27">
      <formula>$S25=0</formula>
    </cfRule>
  </conditionalFormatting>
  <conditionalFormatting sqref="S26">
    <cfRule type="expression" dxfId="577" priority="25">
      <formula>$S$46&gt;0.01</formula>
    </cfRule>
    <cfRule type="expression" dxfId="576" priority="26">
      <formula>$S$46=0</formula>
    </cfRule>
  </conditionalFormatting>
  <conditionalFormatting sqref="T23 T33 T43 T53 T63 T73 T83 T93 T103 T113 T123 T133">
    <cfRule type="expression" dxfId="575" priority="24" stopIfTrue="1">
      <formula>"$R$23=0"""</formula>
    </cfRule>
  </conditionalFormatting>
  <conditionalFormatting sqref="O26:Q26">
    <cfRule type="expression" dxfId="574" priority="23">
      <formula>$Q$26=0</formula>
    </cfRule>
  </conditionalFormatting>
  <conditionalFormatting sqref="V23">
    <cfRule type="expression" dxfId="573" priority="22">
      <formula>$V$23=0</formula>
    </cfRule>
  </conditionalFormatting>
  <conditionalFormatting sqref="O35:P35">
    <cfRule type="expression" dxfId="572" priority="21">
      <formula>$P35=0</formula>
    </cfRule>
  </conditionalFormatting>
  <conditionalFormatting sqref="Q35:R35">
    <cfRule type="expression" dxfId="571" priority="20">
      <formula>$R35=0</formula>
    </cfRule>
  </conditionalFormatting>
  <conditionalFormatting sqref="S35">
    <cfRule type="expression" dxfId="570" priority="19">
      <formula>$S35=0</formula>
    </cfRule>
  </conditionalFormatting>
  <conditionalFormatting sqref="S36">
    <cfRule type="expression" dxfId="569" priority="17">
      <formula>$S$46&gt;0.01</formula>
    </cfRule>
    <cfRule type="expression" dxfId="568" priority="18">
      <formula>$S$46=0</formula>
    </cfRule>
  </conditionalFormatting>
  <conditionalFormatting sqref="O36:Q36">
    <cfRule type="expression" dxfId="567" priority="16">
      <formula>$Q$26=0</formula>
    </cfRule>
  </conditionalFormatting>
  <conditionalFormatting sqref="V33">
    <cfRule type="expression" dxfId="566" priority="15">
      <formula>$V$23=0</formula>
    </cfRule>
  </conditionalFormatting>
  <conditionalFormatting sqref="O45:P45 O65:P65 O85:P85 O105:P105 O125:P125">
    <cfRule type="expression" dxfId="565" priority="14">
      <formula>$P45=0</formula>
    </cfRule>
  </conditionalFormatting>
  <conditionalFormatting sqref="Q45:R45 Q65:R65 Q85:R85 Q105:R105 Q125:R125">
    <cfRule type="expression" dxfId="564" priority="13">
      <formula>$R45=0</formula>
    </cfRule>
  </conditionalFormatting>
  <conditionalFormatting sqref="S45 S65 S85 S105 S125">
    <cfRule type="expression" dxfId="563" priority="12">
      <formula>$S45=0</formula>
    </cfRule>
  </conditionalFormatting>
  <conditionalFormatting sqref="S46 S66 S86 S106 S126">
    <cfRule type="expression" dxfId="562" priority="10">
      <formula>$S$46&gt;0.01</formula>
    </cfRule>
    <cfRule type="expression" dxfId="561" priority="11">
      <formula>$S$46=0</formula>
    </cfRule>
  </conditionalFormatting>
  <conditionalFormatting sqref="O46:Q46 O66:Q66 O86:Q86 O106:Q106 O126:Q126">
    <cfRule type="expression" dxfId="560" priority="9">
      <formula>$Q$26=0</formula>
    </cfRule>
  </conditionalFormatting>
  <conditionalFormatting sqref="V43 V63 V83 V103 V123">
    <cfRule type="expression" dxfId="559" priority="8">
      <formula>$V$23=0</formula>
    </cfRule>
  </conditionalFormatting>
  <conditionalFormatting sqref="O55:P55 O75:P75 O95:P95 O115:P115 O135:P135">
    <cfRule type="expression" dxfId="558" priority="7">
      <formula>$P55=0</formula>
    </cfRule>
  </conditionalFormatting>
  <conditionalFormatting sqref="Q55:R55 Q75:R75 Q95:R95 Q115:R115 Q135:R135">
    <cfRule type="expression" dxfId="557" priority="6">
      <formula>$R55=0</formula>
    </cfRule>
  </conditionalFormatting>
  <conditionalFormatting sqref="S55 S75 S95 S115 S135">
    <cfRule type="expression" dxfId="556" priority="5">
      <formula>$S55=0</formula>
    </cfRule>
  </conditionalFormatting>
  <conditionalFormatting sqref="S56 S76 S96 S116 S136">
    <cfRule type="expression" dxfId="555" priority="3">
      <formula>$S$46&gt;0.01</formula>
    </cfRule>
    <cfRule type="expression" dxfId="554" priority="4">
      <formula>$S$46=0</formula>
    </cfRule>
  </conditionalFormatting>
  <conditionalFormatting sqref="O56:Q56 O76:Q76 O96:Q96 O116:Q116 O136:Q136">
    <cfRule type="expression" dxfId="553" priority="2">
      <formula>$Q$26=0</formula>
    </cfRule>
  </conditionalFormatting>
  <conditionalFormatting sqref="V53 V73 V93 V113 V133">
    <cfRule type="expression" dxfId="552" priority="1">
      <formula>$V$23=0</formula>
    </cfRule>
  </conditionalFormatting>
  <hyperlinks>
    <hyperlink ref="F57" r:id="rId1" display="drchrisgauci@gmail.com" xr:uid="{00000000-0004-0000-0400-000000000000}"/>
  </hyperlinks>
  <printOptions horizontalCentered="1"/>
  <pageMargins left="0.25" right="0.25" top="0.25" bottom="0.25" header="0.3" footer="0.3"/>
  <pageSetup paperSize="9"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599489"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599490"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599491"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599492"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599493"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599494"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599495"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599496"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599497"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599498"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599499"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599500"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599501"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4">
    <tabColor rgb="FF4472C4"/>
  </sheetPr>
  <dimension ref="A1:BJ149"/>
  <sheetViews>
    <sheetView topLeftCell="J22" workbookViewId="0">
      <selection activeCell="Y38" sqref="Y38"/>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KMizzi</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2024006</v>
      </c>
      <c r="O2" s="810" t="str">
        <f>CONCATENATE(LEFT(Name,1),Surname)</f>
        <v>KMizzi</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36.869999999999997</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37.000999999999998</v>
      </c>
      <c r="O4" s="213">
        <f>+DATA!A3</f>
        <v>46023</v>
      </c>
      <c r="P4" s="219">
        <f ca="1">+INDIRECT("[EMPINFO.xlsm]"&amp;$O$2&amp;"!G4")</f>
        <v>4</v>
      </c>
      <c r="Q4" s="215">
        <f ca="1">IF(AZ4="active",INDIRECT("[EMPINFO.xlsm]"&amp;$O$2&amp;"!H4"),0)</f>
        <v>40</v>
      </c>
      <c r="R4" s="239">
        <f ca="1">IF(AZ4&lt;&gt;"active",0,N3+COLA)</f>
        <v>37.000999999999998</v>
      </c>
      <c r="S4" s="216">
        <f t="shared" ref="S4:S15" ca="1" si="1">+Q4*R4*4.33333333333333*AO4/AX4</f>
        <v>6413.5066666666626</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6413.5066666666626</v>
      </c>
      <c r="AA4" s="803">
        <f t="shared" ref="AA4:AA15" ca="1" si="7">IF(OR(AN4="PT",AN4="PT_Casual"),TRUNC((Z4*PT_Rate),0),(TRUNC((Z4*BB4)-(BC4/12),0)))</f>
        <v>1461</v>
      </c>
      <c r="AB4" s="218">
        <f ca="1">+INDIRECT("[EMPINFO.xlsm]"&amp;$O$2&amp;"!s4")</f>
        <v>0</v>
      </c>
      <c r="AC4" s="292">
        <v>1.5</v>
      </c>
      <c r="AD4" s="218">
        <f t="shared" ref="AD4:AD15" ca="1" si="8">+AB4*(R4*AC4)</f>
        <v>0</v>
      </c>
      <c r="AE4" s="220">
        <f t="shared" ref="AE4:AE15" ca="1" si="9">+TRUNC((AD4*0.15),0)</f>
        <v>0</v>
      </c>
      <c r="AF4" s="218">
        <f t="shared" ref="AF4:AF15" ca="1" si="10">+AA4+AE4</f>
        <v>1461</v>
      </c>
      <c r="AG4" s="803">
        <f t="shared" ref="AG4:AG15" ca="1" si="11">+R4*Q4</f>
        <v>1480.04</v>
      </c>
      <c r="AH4" s="218">
        <f t="shared" ref="AH4:AH15" ca="1" si="12">ROUND(IF(AN4="",0,IF(OR(AN4="PT",AN4="PT_Casual"),0,IF(AM4="B",ROUND(SSCBemployermultiplier*P4,2),IF(AM4="c",SOCSECCRATE*AG4*P4,IF(AM4="D",ROUND(socsecrateD*P4,2)))))),2)</f>
        <v>223.72</v>
      </c>
      <c r="AI4" s="803">
        <f t="shared" ref="AI4:AI15" ca="1" si="13">ROUND(IF(AN4="",0,IF(OR(AN4="PT",AN4="PT_Casual"),0,IF(AM4="B",ROUND(SSCBemployermultiplier*P4,2),IF(AM4="c",SOCSECCRATE*AG4*P4,IF(AM4="D",ROUND(socsecrateD*P4,2)))))),2)</f>
        <v>223.72</v>
      </c>
      <c r="AJ4" s="218">
        <f t="shared" ref="AJ4:AJ16" ca="1" si="14">+AH4+AI4</f>
        <v>447.44</v>
      </c>
      <c r="AK4" s="803">
        <f t="shared" ref="AK4:AK15" ca="1" si="15">ROUND(IF(AN4="",0,IF(OR(AN4="PT",AN4="PT_Casual"),0,IF(AM4="B",SSCBmlfmultiplier*P4,IF(AM4="c",SSCCmlfmultiplier*P4*AG4,IF(AM4="D",SSCDmlfmultiplier*P4))))),2)</f>
        <v>6.72</v>
      </c>
      <c r="AL4" s="218">
        <f ca="1">+Z4+AH4+AK4</f>
        <v>6643.9466666666631</v>
      </c>
      <c r="AM4" s="290" t="str">
        <f t="shared" ref="AM4:AM15" ca="1" si="16">IF(AZ4="Active",IF(OR(AN4="PT",AN4="PT_Casual"),0,(IF(AG4&lt;SSCcatBMAX,"B",(IF(AG4&lt;SSCcatCMAX,"C","D"))))),0)</f>
        <v>D</v>
      </c>
      <c r="AN4" s="291" t="str">
        <f t="shared" ref="AN4:AN15" ca="1" si="17">IF(AZ4="active",+Timer,"")</f>
        <v>FT</v>
      </c>
      <c r="AO4" s="223">
        <f ca="1">+INDIRECT("[EMPINFO.xlsm]"&amp;$O$2&amp;"!t4")</f>
        <v>31</v>
      </c>
      <c r="AP4" s="226">
        <f ca="1">+INDIRECT("[EMPINFO.xlsm]"&amp;$O$2&amp;"!o4")</f>
        <v>-200</v>
      </c>
      <c r="AQ4" s="840">
        <f ca="1">+INDIRECT("[EMPINFO.xlsm]"&amp;$O$2&amp;"!p4")</f>
        <v>-200</v>
      </c>
      <c r="AR4" s="226">
        <f ca="1">+INDIRECT("[EMPINFO.xlsm]"&amp;$O$2&amp;"!j4")</f>
        <v>0</v>
      </c>
      <c r="AS4" s="840">
        <f ca="1">+INDIRECT("[EMPINFO.xlsm]"&amp;$O$2&amp;"!k4")</f>
        <v>223.99999999999997</v>
      </c>
      <c r="AT4" s="226">
        <f ca="1">+INDIRECT("[EMPINFO.xlsm]"&amp;$O$2&amp;"!m4")</f>
        <v>0</v>
      </c>
      <c r="AU4" s="844">
        <f ca="1">+INDIRECT("[EMPINFO.xlsm]"&amp;$O$2&amp;"!n4")</f>
        <v>240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0.35</v>
      </c>
      <c r="BC4" s="289">
        <f t="shared" ref="BC4:BC15" ca="1" si="21">IF((Z4*12)&lt;$F$68,$H$68,IF((Z4*12)&lt;$F$69,$H$69,IF((Z4*12)&lt;$F$70,$H$70,IF((Z4*12)&lt;$F$71,$H$71,$H$72))))</f>
        <v>9400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37.000999999999998</v>
      </c>
      <c r="O5" s="213">
        <f>+DATA!A4</f>
        <v>46054</v>
      </c>
      <c r="P5" s="219">
        <f ca="1">+INDIRECT("[EMPINFO.xlsm]"&amp;$O$2&amp;"!G5")</f>
        <v>4</v>
      </c>
      <c r="Q5" s="215">
        <f ca="1">IF(AZ5="active",INDIRECT("[EMPINFO.xlsm]"&amp;$O$2&amp;"!H5"),0)</f>
        <v>40</v>
      </c>
      <c r="R5" s="239">
        <f t="shared" ref="R5:R15" ca="1" si="22">+R4</f>
        <v>37.000999999999998</v>
      </c>
      <c r="S5" s="216">
        <f t="shared" ca="1" si="1"/>
        <v>6413.5066666666626</v>
      </c>
      <c r="T5" s="220">
        <f t="shared" ca="1" si="2"/>
        <v>0</v>
      </c>
      <c r="U5" s="218">
        <f t="shared" ca="1" si="3"/>
        <v>0</v>
      </c>
      <c r="V5" s="220">
        <f ca="1">+feboth*febhrrt</f>
        <v>0</v>
      </c>
      <c r="W5" s="201"/>
      <c r="X5" s="218">
        <f t="shared" ca="1" si="4"/>
        <v>0</v>
      </c>
      <c r="Y5" s="803">
        <f t="shared" ca="1" si="5"/>
        <v>0</v>
      </c>
      <c r="Z5" s="218">
        <f t="shared" ca="1" si="6"/>
        <v>6413.5066666666626</v>
      </c>
      <c r="AA5" s="803">
        <f t="shared" ca="1" si="7"/>
        <v>1461</v>
      </c>
      <c r="AB5" s="218">
        <f ca="1">+INDIRECT("[EMPINFO.xlsm]"&amp;$O$2&amp;"!s5")</f>
        <v>0</v>
      </c>
      <c r="AC5" s="292">
        <v>1.5</v>
      </c>
      <c r="AD5" s="218">
        <f t="shared" ca="1" si="8"/>
        <v>0</v>
      </c>
      <c r="AE5" s="220">
        <f t="shared" ca="1" si="9"/>
        <v>0</v>
      </c>
      <c r="AF5" s="218">
        <f t="shared" ca="1" si="10"/>
        <v>1461</v>
      </c>
      <c r="AG5" s="803">
        <f t="shared" ca="1" si="11"/>
        <v>1480.04</v>
      </c>
      <c r="AH5" s="218">
        <f t="shared" ca="1" si="12"/>
        <v>223.72</v>
      </c>
      <c r="AI5" s="803">
        <f t="shared" ca="1" si="13"/>
        <v>223.72</v>
      </c>
      <c r="AJ5" s="218">
        <f t="shared" ca="1" si="14"/>
        <v>447.44</v>
      </c>
      <c r="AK5" s="803">
        <f t="shared" ca="1" si="15"/>
        <v>6.72</v>
      </c>
      <c r="AL5" s="218">
        <f t="shared" ref="AL5:AL15" ca="1" si="23">+Z5+AI5+AK5</f>
        <v>6643.9466666666631</v>
      </c>
      <c r="AM5" s="290" t="str">
        <f t="shared" ca="1" si="16"/>
        <v>D</v>
      </c>
      <c r="AN5" s="291" t="str">
        <f t="shared" ca="1" si="17"/>
        <v>FT</v>
      </c>
      <c r="AO5" s="223">
        <f ca="1">+INDIRECT("[EMPINFO.xlsm]"&amp;$O$2&amp;"!t5")</f>
        <v>28</v>
      </c>
      <c r="AP5" s="226">
        <f ca="1">+INDIRECT("[EMPINFO.xlsm]"&amp;$O$2&amp;"!o5")</f>
        <v>-160</v>
      </c>
      <c r="AQ5" s="840">
        <f ca="1">+INDIRECT("[EMPINFO.xlsm]"&amp;$O$2&amp;"!p5")</f>
        <v>-360</v>
      </c>
      <c r="AR5" s="226">
        <f ca="1">+INDIRECT("[EMPINFO.xlsm]"&amp;$O$2&amp;"!j5")</f>
        <v>0</v>
      </c>
      <c r="AS5" s="840">
        <f ca="1">+INDIRECT("[EMPINFO.xlsm]"&amp;$O$2&amp;"!k5")</f>
        <v>223.99999999999997</v>
      </c>
      <c r="AT5" s="226">
        <f ca="1">+INDIRECT("[EMPINFO.xlsm]"&amp;$O$2&amp;"!m5")</f>
        <v>0</v>
      </c>
      <c r="AU5" s="844">
        <f ca="1">+INDIRECT("[EMPINFO.xlsm]"&amp;$O$2&amp;"!n5")</f>
        <v>240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0.35</v>
      </c>
      <c r="BC5" s="289">
        <f t="shared" ca="1" si="21"/>
        <v>9400</v>
      </c>
      <c r="BD5" s="255"/>
      <c r="BE5" s="205"/>
      <c r="BG5" s="27"/>
      <c r="BH5" s="28"/>
    </row>
    <row r="6" spans="1:62" ht="15.75" customHeight="1" thickBot="1" x14ac:dyDescent="0.3">
      <c r="A6" s="54"/>
      <c r="B6" s="2" t="s">
        <v>135</v>
      </c>
      <c r="C6" s="921" t="str">
        <f>INDEX([1]!empdata,MATCH(ID,[1]!empid,0),3)</f>
        <v>Mizzi</v>
      </c>
      <c r="D6" s="922"/>
      <c r="E6" s="922"/>
      <c r="F6" s="886"/>
      <c r="I6" s="312" t="s">
        <v>136</v>
      </c>
      <c r="L6" s="101"/>
      <c r="M6" s="303"/>
      <c r="N6" s="211">
        <f t="shared" ca="1" si="0"/>
        <v>37.000999999999998</v>
      </c>
      <c r="O6" s="213">
        <f>+DATA!A5</f>
        <v>46082</v>
      </c>
      <c r="P6" s="219">
        <f ca="1">+INDIRECT("[EMPINFO.xlsm]"&amp;$O$2&amp;"!G6")</f>
        <v>5</v>
      </c>
      <c r="Q6" s="215">
        <f ca="1">IF(AZ6="active",INDIRECT("[EMPINFO.xlsm]"&amp;$O$2&amp;"!H6"),0)</f>
        <v>40</v>
      </c>
      <c r="R6" s="239">
        <f t="shared" ca="1" si="22"/>
        <v>37.000999999999998</v>
      </c>
      <c r="S6" s="216">
        <f t="shared" ca="1" si="1"/>
        <v>6413.5066666666626</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6534.6666666666624</v>
      </c>
      <c r="AA6" s="803">
        <f t="shared" ca="1" si="7"/>
        <v>1503</v>
      </c>
      <c r="AB6" s="218">
        <f ca="1">+INDIRECT("[EMPINFO.xlsm]"&amp;$O$2&amp;"!s6")</f>
        <v>0</v>
      </c>
      <c r="AC6" s="292">
        <v>1.5</v>
      </c>
      <c r="AD6" s="218">
        <f t="shared" ca="1" si="8"/>
        <v>0</v>
      </c>
      <c r="AE6" s="220">
        <f t="shared" ca="1" si="9"/>
        <v>0</v>
      </c>
      <c r="AF6" s="218">
        <f t="shared" ca="1" si="10"/>
        <v>1503</v>
      </c>
      <c r="AG6" s="803">
        <f t="shared" ca="1" si="11"/>
        <v>1480.04</v>
      </c>
      <c r="AH6" s="218">
        <f t="shared" ca="1" si="12"/>
        <v>279.64999999999998</v>
      </c>
      <c r="AI6" s="803">
        <f t="shared" ca="1" si="13"/>
        <v>279.64999999999998</v>
      </c>
      <c r="AJ6" s="218">
        <f t="shared" ca="1" si="14"/>
        <v>559.29999999999995</v>
      </c>
      <c r="AK6" s="803">
        <f t="shared" ca="1" si="15"/>
        <v>8.4</v>
      </c>
      <c r="AL6" s="218">
        <f t="shared" ca="1" si="23"/>
        <v>6822.7166666666617</v>
      </c>
      <c r="AM6" s="290" t="str">
        <f t="shared" ca="1" si="16"/>
        <v>D</v>
      </c>
      <c r="AN6" s="291" t="str">
        <f t="shared" ca="1" si="17"/>
        <v>FT</v>
      </c>
      <c r="AO6" s="223">
        <f ca="1">+INDIRECT("[EMPINFO.xlsm]"&amp;$O$2&amp;"!t6")</f>
        <v>31</v>
      </c>
      <c r="AP6" s="226">
        <f ca="1">+INDIRECT("[EMPINFO.xlsm]"&amp;$O$2&amp;"!o6")</f>
        <v>-160</v>
      </c>
      <c r="AQ6" s="840">
        <f ca="1">+INDIRECT("[EMPINFO.xlsm]"&amp;$O$2&amp;"!p6")</f>
        <v>-520</v>
      </c>
      <c r="AR6" s="226">
        <f ca="1">+INDIRECT("[EMPINFO.xlsm]"&amp;$O$2&amp;"!j6")</f>
        <v>0</v>
      </c>
      <c r="AS6" s="840">
        <f ca="1">+INDIRECT("[EMPINFO.xlsm]"&amp;$O$2&amp;"!k6")</f>
        <v>223.99999999999997</v>
      </c>
      <c r="AT6" s="226">
        <f ca="1">+INDIRECT("[EMPINFO.xlsm]"&amp;$O$2&amp;"!m6")</f>
        <v>0</v>
      </c>
      <c r="AU6" s="844">
        <f ca="1">+INDIRECT("[EMPINFO.xlsm]"&amp;$O$2&amp;"!n6")</f>
        <v>240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0.35</v>
      </c>
      <c r="BC6" s="289">
        <f t="shared" ca="1" si="21"/>
        <v>9400</v>
      </c>
      <c r="BD6" s="255"/>
      <c r="BE6" s="206"/>
    </row>
    <row r="7" spans="1:62" ht="15.75" customHeight="1" thickBot="1" x14ac:dyDescent="0.3">
      <c r="A7" s="54"/>
      <c r="B7" s="3" t="s">
        <v>137</v>
      </c>
      <c r="C7" s="921" t="str">
        <f>INDEX([1]!empdata,MATCH(ID,[1]!empid,0),4)</f>
        <v>Katia</v>
      </c>
      <c r="D7" s="922"/>
      <c r="E7" s="922"/>
      <c r="F7" s="886"/>
      <c r="H7" s="312" t="s">
        <v>138</v>
      </c>
      <c r="I7" s="927" t="str">
        <f>INDEX([1]!empdata,MATCH(ID,[1]!empid,0),6)</f>
        <v xml:space="preserve">2399G
</v>
      </c>
      <c r="J7" s="859"/>
      <c r="K7" s="857"/>
      <c r="L7" s="101"/>
      <c r="M7" s="303"/>
      <c r="N7" s="211">
        <f t="shared" ca="1" si="0"/>
        <v>37.000999999999998</v>
      </c>
      <c r="O7" s="213">
        <f>+DATA!A6</f>
        <v>46113</v>
      </c>
      <c r="P7" s="219">
        <f ca="1">+INDIRECT("[EMPINFO.xlsm]"&amp;$O$2&amp;"!G7")</f>
        <v>4</v>
      </c>
      <c r="Q7" s="215">
        <f ca="1">IF(AZ7="active",INDIRECT("[EMPINFO.xlsm]"&amp;$O$2&amp;"!H7"),0)</f>
        <v>40</v>
      </c>
      <c r="R7" s="239">
        <f t="shared" ca="1" si="22"/>
        <v>37.000999999999998</v>
      </c>
      <c r="S7" s="216">
        <f t="shared" ca="1" si="1"/>
        <v>6413.5066666666626</v>
      </c>
      <c r="T7" s="220">
        <f t="shared" ca="1" si="2"/>
        <v>0</v>
      </c>
      <c r="U7" s="218">
        <f t="shared" ca="1" si="3"/>
        <v>0</v>
      </c>
      <c r="V7" s="220">
        <f ca="1">+aproth*aprhrrt</f>
        <v>0</v>
      </c>
      <c r="W7" s="201"/>
      <c r="X7" s="218">
        <f t="shared" ca="1" si="4"/>
        <v>0</v>
      </c>
      <c r="Y7" s="803">
        <f t="shared" ca="1" si="5"/>
        <v>0</v>
      </c>
      <c r="Z7" s="218">
        <f t="shared" ca="1" si="6"/>
        <v>6413.5066666666626</v>
      </c>
      <c r="AA7" s="803">
        <f t="shared" ca="1" si="7"/>
        <v>1461</v>
      </c>
      <c r="AB7" s="218">
        <f ca="1">+INDIRECT("[EMPINFO.xlsm]"&amp;$O$2&amp;"!s7")</f>
        <v>0</v>
      </c>
      <c r="AC7" s="292">
        <v>1.5</v>
      </c>
      <c r="AD7" s="218">
        <f t="shared" ca="1" si="8"/>
        <v>0</v>
      </c>
      <c r="AE7" s="220">
        <f t="shared" ca="1" si="9"/>
        <v>0</v>
      </c>
      <c r="AF7" s="218">
        <f t="shared" ca="1" si="10"/>
        <v>1461</v>
      </c>
      <c r="AG7" s="803">
        <f t="shared" ca="1" si="11"/>
        <v>1480.04</v>
      </c>
      <c r="AH7" s="218">
        <f t="shared" ca="1" si="12"/>
        <v>223.72</v>
      </c>
      <c r="AI7" s="803">
        <f t="shared" ca="1" si="13"/>
        <v>223.72</v>
      </c>
      <c r="AJ7" s="218">
        <f t="shared" ca="1" si="14"/>
        <v>447.44</v>
      </c>
      <c r="AK7" s="803">
        <f t="shared" ca="1" si="15"/>
        <v>6.72</v>
      </c>
      <c r="AL7" s="218">
        <f t="shared" ca="1" si="23"/>
        <v>6643.9466666666631</v>
      </c>
      <c r="AM7" s="290" t="str">
        <f t="shared" ca="1" si="16"/>
        <v>D</v>
      </c>
      <c r="AN7" s="291" t="str">
        <f t="shared" ca="1" si="17"/>
        <v>FT</v>
      </c>
      <c r="AO7" s="223">
        <f ca="1">+INDIRECT("[EMPINFO.xlsm]"&amp;$O$2&amp;"!t7")</f>
        <v>30</v>
      </c>
      <c r="AP7" s="226">
        <f ca="1">+INDIRECT("[EMPINFO.xlsm]"&amp;$O$2&amp;"!o7")</f>
        <v>-160</v>
      </c>
      <c r="AQ7" s="840">
        <f ca="1">+INDIRECT("[EMPINFO.xlsm]"&amp;$O$2&amp;"!p7")</f>
        <v>-680</v>
      </c>
      <c r="AR7" s="226">
        <f ca="1">+INDIRECT("[EMPINFO.xlsm]"&amp;$O$2&amp;"!j7")</f>
        <v>0</v>
      </c>
      <c r="AS7" s="840">
        <f ca="1">+INDIRECT("[EMPINFO.xlsm]"&amp;$O$2&amp;"!k7")</f>
        <v>223.99999999999997</v>
      </c>
      <c r="AT7" s="226">
        <f ca="1">+INDIRECT("[EMPINFO.xlsm]"&amp;$O$2&amp;"!m7")</f>
        <v>0</v>
      </c>
      <c r="AU7" s="844">
        <f ca="1">+INDIRECT("[EMPINFO.xlsm]"&amp;$O$2&amp;"!n7")</f>
        <v>240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0.35</v>
      </c>
      <c r="BC7" s="289">
        <f t="shared" ca="1" si="21"/>
        <v>9400</v>
      </c>
      <c r="BD7" s="255"/>
      <c r="BE7" s="206"/>
    </row>
    <row r="8" spans="1:62" ht="15.75" customHeight="1" thickBot="1" x14ac:dyDescent="0.3">
      <c r="A8" s="54"/>
      <c r="B8" s="3" t="s">
        <v>139</v>
      </c>
      <c r="C8" s="921" t="str">
        <f>INDEX([1]!empdata,MATCH(ID,[1]!empid,0),18)</f>
        <v xml:space="preserve"> ‘Peprina’</v>
      </c>
      <c r="D8" s="922"/>
      <c r="E8" s="922"/>
      <c r="F8" s="886"/>
      <c r="I8" s="312" t="s">
        <v>140</v>
      </c>
      <c r="L8" s="101"/>
      <c r="M8" s="303"/>
      <c r="N8" s="211">
        <f t="shared" ca="1" si="0"/>
        <v>37.000999999999998</v>
      </c>
      <c r="O8" s="213">
        <f>+DATA!A7</f>
        <v>46143</v>
      </c>
      <c r="P8" s="219">
        <f ca="1">+INDIRECT("[EMPINFO.xlsm]"&amp;$O$2&amp;"!G8")</f>
        <v>4</v>
      </c>
      <c r="Q8" s="215">
        <f ca="1">IF(AZ8="active",INDIRECT("[EMPINFO.xlsm]"&amp;$O$2&amp;"!H8"),0)</f>
        <v>40</v>
      </c>
      <c r="R8" s="239">
        <f t="shared" ca="1" si="22"/>
        <v>37.000999999999998</v>
      </c>
      <c r="S8" s="216">
        <f t="shared" ca="1" si="1"/>
        <v>6413.5066666666626</v>
      </c>
      <c r="T8" s="220">
        <f t="shared" ca="1" si="2"/>
        <v>0</v>
      </c>
      <c r="U8" s="218">
        <f t="shared" ca="1" si="3"/>
        <v>0</v>
      </c>
      <c r="V8" s="220">
        <f ca="1">+mayoth*mayhrrt</f>
        <v>0</v>
      </c>
      <c r="W8" s="201"/>
      <c r="X8" s="218">
        <f t="shared" ca="1" si="4"/>
        <v>0</v>
      </c>
      <c r="Y8" s="803">
        <f t="shared" ca="1" si="5"/>
        <v>0</v>
      </c>
      <c r="Z8" s="218">
        <f t="shared" ca="1" si="6"/>
        <v>6413.5066666666626</v>
      </c>
      <c r="AA8" s="803">
        <f t="shared" ca="1" si="7"/>
        <v>1461</v>
      </c>
      <c r="AB8" s="218">
        <f ca="1">+INDIRECT("[EMPINFO.xlsm]"&amp;$O$2&amp;"!s8")</f>
        <v>0</v>
      </c>
      <c r="AC8" s="292">
        <v>1.5</v>
      </c>
      <c r="AD8" s="218">
        <f t="shared" ca="1" si="8"/>
        <v>0</v>
      </c>
      <c r="AE8" s="220">
        <f t="shared" ca="1" si="9"/>
        <v>0</v>
      </c>
      <c r="AF8" s="218">
        <f t="shared" ca="1" si="10"/>
        <v>1461</v>
      </c>
      <c r="AG8" s="803">
        <f t="shared" ca="1" si="11"/>
        <v>1480.04</v>
      </c>
      <c r="AH8" s="218">
        <f t="shared" ca="1" si="12"/>
        <v>223.72</v>
      </c>
      <c r="AI8" s="803">
        <f t="shared" ca="1" si="13"/>
        <v>223.72</v>
      </c>
      <c r="AJ8" s="218">
        <f t="shared" ca="1" si="14"/>
        <v>447.44</v>
      </c>
      <c r="AK8" s="803">
        <f t="shared" ca="1" si="15"/>
        <v>6.72</v>
      </c>
      <c r="AL8" s="218">
        <f t="shared" ca="1" si="23"/>
        <v>6643.9466666666631</v>
      </c>
      <c r="AM8" s="290" t="str">
        <f t="shared" ca="1" si="16"/>
        <v>D</v>
      </c>
      <c r="AN8" s="291" t="str">
        <f t="shared" ca="1" si="17"/>
        <v>FT</v>
      </c>
      <c r="AO8" s="223">
        <f ca="1">+INDIRECT("[EMPINFO.xlsm]"&amp;$O$2&amp;"!t8")</f>
        <v>31</v>
      </c>
      <c r="AP8" s="226">
        <f ca="1">+INDIRECT("[EMPINFO.xlsm]"&amp;$O$2&amp;"!o8")</f>
        <v>-200</v>
      </c>
      <c r="AQ8" s="840">
        <f ca="1">+INDIRECT("[EMPINFO.xlsm]"&amp;$O$2&amp;"!p8")</f>
        <v>-880</v>
      </c>
      <c r="AR8" s="226">
        <f ca="1">+INDIRECT("[EMPINFO.xlsm]"&amp;$O$2&amp;"!j8")</f>
        <v>0</v>
      </c>
      <c r="AS8" s="840">
        <f ca="1">+INDIRECT("[EMPINFO.xlsm]"&amp;$O$2&amp;"!k8")</f>
        <v>223.99999999999997</v>
      </c>
      <c r="AT8" s="226">
        <f ca="1">+INDIRECT("[EMPINFO.xlsm]"&amp;$O$2&amp;"!m8")</f>
        <v>0</v>
      </c>
      <c r="AU8" s="844">
        <f ca="1">+INDIRECT("[EMPINFO.xlsm]"&amp;$O$2&amp;"!n8")</f>
        <v>240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0.35</v>
      </c>
      <c r="BC8" s="289">
        <f t="shared" ca="1" si="21"/>
        <v>9400</v>
      </c>
      <c r="BD8" s="255"/>
      <c r="BE8" s="206"/>
    </row>
    <row r="9" spans="1:62" ht="15.75" customHeight="1" thickBot="1" x14ac:dyDescent="0.3">
      <c r="A9" s="54"/>
      <c r="B9" s="4" t="s">
        <v>141</v>
      </c>
      <c r="C9" s="921" t="str">
        <f>INDEX([1]!empdata,MATCH(ID,[1]!empid,0),19)</f>
        <v>Municipju Ruman Street</v>
      </c>
      <c r="D9" s="922"/>
      <c r="E9" s="922"/>
      <c r="F9" s="886"/>
      <c r="H9" s="312" t="s">
        <v>20</v>
      </c>
      <c r="I9" s="927">
        <f>INDEX([1]!empdata,MATCH(ID,[1]!empid,0),14)</f>
        <v>0</v>
      </c>
      <c r="J9" s="859"/>
      <c r="K9" s="857"/>
      <c r="L9" s="101"/>
      <c r="M9" s="303"/>
      <c r="N9" s="211">
        <f t="shared" ca="1" si="0"/>
        <v>37.000999999999998</v>
      </c>
      <c r="O9" s="213">
        <f>+DATA!A8</f>
        <v>46174</v>
      </c>
      <c r="P9" s="219">
        <f ca="1">+INDIRECT("[EMPINFO.xlsm]"&amp;$O$2&amp;"!G9")</f>
        <v>5</v>
      </c>
      <c r="Q9" s="215">
        <f ca="1">IF(AZ9="active",INDIRECT("[EMPINFO.xlsm]"&amp;$O$2&amp;"!H9"),0)</f>
        <v>40</v>
      </c>
      <c r="R9" s="239">
        <f t="shared" ca="1" si="22"/>
        <v>37.000999999999998</v>
      </c>
      <c r="S9" s="216">
        <f t="shared" ca="1" si="1"/>
        <v>6413.5066666666626</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6548.6066666666629</v>
      </c>
      <c r="AA9" s="803">
        <f t="shared" ca="1" si="7"/>
        <v>1508</v>
      </c>
      <c r="AB9" s="218">
        <f ca="1">+INDIRECT("[EMPINFO.xlsm]"&amp;$O$2&amp;"!s9")</f>
        <v>0</v>
      </c>
      <c r="AC9" s="292">
        <v>1.5</v>
      </c>
      <c r="AD9" s="218">
        <f t="shared" ca="1" si="8"/>
        <v>0</v>
      </c>
      <c r="AE9" s="220">
        <f t="shared" ca="1" si="9"/>
        <v>0</v>
      </c>
      <c r="AF9" s="218">
        <f t="shared" ca="1" si="10"/>
        <v>1508</v>
      </c>
      <c r="AG9" s="803">
        <f t="shared" ca="1" si="11"/>
        <v>1480.04</v>
      </c>
      <c r="AH9" s="218">
        <f t="shared" ca="1" si="12"/>
        <v>279.64999999999998</v>
      </c>
      <c r="AI9" s="803">
        <f t="shared" ca="1" si="13"/>
        <v>279.64999999999998</v>
      </c>
      <c r="AJ9" s="218">
        <f t="shared" ca="1" si="14"/>
        <v>559.29999999999995</v>
      </c>
      <c r="AK9" s="803">
        <f t="shared" ca="1" si="15"/>
        <v>8.4</v>
      </c>
      <c r="AL9" s="218">
        <f t="shared" ca="1" si="23"/>
        <v>6836.6566666666622</v>
      </c>
      <c r="AM9" s="290" t="str">
        <f t="shared" ca="1" si="16"/>
        <v>D</v>
      </c>
      <c r="AN9" s="291" t="str">
        <f t="shared" ca="1" si="17"/>
        <v>FT</v>
      </c>
      <c r="AO9" s="223">
        <f ca="1">+INDIRECT("[EMPINFO.xlsm]"&amp;$O$2&amp;"!t9")</f>
        <v>30</v>
      </c>
      <c r="AP9" s="226">
        <f ca="1">+INDIRECT("[EMPINFO.xlsm]"&amp;$O$2&amp;"!o9")</f>
        <v>-160</v>
      </c>
      <c r="AQ9" s="840">
        <f ca="1">+INDIRECT("[EMPINFO.xlsm]"&amp;$O$2&amp;"!p9")</f>
        <v>-1040</v>
      </c>
      <c r="AR9" s="226">
        <f ca="1">+INDIRECT("[EMPINFO.xlsm]"&amp;$O$2&amp;"!j9")</f>
        <v>0</v>
      </c>
      <c r="AS9" s="840">
        <f ca="1">+INDIRECT("[EMPINFO.xlsm]"&amp;$O$2&amp;"!k9")</f>
        <v>223.99999999999997</v>
      </c>
      <c r="AT9" s="226">
        <f ca="1">+INDIRECT("[EMPINFO.xlsm]"&amp;$O$2&amp;"!m9")</f>
        <v>0</v>
      </c>
      <c r="AU9" s="844">
        <f ca="1">+INDIRECT("[EMPINFO.xlsm]"&amp;$O$2&amp;"!n9")</f>
        <v>240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0.35</v>
      </c>
      <c r="BC9" s="289">
        <f t="shared" ca="1" si="21"/>
        <v>9400</v>
      </c>
      <c r="BD9" s="255"/>
      <c r="BE9" s="206"/>
    </row>
    <row r="10" spans="1:62" ht="15.75" customHeight="1" thickBot="1" x14ac:dyDescent="0.3">
      <c r="A10" s="54"/>
      <c r="B10" s="5" t="s">
        <v>142</v>
      </c>
      <c r="C10" s="921" t="str">
        <f>INDEX([1]!empdata,MATCH(ID,[1]!empid,0),20)</f>
        <v>Victoria Gozo,</v>
      </c>
      <c r="D10" s="922"/>
      <c r="E10" s="922"/>
      <c r="F10" s="886"/>
      <c r="I10" s="312" t="s">
        <v>143</v>
      </c>
      <c r="L10" s="101"/>
      <c r="M10" s="303"/>
      <c r="N10" s="211">
        <f t="shared" ca="1" si="0"/>
        <v>37.000999999999998</v>
      </c>
      <c r="O10" s="213">
        <f>+DATA!A9</f>
        <v>46204</v>
      </c>
      <c r="P10" s="219">
        <f ca="1">+INDIRECT("[EMPINFO.xlsm]"&amp;$O$2&amp;"!G10")</f>
        <v>4</v>
      </c>
      <c r="Q10" s="215">
        <f ca="1">IF(AZ10="active",INDIRECT("[EMPINFO.xlsm]"&amp;$O$2&amp;"!H10"),0)</f>
        <v>40</v>
      </c>
      <c r="R10" s="239">
        <f t="shared" ca="1" si="22"/>
        <v>37.000999999999998</v>
      </c>
      <c r="S10" s="216">
        <f t="shared" ca="1" si="1"/>
        <v>6413.5066666666626</v>
      </c>
      <c r="T10" s="220">
        <f t="shared" ca="1" si="2"/>
        <v>0</v>
      </c>
      <c r="U10" s="218">
        <f t="shared" ca="1" si="3"/>
        <v>0</v>
      </c>
      <c r="V10" s="220">
        <f ca="1">+juloth*julhrrt</f>
        <v>0</v>
      </c>
      <c r="W10" s="201"/>
      <c r="X10" s="218">
        <f t="shared" ca="1" si="4"/>
        <v>0</v>
      </c>
      <c r="Y10" s="803">
        <f t="shared" ca="1" si="5"/>
        <v>0</v>
      </c>
      <c r="Z10" s="218">
        <f t="shared" ca="1" si="6"/>
        <v>6413.5066666666626</v>
      </c>
      <c r="AA10" s="803">
        <f t="shared" ca="1" si="7"/>
        <v>1461</v>
      </c>
      <c r="AB10" s="218">
        <f ca="1">+INDIRECT("[EMPINFO.xlsm]"&amp;$O$2&amp;"!s10")</f>
        <v>0</v>
      </c>
      <c r="AC10" s="292">
        <v>1.5</v>
      </c>
      <c r="AD10" s="218">
        <f t="shared" ca="1" si="8"/>
        <v>0</v>
      </c>
      <c r="AE10" s="220">
        <f t="shared" ca="1" si="9"/>
        <v>0</v>
      </c>
      <c r="AF10" s="218">
        <f t="shared" ca="1" si="10"/>
        <v>1461</v>
      </c>
      <c r="AG10" s="803">
        <f t="shared" ca="1" si="11"/>
        <v>1480.04</v>
      </c>
      <c r="AH10" s="218">
        <f t="shared" ca="1" si="12"/>
        <v>223.72</v>
      </c>
      <c r="AI10" s="803">
        <f t="shared" ca="1" si="13"/>
        <v>223.72</v>
      </c>
      <c r="AJ10" s="218">
        <f t="shared" ca="1" si="14"/>
        <v>447.44</v>
      </c>
      <c r="AK10" s="803">
        <f t="shared" ca="1" si="15"/>
        <v>6.72</v>
      </c>
      <c r="AL10" s="218">
        <f t="shared" ca="1" si="23"/>
        <v>6643.9466666666631</v>
      </c>
      <c r="AM10" s="290" t="str">
        <f t="shared" ca="1" si="16"/>
        <v>D</v>
      </c>
      <c r="AN10" s="291" t="str">
        <f t="shared" ca="1" si="17"/>
        <v>FT</v>
      </c>
      <c r="AO10" s="223">
        <f ca="1">+INDIRECT("[EMPINFO.xlsm]"&amp;$O$2&amp;"!t10")</f>
        <v>31</v>
      </c>
      <c r="AP10" s="226">
        <f ca="1">+INDIRECT("[EMPINFO.xlsm]"&amp;$O$2&amp;"!o10")</f>
        <v>-160</v>
      </c>
      <c r="AQ10" s="840">
        <f ca="1">+INDIRECT("[EMPINFO.xlsm]"&amp;$O$2&amp;"!p10")</f>
        <v>-1200</v>
      </c>
      <c r="AR10" s="226">
        <f ca="1">+INDIRECT("[EMPINFO.xlsm]"&amp;$O$2&amp;"!j10")</f>
        <v>0</v>
      </c>
      <c r="AS10" s="840">
        <f ca="1">+INDIRECT("[EMPINFO.xlsm]"&amp;$O$2&amp;"!k10")</f>
        <v>223.99999999999997</v>
      </c>
      <c r="AT10" s="226">
        <f ca="1">+INDIRECT("[EMPINFO.xlsm]"&amp;$O$2&amp;"!m10")</f>
        <v>0</v>
      </c>
      <c r="AU10" s="844">
        <f ca="1">+INDIRECT("[EMPINFO.xlsm]"&amp;$O$2&amp;"!n10")</f>
        <v>240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0.35</v>
      </c>
      <c r="BC10" s="289">
        <f t="shared" ca="1" si="21"/>
        <v>9400</v>
      </c>
      <c r="BD10" s="255"/>
      <c r="BE10" s="206"/>
      <c r="BF10" s="32"/>
      <c r="BH10" s="32"/>
      <c r="BI10" s="30"/>
      <c r="BJ10" s="31"/>
    </row>
    <row r="11" spans="1:62" ht="15.75" customHeight="1" thickBot="1" x14ac:dyDescent="0.3">
      <c r="A11" s="54"/>
      <c r="B11" s="6" t="s">
        <v>144</v>
      </c>
      <c r="C11" s="921" t="str">
        <f>INDEX([1]!empdata,MATCH(ID,[1]!empid,0),21)</f>
        <v>VCT2680</v>
      </c>
      <c r="D11" s="922"/>
      <c r="E11" s="922"/>
      <c r="F11" s="886"/>
      <c r="H11" s="312" t="s">
        <v>31</v>
      </c>
      <c r="I11" s="927">
        <f>INDEX([1]!empdata,MATCH(ID,[1]!empid,0),7)</f>
        <v>0</v>
      </c>
      <c r="J11" s="859"/>
      <c r="K11" s="857"/>
      <c r="L11" s="101"/>
      <c r="M11" s="303"/>
      <c r="N11" s="211">
        <f t="shared" ca="1" si="0"/>
        <v>37.000999999999998</v>
      </c>
      <c r="O11" s="213">
        <f>+DATA!A10</f>
        <v>46235</v>
      </c>
      <c r="P11" s="219">
        <f ca="1">+INDIRECT("[EMPINFO.xlsm]"&amp;$O$2&amp;"!G11")</f>
        <v>5</v>
      </c>
      <c r="Q11" s="215">
        <f ca="1">IF(AZ11="active",INDIRECT("[EMPINFO.xlsm]"&amp;$O$2&amp;"!H11"),0)</f>
        <v>40</v>
      </c>
      <c r="R11" s="239">
        <f t="shared" ca="1" si="22"/>
        <v>37.000999999999998</v>
      </c>
      <c r="S11" s="216">
        <f t="shared" ca="1" si="1"/>
        <v>6413.5066666666626</v>
      </c>
      <c r="T11" s="220">
        <f t="shared" ca="1" si="2"/>
        <v>0</v>
      </c>
      <c r="U11" s="218">
        <f t="shared" ca="1" si="3"/>
        <v>0</v>
      </c>
      <c r="V11" s="220">
        <f ca="1">+augoth*aughrrt</f>
        <v>0</v>
      </c>
      <c r="W11" s="201"/>
      <c r="X11" s="218">
        <f t="shared" ca="1" si="4"/>
        <v>0</v>
      </c>
      <c r="Y11" s="803">
        <f t="shared" ca="1" si="5"/>
        <v>0</v>
      </c>
      <c r="Z11" s="218">
        <f t="shared" ca="1" si="6"/>
        <v>6413.5066666666626</v>
      </c>
      <c r="AA11" s="803">
        <f t="shared" ca="1" si="7"/>
        <v>1461</v>
      </c>
      <c r="AB11" s="218">
        <f ca="1">+INDIRECT("[EMPINFO.xlsm]"&amp;$O$2&amp;"!s11")</f>
        <v>0</v>
      </c>
      <c r="AC11" s="292">
        <v>1.5</v>
      </c>
      <c r="AD11" s="218">
        <f t="shared" ca="1" si="8"/>
        <v>0</v>
      </c>
      <c r="AE11" s="220">
        <f t="shared" ca="1" si="9"/>
        <v>0</v>
      </c>
      <c r="AF11" s="218">
        <f t="shared" ca="1" si="10"/>
        <v>1461</v>
      </c>
      <c r="AG11" s="803">
        <f t="shared" ca="1" si="11"/>
        <v>1480.04</v>
      </c>
      <c r="AH11" s="218">
        <f t="shared" ca="1" si="12"/>
        <v>279.64999999999998</v>
      </c>
      <c r="AI11" s="803">
        <f t="shared" ca="1" si="13"/>
        <v>279.64999999999998</v>
      </c>
      <c r="AJ11" s="218">
        <f t="shared" ca="1" si="14"/>
        <v>559.29999999999995</v>
      </c>
      <c r="AK11" s="803">
        <f t="shared" ca="1" si="15"/>
        <v>8.4</v>
      </c>
      <c r="AL11" s="218">
        <f t="shared" ca="1" si="23"/>
        <v>6701.5566666666618</v>
      </c>
      <c r="AM11" s="290" t="str">
        <f t="shared" ca="1" si="16"/>
        <v>D</v>
      </c>
      <c r="AN11" s="291" t="str">
        <f t="shared" ca="1" si="17"/>
        <v>FT</v>
      </c>
      <c r="AO11" s="223">
        <f ca="1">+INDIRECT("[EMPINFO.xlsm]"&amp;$O$2&amp;"!t11")</f>
        <v>31</v>
      </c>
      <c r="AP11" s="226">
        <f ca="1">+INDIRECT("[EMPINFO.xlsm]"&amp;$O$2&amp;"!o11")</f>
        <v>-160</v>
      </c>
      <c r="AQ11" s="840">
        <f ca="1">+INDIRECT("[EMPINFO.xlsm]"&amp;$O$2&amp;"!p11")</f>
        <v>-1360</v>
      </c>
      <c r="AR11" s="226">
        <f ca="1">+INDIRECT("[EMPINFO.xlsm]"&amp;$O$2&amp;"!j11")</f>
        <v>0</v>
      </c>
      <c r="AS11" s="840">
        <f ca="1">+INDIRECT("[EMPINFO.xlsm]"&amp;$O$2&amp;"!k11")</f>
        <v>223.99999999999997</v>
      </c>
      <c r="AT11" s="226">
        <f ca="1">+INDIRECT("[EMPINFO.xlsm]"&amp;$O$2&amp;"!m11")</f>
        <v>0</v>
      </c>
      <c r="AU11" s="844">
        <f ca="1">+INDIRECT("[EMPINFO.xlsm]"&amp;$O$2&amp;"!n11")</f>
        <v>240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0.35</v>
      </c>
      <c r="BC11" s="289">
        <f t="shared" ca="1" si="21"/>
        <v>9400</v>
      </c>
      <c r="BD11" s="255"/>
      <c r="BE11" s="206"/>
      <c r="BF11" s="27"/>
      <c r="BH11" s="27"/>
    </row>
    <row r="12" spans="1:62" ht="17.45" customHeight="1" thickBot="1" x14ac:dyDescent="0.3">
      <c r="A12" s="313"/>
      <c r="B12" s="91" t="s">
        <v>14</v>
      </c>
      <c r="C12" s="945">
        <f>INDEX([1]!empdata,MATCH(ID,[1]!empid,0),10)</f>
        <v>79081599</v>
      </c>
      <c r="D12" s="946"/>
      <c r="E12" s="946"/>
      <c r="F12" s="947"/>
      <c r="G12" s="85"/>
      <c r="H12" s="85"/>
      <c r="I12" s="85"/>
      <c r="J12" s="85"/>
      <c r="K12" s="85"/>
      <c r="L12" s="314"/>
      <c r="M12" s="303"/>
      <c r="N12" s="211">
        <f t="shared" ca="1" si="0"/>
        <v>37.000999999999998</v>
      </c>
      <c r="O12" s="213">
        <f>+DATA!A11</f>
        <v>46266</v>
      </c>
      <c r="P12" s="219">
        <f ca="1">+INDIRECT("[EMPINFO.xlsm]"&amp;$O$2&amp;"!G12")</f>
        <v>4</v>
      </c>
      <c r="Q12" s="215">
        <f ca="1">IF(AZ12="active",INDIRECT("[EMPINFO.xlsm]"&amp;$O$2&amp;"!H12"),0)</f>
        <v>40</v>
      </c>
      <c r="R12" s="239">
        <f t="shared" ca="1" si="22"/>
        <v>37.000999999999998</v>
      </c>
      <c r="S12" s="216">
        <f t="shared" ca="1" si="1"/>
        <v>6413.5066666666626</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6534.6666666666624</v>
      </c>
      <c r="AA12" s="803">
        <f t="shared" ca="1" si="7"/>
        <v>1503</v>
      </c>
      <c r="AB12" s="218">
        <f ca="1">+INDIRECT("[EMPINFO.xlsm]"&amp;$O$2&amp;"!s12")</f>
        <v>0</v>
      </c>
      <c r="AC12" s="292">
        <v>1.5</v>
      </c>
      <c r="AD12" s="218">
        <f t="shared" ca="1" si="8"/>
        <v>0</v>
      </c>
      <c r="AE12" s="220">
        <f t="shared" ca="1" si="9"/>
        <v>0</v>
      </c>
      <c r="AF12" s="218">
        <f t="shared" ca="1" si="10"/>
        <v>1503</v>
      </c>
      <c r="AG12" s="803">
        <f t="shared" ca="1" si="11"/>
        <v>1480.04</v>
      </c>
      <c r="AH12" s="218">
        <f t="shared" ca="1" si="12"/>
        <v>223.72</v>
      </c>
      <c r="AI12" s="803">
        <f t="shared" ca="1" si="13"/>
        <v>223.72</v>
      </c>
      <c r="AJ12" s="218">
        <f t="shared" ca="1" si="14"/>
        <v>447.44</v>
      </c>
      <c r="AK12" s="803">
        <f t="shared" ca="1" si="15"/>
        <v>6.72</v>
      </c>
      <c r="AL12" s="218">
        <f t="shared" ca="1" si="23"/>
        <v>6765.1066666666629</v>
      </c>
      <c r="AM12" s="290" t="str">
        <f t="shared" ca="1" si="16"/>
        <v>D</v>
      </c>
      <c r="AN12" s="291" t="str">
        <f t="shared" ca="1" si="17"/>
        <v>FT</v>
      </c>
      <c r="AO12" s="223">
        <f ca="1">+INDIRECT("[EMPINFO.xlsm]"&amp;$O$2&amp;"!t12")</f>
        <v>30</v>
      </c>
      <c r="AP12" s="226">
        <f ca="1">+INDIRECT("[EMPINFO.xlsm]"&amp;$O$2&amp;"!o12")</f>
        <v>-160</v>
      </c>
      <c r="AQ12" s="840">
        <f ca="1">+INDIRECT("[EMPINFO.xlsm]"&amp;$O$2&amp;"!p12")</f>
        <v>-1520</v>
      </c>
      <c r="AR12" s="226">
        <f ca="1">+INDIRECT("[EMPINFO.xlsm]"&amp;$O$2&amp;"!j12")</f>
        <v>0</v>
      </c>
      <c r="AS12" s="840">
        <f ca="1">+INDIRECT("[EMPINFO.xlsm]"&amp;$O$2&amp;"!k12")</f>
        <v>223.99999999999997</v>
      </c>
      <c r="AT12" s="226">
        <f ca="1">+INDIRECT("[EMPINFO.xlsm]"&amp;$O$2&amp;"!m12")</f>
        <v>0</v>
      </c>
      <c r="AU12" s="844">
        <f ca="1">+INDIRECT("[EMPINFO.xlsm]"&amp;$O$2&amp;"!n12")</f>
        <v>240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0.35</v>
      </c>
      <c r="BC12" s="289">
        <f t="shared" ca="1" si="21"/>
        <v>9400</v>
      </c>
      <c r="BD12" s="255"/>
      <c r="BE12" s="206"/>
    </row>
    <row r="13" spans="1:62" ht="15.75" customHeight="1" thickBot="1" x14ac:dyDescent="0.3">
      <c r="A13" s="54"/>
      <c r="L13" s="101"/>
      <c r="M13" s="303"/>
      <c r="N13" s="211">
        <f t="shared" ca="1" si="0"/>
        <v>37.000999999999998</v>
      </c>
      <c r="O13" s="213">
        <f>+DATA!A12</f>
        <v>46296</v>
      </c>
      <c r="P13" s="219">
        <f ca="1">+INDIRECT("[EMPINFO.xlsm]"&amp;$O$2&amp;"!G13")</f>
        <v>4</v>
      </c>
      <c r="Q13" s="215">
        <f ca="1">IF(AZ13="active",INDIRECT("[EMPINFO.xlsm]"&amp;$O$2&amp;"!H13"),0)</f>
        <v>40</v>
      </c>
      <c r="R13" s="239">
        <f t="shared" ca="1" si="22"/>
        <v>37.000999999999998</v>
      </c>
      <c r="S13" s="216">
        <f t="shared" ca="1" si="1"/>
        <v>6413.5066666666626</v>
      </c>
      <c r="T13" s="220">
        <f t="shared" ca="1" si="2"/>
        <v>0</v>
      </c>
      <c r="U13" s="218">
        <f t="shared" ca="1" si="3"/>
        <v>0</v>
      </c>
      <c r="V13" s="220">
        <f ca="1">+octoth*octhrrt</f>
        <v>0</v>
      </c>
      <c r="W13" s="201"/>
      <c r="X13" s="218">
        <f t="shared" ca="1" si="4"/>
        <v>0</v>
      </c>
      <c r="Y13" s="803">
        <f t="shared" ca="1" si="5"/>
        <v>0</v>
      </c>
      <c r="Z13" s="218">
        <f t="shared" ca="1" si="6"/>
        <v>6413.5066666666626</v>
      </c>
      <c r="AA13" s="803">
        <f t="shared" ca="1" si="7"/>
        <v>1461</v>
      </c>
      <c r="AB13" s="218">
        <f ca="1">+INDIRECT("[EMPINFO.xlsm]"&amp;$O$2&amp;"!s13")</f>
        <v>0</v>
      </c>
      <c r="AC13" s="292">
        <v>1.5</v>
      </c>
      <c r="AD13" s="218">
        <f t="shared" ca="1" si="8"/>
        <v>0</v>
      </c>
      <c r="AE13" s="220">
        <f t="shared" ca="1" si="9"/>
        <v>0</v>
      </c>
      <c r="AF13" s="218">
        <f t="shared" ca="1" si="10"/>
        <v>1461</v>
      </c>
      <c r="AG13" s="803">
        <f t="shared" ca="1" si="11"/>
        <v>1480.04</v>
      </c>
      <c r="AH13" s="218">
        <f t="shared" ca="1" si="12"/>
        <v>223.72</v>
      </c>
      <c r="AI13" s="803">
        <f t="shared" ca="1" si="13"/>
        <v>223.72</v>
      </c>
      <c r="AJ13" s="218">
        <f t="shared" ca="1" si="14"/>
        <v>447.44</v>
      </c>
      <c r="AK13" s="803">
        <f t="shared" ca="1" si="15"/>
        <v>6.72</v>
      </c>
      <c r="AL13" s="218">
        <f t="shared" ca="1" si="23"/>
        <v>6643.9466666666631</v>
      </c>
      <c r="AM13" s="290" t="str">
        <f t="shared" ca="1" si="16"/>
        <v>D</v>
      </c>
      <c r="AN13" s="291" t="str">
        <f t="shared" ca="1" si="17"/>
        <v>FT</v>
      </c>
      <c r="AO13" s="223">
        <f ca="1">+INDIRECT("[EMPINFO.xlsm]"&amp;$O$2&amp;"!t13")</f>
        <v>31</v>
      </c>
      <c r="AP13" s="226">
        <f ca="1">+INDIRECT("[EMPINFO.xlsm]"&amp;$O$2&amp;"!o13")</f>
        <v>-200</v>
      </c>
      <c r="AQ13" s="840">
        <f ca="1">+INDIRECT("[EMPINFO.xlsm]"&amp;$O$2&amp;"!p13")</f>
        <v>-1720</v>
      </c>
      <c r="AR13" s="226">
        <f ca="1">+INDIRECT("[EMPINFO.xlsm]"&amp;$O$2&amp;"!j13")</f>
        <v>0</v>
      </c>
      <c r="AS13" s="840">
        <f ca="1">+INDIRECT("[EMPINFO.xlsm]"&amp;$O$2&amp;"!k13")</f>
        <v>223.99999999999997</v>
      </c>
      <c r="AT13" s="226">
        <f ca="1">+INDIRECT("[EMPINFO.xlsm]"&amp;$O$2&amp;"!m13")</f>
        <v>0</v>
      </c>
      <c r="AU13" s="844">
        <f ca="1">+INDIRECT("[EMPINFO.xlsm]"&amp;$O$2&amp;"!n13")</f>
        <v>240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0.35</v>
      </c>
      <c r="BC13" s="289">
        <f t="shared" ca="1" si="21"/>
        <v>9400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37.000999999999998</v>
      </c>
      <c r="O14" s="213">
        <f>+DATA!A13</f>
        <v>46327</v>
      </c>
      <c r="P14" s="219">
        <f ca="1">+INDIRECT("[EMPINFO.xlsm]"&amp;$O$2&amp;"!G14")</f>
        <v>5</v>
      </c>
      <c r="Q14" s="215">
        <f ca="1">IF(AZ14="active",INDIRECT("[EMPINFO.xlsm]"&amp;$O$2&amp;"!H14"),0)</f>
        <v>40</v>
      </c>
      <c r="R14" s="239">
        <f t="shared" ca="1" si="22"/>
        <v>37.000999999999998</v>
      </c>
      <c r="S14" s="216">
        <f t="shared" ca="1" si="1"/>
        <v>6413.5066666666626</v>
      </c>
      <c r="T14" s="220">
        <f t="shared" ca="1" si="2"/>
        <v>0</v>
      </c>
      <c r="U14" s="218">
        <f t="shared" ca="1" si="3"/>
        <v>0</v>
      </c>
      <c r="V14" s="220">
        <f ca="1">+novoth*novhrrt</f>
        <v>0</v>
      </c>
      <c r="W14" s="201"/>
      <c r="X14" s="218">
        <f t="shared" ca="1" si="4"/>
        <v>0</v>
      </c>
      <c r="Y14" s="803">
        <f t="shared" ca="1" si="5"/>
        <v>0</v>
      </c>
      <c r="Z14" s="218">
        <f t="shared" ca="1" si="6"/>
        <v>6413.5066666666626</v>
      </c>
      <c r="AA14" s="803">
        <f t="shared" ca="1" si="7"/>
        <v>1461</v>
      </c>
      <c r="AB14" s="218">
        <f ca="1">+INDIRECT("[EMPINFO.xlsm]"&amp;$O$2&amp;"!s14")</f>
        <v>0</v>
      </c>
      <c r="AC14" s="292">
        <v>1.5</v>
      </c>
      <c r="AD14" s="218">
        <f t="shared" ca="1" si="8"/>
        <v>0</v>
      </c>
      <c r="AE14" s="220">
        <f t="shared" ca="1" si="9"/>
        <v>0</v>
      </c>
      <c r="AF14" s="218">
        <f t="shared" ca="1" si="10"/>
        <v>1461</v>
      </c>
      <c r="AG14" s="803">
        <f t="shared" ca="1" si="11"/>
        <v>1480.04</v>
      </c>
      <c r="AH14" s="218">
        <f t="shared" ca="1" si="12"/>
        <v>279.64999999999998</v>
      </c>
      <c r="AI14" s="803">
        <f t="shared" ca="1" si="13"/>
        <v>279.64999999999998</v>
      </c>
      <c r="AJ14" s="218">
        <f t="shared" ca="1" si="14"/>
        <v>559.29999999999995</v>
      </c>
      <c r="AK14" s="803">
        <f t="shared" ca="1" si="15"/>
        <v>8.4</v>
      </c>
      <c r="AL14" s="218">
        <f t="shared" ca="1" si="23"/>
        <v>6701.5566666666618</v>
      </c>
      <c r="AM14" s="290" t="str">
        <f t="shared" ca="1" si="16"/>
        <v>D</v>
      </c>
      <c r="AN14" s="291" t="str">
        <f t="shared" ca="1" si="17"/>
        <v>FT</v>
      </c>
      <c r="AO14" s="223">
        <f ca="1">+INDIRECT("[EMPINFO.xlsm]"&amp;$O$2&amp;"!t14")</f>
        <v>30</v>
      </c>
      <c r="AP14" s="226">
        <f ca="1">+INDIRECT("[EMPINFO.xlsm]"&amp;$O$2&amp;"!o14")</f>
        <v>-160</v>
      </c>
      <c r="AQ14" s="840">
        <f ca="1">+INDIRECT("[EMPINFO.xlsm]"&amp;$O$2&amp;"!p14")</f>
        <v>-1880</v>
      </c>
      <c r="AR14" s="226">
        <f ca="1">+INDIRECT("[EMPINFO.xlsm]"&amp;$O$2&amp;"!j14")</f>
        <v>0</v>
      </c>
      <c r="AS14" s="840">
        <f ca="1">+INDIRECT("[EMPINFO.xlsm]"&amp;$O$2&amp;"!k14")</f>
        <v>223.99999999999997</v>
      </c>
      <c r="AT14" s="226">
        <f ca="1">+INDIRECT("[EMPINFO.xlsm]"&amp;$O$2&amp;"!m14")</f>
        <v>0</v>
      </c>
      <c r="AU14" s="844">
        <f ca="1">+INDIRECT("[EMPINFO.xlsm]"&amp;$O$2&amp;"!n14")</f>
        <v>240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0.35</v>
      </c>
      <c r="BC14" s="289">
        <f t="shared" ca="1" si="21"/>
        <v>9400</v>
      </c>
      <c r="BD14" s="255"/>
      <c r="BE14" s="206"/>
      <c r="BF14" s="32"/>
      <c r="BH14" s="32"/>
    </row>
    <row r="15" spans="1:62" ht="15.75" customHeight="1" thickBot="1" x14ac:dyDescent="0.3">
      <c r="A15" s="54"/>
      <c r="L15" s="101"/>
      <c r="M15" s="303"/>
      <c r="N15" s="211">
        <f t="shared" ca="1" si="0"/>
        <v>37.000999999999998</v>
      </c>
      <c r="O15" s="213">
        <f>+DATA!A14</f>
        <v>46357</v>
      </c>
      <c r="P15" s="219">
        <f ca="1">+INDIRECT("[EMPINFO.xlsm]"&amp;$O$2&amp;"!G15")</f>
        <v>4</v>
      </c>
      <c r="Q15" s="215">
        <f ca="1">IF(AZ15="active",INDIRECT("[EMPINFO.xlsm]"&amp;$O$2&amp;"!H15"),0)</f>
        <v>40</v>
      </c>
      <c r="R15" s="239">
        <f t="shared" ca="1" si="22"/>
        <v>37.000999999999998</v>
      </c>
      <c r="S15" s="216">
        <f t="shared" ca="1" si="1"/>
        <v>6413.5066666666626</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6548.6066666666629</v>
      </c>
      <c r="AA15" s="803">
        <f t="shared" ca="1" si="7"/>
        <v>1508</v>
      </c>
      <c r="AB15" s="218">
        <f ca="1">+INDIRECT("[EMPINFO.xlsm]"&amp;$O$2&amp;"!s15")</f>
        <v>0</v>
      </c>
      <c r="AC15" s="292">
        <v>1.5</v>
      </c>
      <c r="AD15" s="218">
        <f t="shared" ca="1" si="8"/>
        <v>0</v>
      </c>
      <c r="AE15" s="220">
        <f t="shared" ca="1" si="9"/>
        <v>0</v>
      </c>
      <c r="AF15" s="218">
        <f t="shared" ca="1" si="10"/>
        <v>1508</v>
      </c>
      <c r="AG15" s="803">
        <f t="shared" ca="1" si="11"/>
        <v>1480.04</v>
      </c>
      <c r="AH15" s="218">
        <f t="shared" ca="1" si="12"/>
        <v>223.72</v>
      </c>
      <c r="AI15" s="803">
        <f t="shared" ca="1" si="13"/>
        <v>223.72</v>
      </c>
      <c r="AJ15" s="218">
        <f t="shared" ca="1" si="14"/>
        <v>447.44</v>
      </c>
      <c r="AK15" s="803">
        <f t="shared" ca="1" si="15"/>
        <v>6.72</v>
      </c>
      <c r="AL15" s="218">
        <f t="shared" ca="1" si="23"/>
        <v>6779.0466666666634</v>
      </c>
      <c r="AM15" s="290" t="str">
        <f t="shared" ca="1" si="16"/>
        <v>D</v>
      </c>
      <c r="AN15" s="291" t="str">
        <f t="shared" ca="1" si="17"/>
        <v>FT</v>
      </c>
      <c r="AO15" s="223">
        <f ca="1">+INDIRECT("[EMPINFO.xlsm]"&amp;$O$2&amp;"!t15")</f>
        <v>31</v>
      </c>
      <c r="AP15" s="226">
        <f ca="1">+INDIRECT("[EMPINFO.xlsm]"&amp;$O$2&amp;"!o15")</f>
        <v>-160</v>
      </c>
      <c r="AQ15" s="840">
        <f ca="1">+INDIRECT("[EMPINFO.xlsm]"&amp;$O$2&amp;"!p15")</f>
        <v>-2040</v>
      </c>
      <c r="AR15" s="226">
        <f ca="1">+INDIRECT("[EMPINFO.xlsm]"&amp;$O$2&amp;"!j15")</f>
        <v>0</v>
      </c>
      <c r="AS15" s="840">
        <f ca="1">+INDIRECT("[EMPINFO.xlsm]"&amp;$O$2&amp;"!k15")</f>
        <v>223.99999999999997</v>
      </c>
      <c r="AT15" s="226">
        <f ca="1">+INDIRECT("[EMPINFO.xlsm]"&amp;$O$2&amp;"!m15")</f>
        <v>0</v>
      </c>
      <c r="AU15" s="844">
        <f ca="1">+INDIRECT("[EMPINFO.xlsm]"&amp;$O$2&amp;"!n15")</f>
        <v>240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0.35</v>
      </c>
      <c r="BC15" s="289">
        <f t="shared" ca="1" si="21"/>
        <v>9400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76962.079999999944</v>
      </c>
      <c r="T16" s="221">
        <f t="shared" ca="1" si="24"/>
        <v>0</v>
      </c>
      <c r="U16" s="217">
        <f t="shared" ca="1" si="24"/>
        <v>0</v>
      </c>
      <c r="V16" s="221">
        <f t="shared" ca="1" si="24"/>
        <v>0</v>
      </c>
      <c r="W16" s="217">
        <f t="shared" ca="1" si="24"/>
        <v>512.52</v>
      </c>
      <c r="X16" s="217">
        <f t="shared" ca="1" si="24"/>
        <v>0</v>
      </c>
      <c r="Y16" s="804">
        <f t="shared" ca="1" si="24"/>
        <v>0</v>
      </c>
      <c r="Z16" s="217">
        <f t="shared" ca="1" si="24"/>
        <v>77474.599999999948</v>
      </c>
      <c r="AA16" s="804">
        <f t="shared" ca="1" si="24"/>
        <v>17710</v>
      </c>
      <c r="AB16" s="217">
        <f ca="1">+INDIRECT("[EMPINFO.xlsm]"&amp;$O$2&amp;"!S16")</f>
        <v>0</v>
      </c>
      <c r="AC16" s="221" t="s">
        <v>150</v>
      </c>
      <c r="AD16" s="217">
        <f ca="1">SUM(AD4:AD15)</f>
        <v>0</v>
      </c>
      <c r="AE16" s="221">
        <f ca="1">SUM(AE4:AE15)</f>
        <v>0</v>
      </c>
      <c r="AF16" s="217">
        <f ca="1">SUM(AF4:AF15)</f>
        <v>17710</v>
      </c>
      <c r="AG16" s="221"/>
      <c r="AH16" s="217">
        <f ca="1">SUM(AH4:AH15)</f>
        <v>2908.3599999999992</v>
      </c>
      <c r="AI16" s="803">
        <f ca="1">SUM(AI4:AI15)</f>
        <v>2908.3599999999992</v>
      </c>
      <c r="AJ16" s="217">
        <f t="shared" ca="1" si="14"/>
        <v>5816.7199999999984</v>
      </c>
      <c r="AK16" s="835">
        <f ca="1">SUM(AK4:AK15)</f>
        <v>87.36</v>
      </c>
      <c r="AL16" s="217">
        <f ca="1">+SUM(AL4:AL15)</f>
        <v>80470.319999999934</v>
      </c>
      <c r="AM16" s="298"/>
      <c r="AN16" s="297"/>
      <c r="AO16" s="224">
        <f ca="1">+INDIRECT("[EMPINFO.xlsm]"&amp;$O$2&amp;"!T16")</f>
        <v>365</v>
      </c>
      <c r="AP16" s="299">
        <f>+[1]RGaldes!O16</f>
        <v>0</v>
      </c>
      <c r="AQ16" s="841">
        <f ca="1">+INDIRECT("[EMPINFO.xlsm]"&amp;$O$2&amp;"!p16")</f>
        <v>-2040</v>
      </c>
      <c r="AR16" s="299"/>
      <c r="AS16" s="841">
        <f ca="1">+INDIRECT("[EMPINFO.xlsm]"&amp;$O$2&amp;"!k16")</f>
        <v>223.99999999999997</v>
      </c>
      <c r="AT16" s="299">
        <f ca="1">+INDIRECT("[EMPINFO.xlsm]"&amp;$O$2&amp;"!m16")</f>
        <v>0</v>
      </c>
      <c r="AU16" s="841">
        <f ca="1">+INDIRECT("[EMPINFO.xlsm]"&amp;$O$2&amp;"!n16")</f>
        <v>240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77474</v>
      </c>
      <c r="I17" s="456"/>
      <c r="K17" s="317" t="s">
        <v>151</v>
      </c>
      <c r="L17" s="101"/>
      <c r="M17" s="256">
        <v>35</v>
      </c>
      <c r="N17" s="257" t="s">
        <v>152</v>
      </c>
      <c r="O17" s="258">
        <f ca="1">+Med_Tot</f>
        <v>77474.599999999948</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-2040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Mizzi Katia</v>
      </c>
      <c r="P19" s="374" t="str">
        <f>+IDCard</f>
        <v xml:space="preserve">2399G
</v>
      </c>
      <c r="Q19" s="375" t="str">
        <f>+designation</f>
        <v>2. Dental Surgeon</v>
      </c>
      <c r="R19" s="376" t="s">
        <v>156</v>
      </c>
      <c r="S19" s="377">
        <f ca="1">+S20+S23+S22+S24+S25+S26+S21</f>
        <v>6413.5066666666626</v>
      </c>
      <c r="T19" s="378" t="str">
        <f>+FS4_Status</f>
        <v>SIN</v>
      </c>
      <c r="U19" s="572" t="str">
        <f ca="1">INDEX(INDAT,MATCH(O21,(INDIRECT(("months"),TRUE)),0),26)</f>
        <v>FT</v>
      </c>
      <c r="V19" s="379" t="str">
        <f ca="1">INDEX(INDAT,MATCH(O21,(INDIRECT(("months"),TRUE)),0),25)</f>
        <v>D</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6413.5066666666626</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447.44</v>
      </c>
      <c r="U21" s="372">
        <f ca="1">INDEX(PYRL_Summary,MATCH(O21,months,0),22)</f>
        <v>223.72</v>
      </c>
      <c r="V21" s="373">
        <f ca="1">INDEX(PYRL_Summary,MATCH(O21,months,0),23)</f>
        <v>223.72</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6.72</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77474</v>
      </c>
      <c r="I23" s="466"/>
      <c r="J23" s="318" t="s">
        <v>169</v>
      </c>
      <c r="K23" s="916"/>
      <c r="L23" s="917"/>
      <c r="N23" s="420"/>
      <c r="O23" s="344">
        <f>+ID</f>
        <v>2024006</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1461</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MT90VALL22013000000050021691422</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4728.7866666666623</v>
      </c>
      <c r="V26" s="418"/>
      <c r="X26" s="575"/>
    </row>
    <row r="27" spans="1:56" ht="24" customHeight="1" thickBot="1" x14ac:dyDescent="0.3">
      <c r="A27" s="54"/>
      <c r="B27" s="73" t="s">
        <v>52</v>
      </c>
      <c r="G27" s="73" t="s">
        <v>53</v>
      </c>
      <c r="H27" s="8">
        <f ca="1">IF(OR(Timer="PT", Timer="pt_casual"),0,AA16)</f>
        <v>17710</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173402380</v>
      </c>
      <c r="U27" s="545"/>
      <c r="V27" s="546"/>
      <c r="W27" s="73" t="s">
        <v>183</v>
      </c>
      <c r="Y27" s="436">
        <v>173402380</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223.99999999999997</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Mizzi Katia</v>
      </c>
      <c r="P29" s="394" t="str">
        <f>+IDCard</f>
        <v xml:space="preserve">2399G
</v>
      </c>
      <c r="Q29" s="395" t="str">
        <f>+designation</f>
        <v>2. Dental Surgeon</v>
      </c>
      <c r="R29" s="396" t="s">
        <v>156</v>
      </c>
      <c r="S29" s="397">
        <f ca="1">+S30+S33+S32+S34+S35+S36+S31</f>
        <v>6413.5066666666626</v>
      </c>
      <c r="T29" s="431" t="str">
        <f>+FS4_Status</f>
        <v>SIN</v>
      </c>
      <c r="U29" s="573" t="str">
        <f ca="1">INDEX(INDAT,MATCH(O31,(INDIRECT(("months"),TRUE)),0),26)</f>
        <v>FT</v>
      </c>
      <c r="V29" s="432" t="str">
        <f ca="1">INDEX(INDAT,MATCH(O31,(INDIRECT(("months"),TRUE)),0),25)</f>
        <v>D</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6413.5066666666626</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17710</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447.44</v>
      </c>
      <c r="U31" s="358">
        <f ca="1">INDEX(PYRL_Summary,MATCH(O31,months,0),22)</f>
        <v>223.72</v>
      </c>
      <c r="V31" s="359">
        <f ca="1">INDEX(PYRL_Summary,MATCH(O31,months,0),23)</f>
        <v>223.72</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6.72</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2024006</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1461</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MT90VALL22013000000050021691422</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4728.7866666666623</v>
      </c>
      <c r="V36" s="418"/>
    </row>
    <row r="37" spans="1:37" ht="25.5" customHeight="1" thickBot="1" x14ac:dyDescent="0.3">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174692819</v>
      </c>
      <c r="U37" s="545"/>
      <c r="V37" s="546"/>
      <c r="W37" s="73" t="s">
        <v>183</v>
      </c>
      <c r="Y37" s="436" t="s">
        <v>635</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-200</v>
      </c>
      <c r="R38" s="410" t="s">
        <v>188</v>
      </c>
      <c r="S38" s="411">
        <f ca="1">INDEX(PYRL_Summary,MATCH(O31,months,0),33)</f>
        <v>223.99999999999997</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Mizzi Katia</v>
      </c>
      <c r="P39" s="374" t="str">
        <f>+IDCard</f>
        <v xml:space="preserve">2399G
</v>
      </c>
      <c r="Q39" s="375" t="str">
        <f>+designation</f>
        <v>2. Dental Surgeon</v>
      </c>
      <c r="R39" s="376" t="s">
        <v>156</v>
      </c>
      <c r="S39" s="377">
        <f ca="1">+S40+S43+S42+S44+S45+S46+S41</f>
        <v>6534.6666666666624</v>
      </c>
      <c r="T39" s="378" t="str">
        <f>+FS4_Status</f>
        <v>SIN</v>
      </c>
      <c r="U39" s="572" t="str">
        <f ca="1">INDEX(INDAT,MATCH(O41,(INDIRECT(("months"),TRUE)),0),26)</f>
        <v>FT</v>
      </c>
      <c r="V39" s="379" t="str">
        <f ca="1">INDEX(INDAT,MATCH(O41,(INDIRECT(("months"),TRUE)),0),25)</f>
        <v>D</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6413.5066666666626</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559.29999999999995</v>
      </c>
      <c r="U41" s="372">
        <f ca="1">INDEX(PYRL_Summary,MATCH(O41,months,0),22)</f>
        <v>279.64999999999998</v>
      </c>
      <c r="V41" s="373">
        <f ca="1">INDEX(PYRL_Summary,MATCH(O41,months,0),23)</f>
        <v>279.64999999999998</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8.4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2024006</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1503</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MT90VALL22013000000050021691422</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4752.0166666666628</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-360</v>
      </c>
      <c r="R48" s="392" t="s">
        <v>188</v>
      </c>
      <c r="S48" s="393">
        <f ca="1">INDEX(PYRL_Summary,MATCH(O41,months,0),33)</f>
        <v>223.99999999999997</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Mizzi Katia</v>
      </c>
      <c r="P49" s="394" t="str">
        <f>+IDCard</f>
        <v xml:space="preserve">2399G
</v>
      </c>
      <c r="Q49" s="395" t="str">
        <f>+designation</f>
        <v>2. Dental Surgeon</v>
      </c>
      <c r="R49" s="396" t="s">
        <v>156</v>
      </c>
      <c r="S49" s="397">
        <f ca="1">+S50+S53+S52+S54+S55+S56+S51</f>
        <v>6413.5066666666626</v>
      </c>
      <c r="T49" s="431" t="str">
        <f>+FS4_Status</f>
        <v>SIN</v>
      </c>
      <c r="U49" s="573" t="str">
        <f ca="1">INDEX(INDAT,MATCH(O51,(INDIRECT(("months"),TRUE)),0),26)</f>
        <v>FT</v>
      </c>
      <c r="V49" s="432" t="str">
        <f ca="1">INDEX(INDAT,MATCH(O51,(INDIRECT(("months"),TRUE)),0),25)</f>
        <v>D</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6413.5066666666626</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447.44</v>
      </c>
      <c r="U51" s="358">
        <f ca="1">INDEX(PYRL_Summary,MATCH(O51,months,0),22)</f>
        <v>223.72</v>
      </c>
      <c r="V51" s="359">
        <f ca="1">INDEX(PYRL_Summary,MATCH(O51,months,0),23)</f>
        <v>223.72</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6.72</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2024006</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1461</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MT90VALL22013000000050021691422</v>
      </c>
      <c r="U55" s="890"/>
      <c r="V55" s="891"/>
    </row>
    <row r="56" spans="1:37" ht="16.5" customHeight="1" thickBot="1" x14ac:dyDescent="0.3">
      <c r="E56" s="116" t="s">
        <v>215</v>
      </c>
      <c r="F56" s="115" t="str">
        <f>INDEX([1]!empdata,MATCH(ID,[1]!empid,0),17)</f>
        <v>MT90VALL22013000000050021691422</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4728.7866666666623</v>
      </c>
      <c r="V56" s="418"/>
    </row>
    <row r="57" spans="1:37" ht="26.25" customHeight="1" thickBot="1" x14ac:dyDescent="0.3">
      <c r="E57" s="116" t="s">
        <v>216</v>
      </c>
      <c r="F57" s="340" t="str">
        <f>INDEX([1]!empdata,MATCH(ID,[1]!empid,0),12)</f>
        <v>katiamizzi8@gmail.com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36168</v>
      </c>
      <c r="G58" s="56"/>
      <c r="H58" s="63"/>
      <c r="N58" s="406">
        <f ca="1">INDEX(PYRL_Summary,MATCH(O51,months,0),4)</f>
        <v>4</v>
      </c>
      <c r="O58" s="407" t="s">
        <v>187</v>
      </c>
      <c r="P58" s="408">
        <f>+O41</f>
        <v>46082</v>
      </c>
      <c r="Q58" s="409">
        <f ca="1">INDEX(PYRL_Summary,MATCH(P58,months,0),31)</f>
        <v>-520</v>
      </c>
      <c r="R58" s="410" t="s">
        <v>188</v>
      </c>
      <c r="S58" s="411">
        <f ca="1">INDEX(PYRL_Summary,MATCH(O51,months,0),33)</f>
        <v>223.99999999999997</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45509</v>
      </c>
      <c r="G59" s="56"/>
      <c r="H59" s="63"/>
      <c r="N59" s="386">
        <f ca="1">IF(OR(INDEX(PYRL_Summary,MATCH(O61,months,0),28)="pt",INDEX(PYRL_Summary,MATCH(O61,months,0),28)="pt_casual"),0,IF(N62-N61&gt;=1,1,0))</f>
        <v>1</v>
      </c>
      <c r="O59" s="894" t="str">
        <f>Surname&amp;" "&amp;Name</f>
        <v>Mizzi Katia</v>
      </c>
      <c r="P59" s="374" t="str">
        <f>+IDCard</f>
        <v xml:space="preserve">2399G
</v>
      </c>
      <c r="Q59" s="375" t="str">
        <f>+designation</f>
        <v>2. Dental Surgeon</v>
      </c>
      <c r="R59" s="376" t="s">
        <v>156</v>
      </c>
      <c r="S59" s="377">
        <f ca="1">+S60+S63+S62+S64+S65+S66+S61</f>
        <v>6413.5066666666626</v>
      </c>
      <c r="T59" s="378" t="str">
        <f>+FS4_Status</f>
        <v>SIN</v>
      </c>
      <c r="U59" s="572" t="str">
        <f ca="1">INDEX(INDAT,MATCH(O61,(INDIRECT(("months"),TRUE)),0),26)</f>
        <v>FT</v>
      </c>
      <c r="V59" s="379" t="str">
        <f ca="1">INDEX(INDAT,MATCH(O61,(INDIRECT(("months"),TRUE)),0),25)</f>
        <v>D</v>
      </c>
      <c r="W59" s="422">
        <f>+$O$8</f>
        <v>46143</v>
      </c>
      <c r="X59" s="423"/>
      <c r="Y59" s="423"/>
      <c r="Z59" s="73"/>
      <c r="AA59" s="73"/>
    </row>
    <row r="60" spans="1:37" ht="20.25" customHeight="1" thickBot="1" x14ac:dyDescent="0.3">
      <c r="E60" s="116" t="s">
        <v>219</v>
      </c>
      <c r="F60" s="115" t="str">
        <f>INDEX([1]!empdata,MATCH(ID,[1]!empid,0),8)</f>
        <v>2. Dental Surgeon</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6413.5066666666626</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447.44</v>
      </c>
      <c r="U61" s="372">
        <f ca="1">INDEX(PYRL_Summary,MATCH(O61,months,0),22)</f>
        <v>223.72</v>
      </c>
      <c r="V61" s="373">
        <f ca="1">INDEX(PYRL_Summary,MATCH(O61,months,0),23)</f>
        <v>223.72</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6.72</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2024006</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1461</v>
      </c>
      <c r="X64" s="577"/>
    </row>
    <row r="65" spans="5:37" ht="15.75" customHeight="1" thickBot="1" x14ac:dyDescent="0.3">
      <c r="E65" s="925" t="s">
        <v>224</v>
      </c>
      <c r="F65" s="926"/>
      <c r="G65" s="103">
        <f ca="1">+Med_Tot</f>
        <v>77474.599999999948</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MT90VALL22013000000050021691422</v>
      </c>
      <c r="U65" s="890"/>
      <c r="V65" s="891"/>
    </row>
    <row r="66" spans="5:37" ht="16.5" customHeight="1" thickBot="1" x14ac:dyDescent="0.3">
      <c r="E66" s="952" t="s">
        <v>226</v>
      </c>
      <c r="F66" s="953"/>
      <c r="G66" s="112">
        <f ca="1">+PREVFS3+Med_Tot</f>
        <v>77474.599999999948</v>
      </c>
      <c r="H66" s="114">
        <f ca="1">IF(grossyearly&lt;F68,1,IF(grossyearly&lt;F69,2,IF(grossyearly&lt;F70,3,IF(grossyearly&lt;F71,4,5))))</f>
        <v>5</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4728.7866666666623</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4</v>
      </c>
      <c r="O68" s="389" t="s">
        <v>187</v>
      </c>
      <c r="P68" s="390">
        <f>+O51</f>
        <v>46113</v>
      </c>
      <c r="Q68" s="391">
        <f ca="1">INDEX(PYRL_Summary,MATCH(P68,months,0),31)</f>
        <v>-680</v>
      </c>
      <c r="R68" s="392" t="s">
        <v>188</v>
      </c>
      <c r="S68" s="393">
        <f ca="1">INDEX(PYRL_Summary,MATCH(O61,months,0),33)</f>
        <v>223.99999999999997</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1</v>
      </c>
      <c r="O69" s="908" t="str">
        <f>Surname&amp;" "&amp;Name</f>
        <v>Mizzi Katia</v>
      </c>
      <c r="P69" s="394" t="str">
        <f>+IDCard</f>
        <v xml:space="preserve">2399G
</v>
      </c>
      <c r="Q69" s="395" t="str">
        <f>+designation</f>
        <v>2. Dental Surgeon</v>
      </c>
      <c r="R69" s="396" t="s">
        <v>156</v>
      </c>
      <c r="S69" s="397">
        <f ca="1">+S70+S73+S72+S74+S75+S76+S71</f>
        <v>6548.6066666666629</v>
      </c>
      <c r="T69" s="431" t="str">
        <f>+FS4_Status</f>
        <v>SIN</v>
      </c>
      <c r="U69" s="573" t="str">
        <f ca="1">INDEX(INDAT,MATCH(O71,(INDIRECT(("months"),TRUE)),0),26)</f>
        <v>FT</v>
      </c>
      <c r="V69" s="432" t="str">
        <f ca="1">INDEX(INDAT,MATCH(O71,(INDIRECT(("months"),TRUE)),0),25)</f>
        <v>D</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6413.5066666666626</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559.29999999999995</v>
      </c>
      <c r="U71" s="358">
        <f ca="1">INDEX(PYRL_Summary,MATCH(O71,months,0),22)</f>
        <v>279.64999999999998</v>
      </c>
      <c r="V71" s="359">
        <f ca="1">INDEX(PYRL_Summary,MATCH(O71,months,0),23)</f>
        <v>279.64999999999998</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8.4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2024006</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1508</v>
      </c>
      <c r="X74" s="577"/>
    </row>
    <row r="75" spans="5:37" ht="15.75" customHeight="1" thickBot="1" x14ac:dyDescent="0.3">
      <c r="E75" s="293"/>
      <c r="F75" s="294" t="s">
        <v>130</v>
      </c>
      <c r="G75" s="295">
        <f ca="1">IF(AND(Timer="pt",grossyearly&lt;10000),+ptrate,IF(grossyearly&lt;$F$68,$G$68,IF(grossyearly&lt;$F$69,$G$69,IF(grossyearly&lt;$F$70,$G$70,IF(grossyearly&lt;$F$71,$G$71,$G$72)))))</f>
        <v>0.35</v>
      </c>
      <c r="H75" s="296">
        <f ca="1">IF(grossyearly&lt;$F$68,$H$68,IF(grossyearly&lt;$F$69,$H$69,IF(grossyearly&lt;$F$70,$H$70,IF(grossyearly&lt;$F$71,$H$71,$H$72))))</f>
        <v>9400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MT90VALL22013000000050021691422</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4760.9566666666633</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-880</v>
      </c>
      <c r="R78" s="410" t="s">
        <v>188</v>
      </c>
      <c r="S78" s="411">
        <f ca="1">INDEX(PYRL_Summary,MATCH(O71,months,0),33)</f>
        <v>223.99999999999997</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Mizzi Katia</v>
      </c>
      <c r="P79" s="374" t="str">
        <f>+IDCard</f>
        <v xml:space="preserve">2399G
</v>
      </c>
      <c r="Q79" s="375" t="str">
        <f>+designation</f>
        <v>2. Dental Surgeon</v>
      </c>
      <c r="R79" s="376" t="s">
        <v>156</v>
      </c>
      <c r="S79" s="377">
        <f ca="1">+S80+S83+S82+S84+S85+S86+S81</f>
        <v>6413.5066666666626</v>
      </c>
      <c r="T79" s="378" t="str">
        <f>+FS4_Status</f>
        <v>SIN</v>
      </c>
      <c r="U79" s="572" t="str">
        <f ca="1">INDEX(INDAT,MATCH(O81,(INDIRECT(("months"),TRUE)),0),26)</f>
        <v>FT</v>
      </c>
      <c r="V79" s="379" t="str">
        <f ca="1">INDEX(INDAT,MATCH(O81,(INDIRECT(("months"),TRUE)),0),25)</f>
        <v>D</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6413.5066666666626</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447.44</v>
      </c>
      <c r="U81" s="372">
        <f ca="1">INDEX(PYRL_Summary,MATCH(O81,months,0),22)</f>
        <v>223.72</v>
      </c>
      <c r="V81" s="373">
        <f ca="1">INDEX(PYRL_Summary,MATCH(O81,months,0),23)</f>
        <v>223.72</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6.72</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2024006</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1461</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MT90VALL22013000000050021691422</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4728.7866666666623</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223.99999999999997</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Mizzi Katia</v>
      </c>
      <c r="P89" s="394" t="str">
        <f>+IDCard</f>
        <v xml:space="preserve">2399G
</v>
      </c>
      <c r="Q89" s="395" t="str">
        <f>+designation</f>
        <v>2. Dental Surgeon</v>
      </c>
      <c r="R89" s="396" t="s">
        <v>156</v>
      </c>
      <c r="S89" s="397">
        <f ca="1">+S90+S93+S92+S94+S95+S96+S91</f>
        <v>6413.5066666666626</v>
      </c>
      <c r="T89" s="431" t="str">
        <f>+FS4_Status</f>
        <v>SIN</v>
      </c>
      <c r="U89" s="573" t="str">
        <f ca="1">INDEX(INDAT,MATCH(O91,(INDIRECT(("months"),TRUE)),0),26)</f>
        <v>FT</v>
      </c>
      <c r="V89" s="432" t="str">
        <f ca="1">INDEX(INDAT,MATCH(O91,(INDIRECT(("months"),TRUE)),0),25)</f>
        <v>D</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6413.5066666666626</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559.29999999999995</v>
      </c>
      <c r="U91" s="358">
        <f ca="1">INDEX(PYRL_Summary,MATCH(O91,months,0),22)</f>
        <v>279.64999999999998</v>
      </c>
      <c r="V91" s="359">
        <f ca="1">INDEX(PYRL_Summary,MATCH(O91,months,0),23)</f>
        <v>279.64999999999998</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8.4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2024006</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1461</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MT90VALL22013000000050021691422</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4672.8566666666629</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-1200</v>
      </c>
      <c r="R98" s="410" t="s">
        <v>188</v>
      </c>
      <c r="S98" s="411">
        <f ca="1">INDEX(PYRL_Summary,MATCH(O91,months,0),33)</f>
        <v>223.99999999999997</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Mizzi Katia</v>
      </c>
      <c r="P99" s="374" t="str">
        <f>+IDCard</f>
        <v xml:space="preserve">2399G
</v>
      </c>
      <c r="Q99" s="375" t="str">
        <f>+designation</f>
        <v>2. Dental Surgeon</v>
      </c>
      <c r="R99" s="376" t="s">
        <v>156</v>
      </c>
      <c r="S99" s="377">
        <f ca="1">+S100+S103+S102+S104+S105+S106+S101</f>
        <v>6534.6666666666624</v>
      </c>
      <c r="T99" s="378" t="str">
        <f>+FS4_Status</f>
        <v>SIN</v>
      </c>
      <c r="U99" s="572" t="str">
        <f ca="1">INDEX(INDAT,MATCH(O101,(INDIRECT(("months"),TRUE)),0),26)</f>
        <v>FT</v>
      </c>
      <c r="V99" s="379" t="str">
        <f ca="1">INDEX(INDAT,MATCH(O101,(INDIRECT(("months"),TRUE)),0),25)</f>
        <v>D</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6413.5066666666626</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447.44</v>
      </c>
      <c r="U101" s="372">
        <f ca="1">INDEX(PYRL_Summary,MATCH(O101,months,0),22)</f>
        <v>223.72</v>
      </c>
      <c r="V101" s="373">
        <f ca="1">INDEX(PYRL_Summary,MATCH(O101,months,0),23)</f>
        <v>223.72</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6.72</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2024006</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1503</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MT90VALL22013000000050021691422</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4807.9466666666622</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-1360</v>
      </c>
      <c r="R108" s="392" t="s">
        <v>188</v>
      </c>
      <c r="S108" s="393">
        <f ca="1">INDEX(PYRL_Summary,MATCH(O101,months,0),33)</f>
        <v>223.99999999999997</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Mizzi Katia</v>
      </c>
      <c r="P109" s="394" t="str">
        <f>+IDCard</f>
        <v xml:space="preserve">2399G
</v>
      </c>
      <c r="Q109" s="395" t="str">
        <f>+designation</f>
        <v>2. Dental Surgeon</v>
      </c>
      <c r="R109" s="396" t="s">
        <v>156</v>
      </c>
      <c r="S109" s="397">
        <f ca="1">+S110+S113+S112+S114+S115+S116+S111</f>
        <v>6413.5066666666626</v>
      </c>
      <c r="T109" s="431" t="str">
        <f>+FS4_Status</f>
        <v>SIN</v>
      </c>
      <c r="U109" s="573" t="str">
        <f ca="1">INDEX(INDAT,MATCH(W109,(INDIRECT(("months"),TRUE)),0),26)</f>
        <v>FT</v>
      </c>
      <c r="V109" s="432" t="str">
        <f ca="1">INDEX(INDAT,MATCH(W109,(INDIRECT(("months"),TRUE)),0),25)</f>
        <v>D</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6413.5066666666626</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447.44</v>
      </c>
      <c r="U111" s="358">
        <f ca="1">INDEX(PYRL_Summary,MATCH(W109,months,0),22)</f>
        <v>223.72</v>
      </c>
      <c r="V111" s="359">
        <f ca="1">INDEX(PYRL_Summary,MATCH(W109,months,0),23)</f>
        <v>223.72</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6.72</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2024006</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1461</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MT90VALL22013000000050021691422</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4728.7866666666623</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-1520</v>
      </c>
      <c r="R118" s="410" t="s">
        <v>188</v>
      </c>
      <c r="S118" s="411">
        <f ca="1">INDEX(PYRL_Summary,MATCH(W109,months,0),33)</f>
        <v>223.99999999999997</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Mizzi Katia</v>
      </c>
      <c r="P119" s="374" t="str">
        <f>+IDCard</f>
        <v xml:space="preserve">2399G
</v>
      </c>
      <c r="Q119" s="375" t="str">
        <f>+designation</f>
        <v>2. Dental Surgeon</v>
      </c>
      <c r="R119" s="376" t="s">
        <v>156</v>
      </c>
      <c r="S119" s="377">
        <f ca="1">+S120+S123+S122+S124+S125+S126+S121</f>
        <v>6413.5066666666626</v>
      </c>
      <c r="T119" s="378" t="str">
        <f>+FS4_Status</f>
        <v>SIN</v>
      </c>
      <c r="U119" s="572" t="str">
        <f ca="1">INDEX(INDAT,MATCH(W119,(INDIRECT(("months"),TRUE)),0),26)</f>
        <v>FT</v>
      </c>
      <c r="V119" s="379" t="str">
        <f ca="1">INDEX(INDAT,MATCH(W119,(INDIRECT(("months"),TRUE)),0),25)</f>
        <v>D</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6413.5066666666626</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559.29999999999995</v>
      </c>
      <c r="U121" s="372">
        <f ca="1">INDEX(PYRL_Summary,MATCH(W119,months,0),22)</f>
        <v>279.64999999999998</v>
      </c>
      <c r="V121" s="373">
        <f ca="1">INDEX(PYRL_Summary,MATCH(W119,months,0),23)</f>
        <v>279.64999999999998</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8.4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2024006</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1461</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MT90VALL22013000000050021691422</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4672.8566666666629</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-1720</v>
      </c>
      <c r="R128" s="392" t="s">
        <v>188</v>
      </c>
      <c r="S128" s="393">
        <f ca="1">INDEX(PYRL_Summary,MATCH(W119,months,0),33)</f>
        <v>223.99999999999997</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Mizzi Katia</v>
      </c>
      <c r="P129" s="394" t="str">
        <f>+IDCard</f>
        <v xml:space="preserve">2399G
</v>
      </c>
      <c r="Q129" s="395" t="str">
        <f>+designation</f>
        <v>2. Dental Surgeon</v>
      </c>
      <c r="R129" s="396" t="s">
        <v>156</v>
      </c>
      <c r="S129" s="397">
        <f ca="1">+S130+S133+S132+S134+S135+S136+S131</f>
        <v>6548.6066666666629</v>
      </c>
      <c r="T129" s="431" t="str">
        <f>+FS4_Status</f>
        <v>SIN</v>
      </c>
      <c r="U129" s="573" t="str">
        <f ca="1">INDEX(INDAT,MATCH(W129,(INDIRECT(("months"),TRUE)),0),26)</f>
        <v>FT</v>
      </c>
      <c r="V129" s="432" t="str">
        <f ca="1">INDEX(INDAT,MATCH(W129,(INDIRECT(("months"),TRUE)),0),25)</f>
        <v>D</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6413.5066666666626</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447.44</v>
      </c>
      <c r="U131" s="358">
        <f ca="1">INDEX(PYRL_Summary,MATCH(W129,months,0),22)</f>
        <v>223.72</v>
      </c>
      <c r="V131" s="359">
        <f ca="1">INDEX(PYRL_Summary,MATCH(W129,months,0),23)</f>
        <v>223.72</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6.72</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2024006</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1508</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MT90VALL22013000000050021691422</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4816.8866666666627</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-1880</v>
      </c>
      <c r="R138" s="410" t="s">
        <v>188</v>
      </c>
      <c r="S138" s="411">
        <f ca="1">INDEX(PYRL_Summary,MATCH(W129,months,0),33)</f>
        <v>223.99999999999997</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551" priority="29">
      <formula>$P25=0</formula>
    </cfRule>
  </conditionalFormatting>
  <conditionalFormatting sqref="Q25:R25">
    <cfRule type="expression" dxfId="550" priority="28">
      <formula>$R25=0</formula>
    </cfRule>
  </conditionalFormatting>
  <conditionalFormatting sqref="S25">
    <cfRule type="expression" dxfId="549" priority="27">
      <formula>$S25=0</formula>
    </cfRule>
  </conditionalFormatting>
  <conditionalFormatting sqref="S26">
    <cfRule type="expression" dxfId="548" priority="25">
      <formula>$S$46&gt;0.01</formula>
    </cfRule>
    <cfRule type="expression" dxfId="547" priority="26">
      <formula>$S$46=0</formula>
    </cfRule>
  </conditionalFormatting>
  <conditionalFormatting sqref="T23 T33 T43 T53 T63 T73 T83 T93 T103 T113 T123 T133">
    <cfRule type="expression" dxfId="546" priority="24" stopIfTrue="1">
      <formula>"$R$23=0"""</formula>
    </cfRule>
  </conditionalFormatting>
  <conditionalFormatting sqref="O26:Q26">
    <cfRule type="expression" dxfId="545" priority="23">
      <formula>$Q$26=0</formula>
    </cfRule>
  </conditionalFormatting>
  <conditionalFormatting sqref="V23">
    <cfRule type="expression" dxfId="544" priority="22">
      <formula>$V$23=0</formula>
    </cfRule>
  </conditionalFormatting>
  <conditionalFormatting sqref="O35:P35">
    <cfRule type="expression" dxfId="543" priority="21">
      <formula>$P35=0</formula>
    </cfRule>
  </conditionalFormatting>
  <conditionalFormatting sqref="Q35:R35">
    <cfRule type="expression" dxfId="542" priority="20">
      <formula>$R35=0</formula>
    </cfRule>
  </conditionalFormatting>
  <conditionalFormatting sqref="S35">
    <cfRule type="expression" dxfId="541" priority="19">
      <formula>$S35=0</formula>
    </cfRule>
  </conditionalFormatting>
  <conditionalFormatting sqref="S36">
    <cfRule type="expression" dxfId="540" priority="17">
      <formula>$S$46&gt;0.01</formula>
    </cfRule>
    <cfRule type="expression" dxfId="539" priority="18">
      <formula>$S$46=0</formula>
    </cfRule>
  </conditionalFormatting>
  <conditionalFormatting sqref="O36:Q36">
    <cfRule type="expression" dxfId="538" priority="16">
      <formula>$Q$26=0</formula>
    </cfRule>
  </conditionalFormatting>
  <conditionalFormatting sqref="V33">
    <cfRule type="expression" dxfId="537" priority="15">
      <formula>$V$23=0</formula>
    </cfRule>
  </conditionalFormatting>
  <conditionalFormatting sqref="O45:P45 O65:P65 O85:P85 O105:P105 O125:P125">
    <cfRule type="expression" dxfId="536" priority="14">
      <formula>$P45=0</formula>
    </cfRule>
  </conditionalFormatting>
  <conditionalFormatting sqref="Q45:R45 Q65:R65 Q85:R85 Q105:R105 Q125:R125">
    <cfRule type="expression" dxfId="535" priority="13">
      <formula>$R45=0</formula>
    </cfRule>
  </conditionalFormatting>
  <conditionalFormatting sqref="S45 S65 S85 S105 S125">
    <cfRule type="expression" dxfId="534" priority="12">
      <formula>$S45=0</formula>
    </cfRule>
  </conditionalFormatting>
  <conditionalFormatting sqref="S46 S66 S86 S106 S126">
    <cfRule type="expression" dxfId="533" priority="10">
      <formula>$S$46&gt;0.01</formula>
    </cfRule>
    <cfRule type="expression" dxfId="532" priority="11">
      <formula>$S$46=0</formula>
    </cfRule>
  </conditionalFormatting>
  <conditionalFormatting sqref="O46:Q46 O66:Q66 O86:Q86 O106:Q106 O126:Q126">
    <cfRule type="expression" dxfId="531" priority="9">
      <formula>$Q$26=0</formula>
    </cfRule>
  </conditionalFormatting>
  <conditionalFormatting sqref="V43 V63 V83 V103 V123">
    <cfRule type="expression" dxfId="530" priority="8">
      <formula>$V$23=0</formula>
    </cfRule>
  </conditionalFormatting>
  <conditionalFormatting sqref="O55:P55 O75:P75 O95:P95 O115:P115 O135:P135">
    <cfRule type="expression" dxfId="529" priority="7">
      <formula>$P55=0</formula>
    </cfRule>
  </conditionalFormatting>
  <conditionalFormatting sqref="Q55:R55 Q75:R75 Q95:R95 Q115:R115 Q135:R135">
    <cfRule type="expression" dxfId="528" priority="6">
      <formula>$R55=0</formula>
    </cfRule>
  </conditionalFormatting>
  <conditionalFormatting sqref="S55 S75 S95 S115 S135">
    <cfRule type="expression" dxfId="527" priority="5">
      <formula>$S55=0</formula>
    </cfRule>
  </conditionalFormatting>
  <conditionalFormatting sqref="S56 S76 S96 S116 S136">
    <cfRule type="expression" dxfId="526" priority="3">
      <formula>$S$46&gt;0.01</formula>
    </cfRule>
    <cfRule type="expression" dxfId="525" priority="4">
      <formula>$S$46=0</formula>
    </cfRule>
  </conditionalFormatting>
  <conditionalFormatting sqref="O56:Q56 O76:Q76 O96:Q96 O116:Q116 O136:Q136">
    <cfRule type="expression" dxfId="524" priority="2">
      <formula>$Q$26=0</formula>
    </cfRule>
  </conditionalFormatting>
  <conditionalFormatting sqref="V53 V73 V93 V113 V133">
    <cfRule type="expression" dxfId="523" priority="1">
      <formula>$V$23=0</formula>
    </cfRule>
  </conditionalFormatting>
  <hyperlinks>
    <hyperlink ref="F57" r:id="rId1" display="drchrisgauci@gmail.com" xr:uid="{00000000-0004-0000-05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0513"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0514"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0515"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0516"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0517"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0518"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0519"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0520"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0521"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0522"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0523"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0524"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0525"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5">
    <tabColor rgb="FF4472C4"/>
  </sheetPr>
  <dimension ref="A1:BJ149"/>
  <sheetViews>
    <sheetView topLeftCell="L22" workbookViewId="0">
      <selection activeCell="Z39" sqref="Z39"/>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RCamilleri</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2025008</v>
      </c>
      <c r="O2" s="810" t="str">
        <f>CONCATENATE(LEFT(Name,1),Surname)</f>
        <v>RCamilleri</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32</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32.131</v>
      </c>
      <c r="O4" s="213">
        <f>+DATA!A3</f>
        <v>46023</v>
      </c>
      <c r="P4" s="219">
        <f ca="1">+INDIRECT("[EMPINFO.xlsm]"&amp;$O$2&amp;"!G4")</f>
        <v>4</v>
      </c>
      <c r="Q4" s="215">
        <f ca="1">IF(AZ4="active",INDIRECT("[EMPINFO.xlsm]"&amp;$O$2&amp;"!H4"),0)</f>
        <v>40</v>
      </c>
      <c r="R4" s="239">
        <f ca="1">IF(AZ4&lt;&gt;"active",0,N3+COLA)</f>
        <v>32.131</v>
      </c>
      <c r="S4" s="216">
        <f t="shared" ref="S4:S15" ca="1" si="1">+Q4*R4*4.33333333333333*AO4/AX4</f>
        <v>5569.3733333333294</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5569.3733333333294</v>
      </c>
      <c r="AA4" s="803">
        <f t="shared" ref="AA4:AA15" ca="1" si="7">IF(OR(AN4="PT",AN4="PT_Casual"),TRUNC((Z4*PT_Rate),0),(TRUNC((Z4*BB4)-(BC4/12),0)))</f>
        <v>1165</v>
      </c>
      <c r="AB4" s="218">
        <f ca="1">+INDIRECT("[EMPINFO.xlsm]"&amp;$O$2&amp;"!s4")</f>
        <v>0</v>
      </c>
      <c r="AC4" s="292">
        <v>1.5</v>
      </c>
      <c r="AD4" s="218">
        <f t="shared" ref="AD4:AD15" ca="1" si="8">+AB4*(R4*AC4)</f>
        <v>0</v>
      </c>
      <c r="AE4" s="220">
        <f t="shared" ref="AE4:AE15" ca="1" si="9">+TRUNC((AD4*0.15),0)</f>
        <v>0</v>
      </c>
      <c r="AF4" s="218">
        <f t="shared" ref="AF4:AF15" ca="1" si="10">+AA4+AE4</f>
        <v>1165</v>
      </c>
      <c r="AG4" s="803">
        <f t="shared" ref="AG4:AG15" ca="1" si="11">+R4*Q4</f>
        <v>1285.24</v>
      </c>
      <c r="AH4" s="218">
        <f t="shared" ref="AH4:AH15" ca="1" si="12">ROUND(IF(AN4="",0,IF(OR(AN4="PT",AN4="PT_Casual"),0,IF(AM4="B",ROUND(SSCBemployermultiplier*P4,2),IF(AM4="c",SOCSECCRATE*AG4*P4,IF(AM4="D",ROUND(socsecrateD*P4,2)))))),2)</f>
        <v>223.72</v>
      </c>
      <c r="AI4" s="803">
        <f t="shared" ref="AI4:AI15" ca="1" si="13">ROUND(IF(AN4="",0,IF(OR(AN4="PT",AN4="PT_Casual"),0,IF(AM4="B",ROUND(SSCBemployermultiplier*P4,2),IF(AM4="c",SOCSECCRATE*AG4*P4,IF(AM4="D",ROUND(socsecrateD*P4,2)))))),2)</f>
        <v>223.72</v>
      </c>
      <c r="AJ4" s="218">
        <f t="shared" ref="AJ4:AJ16" ca="1" si="14">+AH4+AI4</f>
        <v>447.44</v>
      </c>
      <c r="AK4" s="803">
        <f t="shared" ref="AK4:AK15" ca="1" si="15">ROUND(IF(AN4="",0,IF(OR(AN4="PT",AN4="PT_Casual"),0,IF(AM4="B",SSCBmlfmultiplier*P4,IF(AM4="c",SSCCmlfmultiplier*P4*AG4,IF(AM4="D",SSCDmlfmultiplier*P4))))),2)</f>
        <v>6.72</v>
      </c>
      <c r="AL4" s="218">
        <f ca="1">+Z4+AH4+AK4</f>
        <v>5799.8133333333299</v>
      </c>
      <c r="AM4" s="290" t="str">
        <f t="shared" ref="AM4:AM15" ca="1" si="16">IF(AZ4="Active",IF(OR(AN4="PT",AN4="PT_Casual"),0,(IF(AG4&lt;SSCcatBMAX,"B",(IF(AG4&lt;SSCcatCMAX,"C","D"))))),0)</f>
        <v>D</v>
      </c>
      <c r="AN4" s="291" t="str">
        <f t="shared" ref="AN4:AN15" ca="1" si="17">IF(AZ4="active",+Timer,"")</f>
        <v>FT</v>
      </c>
      <c r="AO4" s="223">
        <f ca="1">+INDIRECT("[EMPINFO.xlsm]"&amp;$O$2&amp;"!t4")</f>
        <v>31</v>
      </c>
      <c r="AP4" s="226">
        <f ca="1">+INDIRECT("[EMPINFO.xlsm]"&amp;$O$2&amp;"!o4")</f>
        <v>-200</v>
      </c>
      <c r="AQ4" s="840">
        <f ca="1">+INDIRECT("[EMPINFO.xlsm]"&amp;$O$2&amp;"!p4")</f>
        <v>-200</v>
      </c>
      <c r="AR4" s="226">
        <f ca="1">+INDIRECT("[EMPINFO.xlsm]"&amp;$O$2&amp;"!j4")</f>
        <v>0</v>
      </c>
      <c r="AS4" s="840">
        <f ca="1">+INDIRECT("[EMPINFO.xlsm]"&amp;$O$2&amp;"!k4")</f>
        <v>223.99999999999997</v>
      </c>
      <c r="AT4" s="226">
        <f ca="1">+INDIRECT("[EMPINFO.xlsm]"&amp;$O$2&amp;"!m4")</f>
        <v>0</v>
      </c>
      <c r="AU4" s="844">
        <f ca="1">+INDIRECT("[EMPINFO.xlsm]"&amp;$O$2&amp;"!n4")</f>
        <v>240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0.35</v>
      </c>
      <c r="BC4" s="289">
        <f t="shared" ref="BC4:BC15" ca="1" si="21">IF((Z4*12)&lt;$F$68,$H$68,IF((Z4*12)&lt;$F$69,$H$69,IF((Z4*12)&lt;$F$70,$H$70,IF((Z4*12)&lt;$F$71,$H$71,$H$72))))</f>
        <v>9400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32.131</v>
      </c>
      <c r="O5" s="213">
        <f>+DATA!A4</f>
        <v>46054</v>
      </c>
      <c r="P5" s="219">
        <f ca="1">+INDIRECT("[EMPINFO.xlsm]"&amp;$O$2&amp;"!G5")</f>
        <v>4</v>
      </c>
      <c r="Q5" s="215">
        <f ca="1">IF(AZ5="active",INDIRECT("[EMPINFO.xlsm]"&amp;$O$2&amp;"!H5"),0)</f>
        <v>40</v>
      </c>
      <c r="R5" s="239">
        <f t="shared" ref="R5:R15" ca="1" si="22">+R4</f>
        <v>32.131</v>
      </c>
      <c r="S5" s="216">
        <f t="shared" ca="1" si="1"/>
        <v>5569.3733333333294</v>
      </c>
      <c r="T5" s="220">
        <f t="shared" ca="1" si="2"/>
        <v>0</v>
      </c>
      <c r="U5" s="218">
        <f t="shared" ca="1" si="3"/>
        <v>0</v>
      </c>
      <c r="V5" s="220">
        <f ca="1">+feboth*febhrrt</f>
        <v>0</v>
      </c>
      <c r="W5" s="201"/>
      <c r="X5" s="218">
        <f t="shared" ca="1" si="4"/>
        <v>0</v>
      </c>
      <c r="Y5" s="803">
        <f t="shared" ca="1" si="5"/>
        <v>0</v>
      </c>
      <c r="Z5" s="218">
        <f t="shared" ca="1" si="6"/>
        <v>5569.3733333333294</v>
      </c>
      <c r="AA5" s="803">
        <f t="shared" ca="1" si="7"/>
        <v>1165</v>
      </c>
      <c r="AB5" s="218">
        <f ca="1">+INDIRECT("[EMPINFO.xlsm]"&amp;$O$2&amp;"!s5")</f>
        <v>0</v>
      </c>
      <c r="AC5" s="292">
        <v>1.5</v>
      </c>
      <c r="AD5" s="218">
        <f t="shared" ca="1" si="8"/>
        <v>0</v>
      </c>
      <c r="AE5" s="220">
        <f t="shared" ca="1" si="9"/>
        <v>0</v>
      </c>
      <c r="AF5" s="218">
        <f t="shared" ca="1" si="10"/>
        <v>1165</v>
      </c>
      <c r="AG5" s="803">
        <f t="shared" ca="1" si="11"/>
        <v>1285.24</v>
      </c>
      <c r="AH5" s="218">
        <f t="shared" ca="1" si="12"/>
        <v>223.72</v>
      </c>
      <c r="AI5" s="803">
        <f t="shared" ca="1" si="13"/>
        <v>223.72</v>
      </c>
      <c r="AJ5" s="218">
        <f t="shared" ca="1" si="14"/>
        <v>447.44</v>
      </c>
      <c r="AK5" s="803">
        <f t="shared" ca="1" si="15"/>
        <v>6.72</v>
      </c>
      <c r="AL5" s="218">
        <f t="shared" ref="AL5:AL15" ca="1" si="23">+Z5+AI5+AK5</f>
        <v>5799.8133333333299</v>
      </c>
      <c r="AM5" s="290" t="str">
        <f t="shared" ca="1" si="16"/>
        <v>D</v>
      </c>
      <c r="AN5" s="291" t="str">
        <f t="shared" ca="1" si="17"/>
        <v>FT</v>
      </c>
      <c r="AO5" s="223">
        <f ca="1">+INDIRECT("[EMPINFO.xlsm]"&amp;$O$2&amp;"!t5")</f>
        <v>28</v>
      </c>
      <c r="AP5" s="226">
        <f ca="1">+INDIRECT("[EMPINFO.xlsm]"&amp;$O$2&amp;"!o5")</f>
        <v>-160</v>
      </c>
      <c r="AQ5" s="840">
        <f ca="1">+INDIRECT("[EMPINFO.xlsm]"&amp;$O$2&amp;"!p5")</f>
        <v>-360</v>
      </c>
      <c r="AR5" s="226">
        <f ca="1">+INDIRECT("[EMPINFO.xlsm]"&amp;$O$2&amp;"!j5")</f>
        <v>0</v>
      </c>
      <c r="AS5" s="840">
        <f ca="1">+INDIRECT("[EMPINFO.xlsm]"&amp;$O$2&amp;"!k5")</f>
        <v>223.99999999999997</v>
      </c>
      <c r="AT5" s="226">
        <f ca="1">+INDIRECT("[EMPINFO.xlsm]"&amp;$O$2&amp;"!m5")</f>
        <v>0</v>
      </c>
      <c r="AU5" s="844">
        <f ca="1">+INDIRECT("[EMPINFO.xlsm]"&amp;$O$2&amp;"!n5")</f>
        <v>240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0.35</v>
      </c>
      <c r="BC5" s="289">
        <f t="shared" ca="1" si="21"/>
        <v>9400</v>
      </c>
      <c r="BD5" s="255"/>
      <c r="BE5" s="205"/>
      <c r="BG5" s="27"/>
      <c r="BH5" s="28"/>
    </row>
    <row r="6" spans="1:62" ht="15.75" customHeight="1" thickBot="1" x14ac:dyDescent="0.3">
      <c r="A6" s="54"/>
      <c r="B6" s="2" t="s">
        <v>135</v>
      </c>
      <c r="C6" s="921" t="str">
        <f>INDEX([1]!empdata,MATCH(ID,[1]!empid,0),3)</f>
        <v>Camilleri</v>
      </c>
      <c r="D6" s="922"/>
      <c r="E6" s="922"/>
      <c r="F6" s="886"/>
      <c r="I6" s="312" t="s">
        <v>136</v>
      </c>
      <c r="L6" s="101"/>
      <c r="M6" s="303"/>
      <c r="N6" s="211">
        <f t="shared" ca="1" si="0"/>
        <v>32.131</v>
      </c>
      <c r="O6" s="213">
        <f>+DATA!A5</f>
        <v>46082</v>
      </c>
      <c r="P6" s="219">
        <f ca="1">+INDIRECT("[EMPINFO.xlsm]"&amp;$O$2&amp;"!G6")</f>
        <v>5</v>
      </c>
      <c r="Q6" s="215">
        <f ca="1">IF(AZ6="active",INDIRECT("[EMPINFO.xlsm]"&amp;$O$2&amp;"!H6"),0)</f>
        <v>40</v>
      </c>
      <c r="R6" s="239">
        <f t="shared" ca="1" si="22"/>
        <v>32.131</v>
      </c>
      <c r="S6" s="216">
        <f t="shared" ca="1" si="1"/>
        <v>5569.3733333333294</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5690.5333333333292</v>
      </c>
      <c r="AA6" s="803">
        <f t="shared" ca="1" si="7"/>
        <v>1208</v>
      </c>
      <c r="AB6" s="218">
        <f ca="1">+INDIRECT("[EMPINFO.xlsm]"&amp;$O$2&amp;"!s6")</f>
        <v>0</v>
      </c>
      <c r="AC6" s="292">
        <v>1.5</v>
      </c>
      <c r="AD6" s="218">
        <f t="shared" ca="1" si="8"/>
        <v>0</v>
      </c>
      <c r="AE6" s="220">
        <f t="shared" ca="1" si="9"/>
        <v>0</v>
      </c>
      <c r="AF6" s="218">
        <f t="shared" ca="1" si="10"/>
        <v>1208</v>
      </c>
      <c r="AG6" s="803">
        <f t="shared" ca="1" si="11"/>
        <v>1285.24</v>
      </c>
      <c r="AH6" s="218">
        <f t="shared" ca="1" si="12"/>
        <v>279.64999999999998</v>
      </c>
      <c r="AI6" s="803">
        <f t="shared" ca="1" si="13"/>
        <v>279.64999999999998</v>
      </c>
      <c r="AJ6" s="218">
        <f t="shared" ca="1" si="14"/>
        <v>559.29999999999995</v>
      </c>
      <c r="AK6" s="803">
        <f t="shared" ca="1" si="15"/>
        <v>8.4</v>
      </c>
      <c r="AL6" s="218">
        <f t="shared" ca="1" si="23"/>
        <v>5978.5833333333285</v>
      </c>
      <c r="AM6" s="290" t="str">
        <f t="shared" ca="1" si="16"/>
        <v>D</v>
      </c>
      <c r="AN6" s="291" t="str">
        <f t="shared" ca="1" si="17"/>
        <v>FT</v>
      </c>
      <c r="AO6" s="223">
        <f ca="1">+INDIRECT("[EMPINFO.xlsm]"&amp;$O$2&amp;"!t6")</f>
        <v>31</v>
      </c>
      <c r="AP6" s="226">
        <f ca="1">+INDIRECT("[EMPINFO.xlsm]"&amp;$O$2&amp;"!o6")</f>
        <v>-160</v>
      </c>
      <c r="AQ6" s="840">
        <f ca="1">+INDIRECT("[EMPINFO.xlsm]"&amp;$O$2&amp;"!p6")</f>
        <v>-520</v>
      </c>
      <c r="AR6" s="226">
        <f ca="1">+INDIRECT("[EMPINFO.xlsm]"&amp;$O$2&amp;"!j6")</f>
        <v>0</v>
      </c>
      <c r="AS6" s="840">
        <f ca="1">+INDIRECT("[EMPINFO.xlsm]"&amp;$O$2&amp;"!k6")</f>
        <v>223.99999999999997</v>
      </c>
      <c r="AT6" s="226">
        <f ca="1">+INDIRECT("[EMPINFO.xlsm]"&amp;$O$2&amp;"!m6")</f>
        <v>0</v>
      </c>
      <c r="AU6" s="844">
        <f ca="1">+INDIRECT("[EMPINFO.xlsm]"&amp;$O$2&amp;"!n6")</f>
        <v>240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0.35</v>
      </c>
      <c r="BC6" s="289">
        <f t="shared" ca="1" si="21"/>
        <v>9400</v>
      </c>
      <c r="BD6" s="255"/>
      <c r="BE6" s="206"/>
    </row>
    <row r="7" spans="1:62" ht="15.75" customHeight="1" thickBot="1" x14ac:dyDescent="0.3">
      <c r="A7" s="54"/>
      <c r="B7" s="3" t="s">
        <v>137</v>
      </c>
      <c r="C7" s="921" t="str">
        <f>INDEX([1]!empdata,MATCH(ID,[1]!empid,0),4)</f>
        <v>Ryan</v>
      </c>
      <c r="D7" s="922"/>
      <c r="E7" s="922"/>
      <c r="F7" s="886"/>
      <c r="H7" s="312" t="s">
        <v>138</v>
      </c>
      <c r="I7" s="927" t="str">
        <f>INDEX([1]!empdata,MATCH(ID,[1]!empid,0),6)</f>
        <v>4401H</v>
      </c>
      <c r="J7" s="859"/>
      <c r="K7" s="857"/>
      <c r="L7" s="101"/>
      <c r="M7" s="303"/>
      <c r="N7" s="211">
        <f t="shared" ca="1" si="0"/>
        <v>32.131</v>
      </c>
      <c r="O7" s="213">
        <f>+DATA!A6</f>
        <v>46113</v>
      </c>
      <c r="P7" s="219">
        <f ca="1">+INDIRECT("[EMPINFO.xlsm]"&amp;$O$2&amp;"!G7")</f>
        <v>4</v>
      </c>
      <c r="Q7" s="215">
        <f ca="1">IF(AZ7="active",INDIRECT("[EMPINFO.xlsm]"&amp;$O$2&amp;"!H7"),0)</f>
        <v>40</v>
      </c>
      <c r="R7" s="239">
        <f t="shared" ca="1" si="22"/>
        <v>32.131</v>
      </c>
      <c r="S7" s="216">
        <f t="shared" ca="1" si="1"/>
        <v>5569.3733333333303</v>
      </c>
      <c r="T7" s="220">
        <f t="shared" ca="1" si="2"/>
        <v>0</v>
      </c>
      <c r="U7" s="218">
        <f t="shared" ca="1" si="3"/>
        <v>0</v>
      </c>
      <c r="V7" s="220">
        <f ca="1">+aproth*aprhrrt</f>
        <v>0</v>
      </c>
      <c r="W7" s="201"/>
      <c r="X7" s="218">
        <f t="shared" ca="1" si="4"/>
        <v>0</v>
      </c>
      <c r="Y7" s="803">
        <f t="shared" ca="1" si="5"/>
        <v>0</v>
      </c>
      <c r="Z7" s="218">
        <f t="shared" ca="1" si="6"/>
        <v>5569.3733333333303</v>
      </c>
      <c r="AA7" s="803">
        <f t="shared" ca="1" si="7"/>
        <v>1165</v>
      </c>
      <c r="AB7" s="218">
        <f ca="1">+INDIRECT("[EMPINFO.xlsm]"&amp;$O$2&amp;"!s7")</f>
        <v>0</v>
      </c>
      <c r="AC7" s="292">
        <v>1.5</v>
      </c>
      <c r="AD7" s="218">
        <f t="shared" ca="1" si="8"/>
        <v>0</v>
      </c>
      <c r="AE7" s="220">
        <f t="shared" ca="1" si="9"/>
        <v>0</v>
      </c>
      <c r="AF7" s="218">
        <f t="shared" ca="1" si="10"/>
        <v>1165</v>
      </c>
      <c r="AG7" s="803">
        <f t="shared" ca="1" si="11"/>
        <v>1285.24</v>
      </c>
      <c r="AH7" s="218">
        <f t="shared" ca="1" si="12"/>
        <v>223.72</v>
      </c>
      <c r="AI7" s="803">
        <f t="shared" ca="1" si="13"/>
        <v>223.72</v>
      </c>
      <c r="AJ7" s="218">
        <f t="shared" ca="1" si="14"/>
        <v>447.44</v>
      </c>
      <c r="AK7" s="803">
        <f t="shared" ca="1" si="15"/>
        <v>6.72</v>
      </c>
      <c r="AL7" s="218">
        <f t="shared" ca="1" si="23"/>
        <v>5799.8133333333308</v>
      </c>
      <c r="AM7" s="290" t="str">
        <f t="shared" ca="1" si="16"/>
        <v>D</v>
      </c>
      <c r="AN7" s="291" t="str">
        <f t="shared" ca="1" si="17"/>
        <v>FT</v>
      </c>
      <c r="AO7" s="223">
        <f ca="1">+INDIRECT("[EMPINFO.xlsm]"&amp;$O$2&amp;"!t7")</f>
        <v>30</v>
      </c>
      <c r="AP7" s="226">
        <f ca="1">+INDIRECT("[EMPINFO.xlsm]"&amp;$O$2&amp;"!o7")</f>
        <v>-160</v>
      </c>
      <c r="AQ7" s="840">
        <f ca="1">+INDIRECT("[EMPINFO.xlsm]"&amp;$O$2&amp;"!p7")</f>
        <v>-680</v>
      </c>
      <c r="AR7" s="226">
        <f ca="1">+INDIRECT("[EMPINFO.xlsm]"&amp;$O$2&amp;"!j7")</f>
        <v>0</v>
      </c>
      <c r="AS7" s="840">
        <f ca="1">+INDIRECT("[EMPINFO.xlsm]"&amp;$O$2&amp;"!k7")</f>
        <v>223.99999999999997</v>
      </c>
      <c r="AT7" s="226">
        <f ca="1">+INDIRECT("[EMPINFO.xlsm]"&amp;$O$2&amp;"!m7")</f>
        <v>0</v>
      </c>
      <c r="AU7" s="844">
        <f ca="1">+INDIRECT("[EMPINFO.xlsm]"&amp;$O$2&amp;"!n7")</f>
        <v>240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0.35</v>
      </c>
      <c r="BC7" s="289">
        <f t="shared" ca="1" si="21"/>
        <v>9400</v>
      </c>
      <c r="BD7" s="255"/>
      <c r="BE7" s="206"/>
    </row>
    <row r="8" spans="1:62" ht="15.75" customHeight="1" thickBot="1" x14ac:dyDescent="0.3">
      <c r="A8" s="54"/>
      <c r="B8" s="3" t="s">
        <v>139</v>
      </c>
      <c r="C8" s="921" t="str">
        <f>INDEX([1]!empdata,MATCH(ID,[1]!empid,0),18)</f>
        <v>Ta' Romeo</v>
      </c>
      <c r="D8" s="922"/>
      <c r="E8" s="922"/>
      <c r="F8" s="886"/>
      <c r="I8" s="312" t="s">
        <v>140</v>
      </c>
      <c r="L8" s="101"/>
      <c r="M8" s="303"/>
      <c r="N8" s="211">
        <f t="shared" ca="1" si="0"/>
        <v>32.131</v>
      </c>
      <c r="O8" s="213">
        <f>+DATA!A7</f>
        <v>46143</v>
      </c>
      <c r="P8" s="219">
        <f ca="1">+INDIRECT("[EMPINFO.xlsm]"&amp;$O$2&amp;"!G8")</f>
        <v>4</v>
      </c>
      <c r="Q8" s="215">
        <f ca="1">IF(AZ8="active",INDIRECT("[EMPINFO.xlsm]"&amp;$O$2&amp;"!H8"),0)</f>
        <v>40</v>
      </c>
      <c r="R8" s="239">
        <f t="shared" ca="1" si="22"/>
        <v>32.131</v>
      </c>
      <c r="S8" s="216">
        <f t="shared" ca="1" si="1"/>
        <v>5569.3733333333294</v>
      </c>
      <c r="T8" s="220">
        <f t="shared" ca="1" si="2"/>
        <v>0</v>
      </c>
      <c r="U8" s="218">
        <f t="shared" ca="1" si="3"/>
        <v>0</v>
      </c>
      <c r="V8" s="220">
        <f ca="1">+mayoth*mayhrrt</f>
        <v>0</v>
      </c>
      <c r="W8" s="201"/>
      <c r="X8" s="218">
        <f t="shared" ca="1" si="4"/>
        <v>0</v>
      </c>
      <c r="Y8" s="803">
        <f t="shared" ca="1" si="5"/>
        <v>0</v>
      </c>
      <c r="Z8" s="218">
        <f t="shared" ca="1" si="6"/>
        <v>5569.3733333333294</v>
      </c>
      <c r="AA8" s="803">
        <f t="shared" ca="1" si="7"/>
        <v>1165</v>
      </c>
      <c r="AB8" s="218">
        <f ca="1">+INDIRECT("[EMPINFO.xlsm]"&amp;$O$2&amp;"!s8")</f>
        <v>0</v>
      </c>
      <c r="AC8" s="292">
        <v>1.5</v>
      </c>
      <c r="AD8" s="218">
        <f t="shared" ca="1" si="8"/>
        <v>0</v>
      </c>
      <c r="AE8" s="220">
        <f t="shared" ca="1" si="9"/>
        <v>0</v>
      </c>
      <c r="AF8" s="218">
        <f t="shared" ca="1" si="10"/>
        <v>1165</v>
      </c>
      <c r="AG8" s="803">
        <f t="shared" ca="1" si="11"/>
        <v>1285.24</v>
      </c>
      <c r="AH8" s="218">
        <f t="shared" ca="1" si="12"/>
        <v>223.72</v>
      </c>
      <c r="AI8" s="803">
        <f t="shared" ca="1" si="13"/>
        <v>223.72</v>
      </c>
      <c r="AJ8" s="218">
        <f t="shared" ca="1" si="14"/>
        <v>447.44</v>
      </c>
      <c r="AK8" s="803">
        <f t="shared" ca="1" si="15"/>
        <v>6.72</v>
      </c>
      <c r="AL8" s="218">
        <f t="shared" ca="1" si="23"/>
        <v>5799.8133333333299</v>
      </c>
      <c r="AM8" s="290" t="str">
        <f t="shared" ca="1" si="16"/>
        <v>D</v>
      </c>
      <c r="AN8" s="291" t="str">
        <f t="shared" ca="1" si="17"/>
        <v>FT</v>
      </c>
      <c r="AO8" s="223">
        <f ca="1">+INDIRECT("[EMPINFO.xlsm]"&amp;$O$2&amp;"!t8")</f>
        <v>31</v>
      </c>
      <c r="AP8" s="226">
        <f ca="1">+INDIRECT("[EMPINFO.xlsm]"&amp;$O$2&amp;"!o8")</f>
        <v>-200</v>
      </c>
      <c r="AQ8" s="840">
        <f ca="1">+INDIRECT("[EMPINFO.xlsm]"&amp;$O$2&amp;"!p8")</f>
        <v>-880</v>
      </c>
      <c r="AR8" s="226">
        <f ca="1">+INDIRECT("[EMPINFO.xlsm]"&amp;$O$2&amp;"!j8")</f>
        <v>0</v>
      </c>
      <c r="AS8" s="840">
        <f ca="1">+INDIRECT("[EMPINFO.xlsm]"&amp;$O$2&amp;"!k8")</f>
        <v>223.99999999999997</v>
      </c>
      <c r="AT8" s="226">
        <f ca="1">+INDIRECT("[EMPINFO.xlsm]"&amp;$O$2&amp;"!m8")</f>
        <v>0</v>
      </c>
      <c r="AU8" s="844">
        <f ca="1">+INDIRECT("[EMPINFO.xlsm]"&amp;$O$2&amp;"!n8")</f>
        <v>240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0.35</v>
      </c>
      <c r="BC8" s="289">
        <f t="shared" ca="1" si="21"/>
        <v>9400</v>
      </c>
      <c r="BD8" s="255"/>
      <c r="BE8" s="206"/>
    </row>
    <row r="9" spans="1:62" ht="15.75" customHeight="1" thickBot="1" x14ac:dyDescent="0.3">
      <c r="A9" s="54"/>
      <c r="B9" s="4" t="s">
        <v>141</v>
      </c>
      <c r="C9" s="921" t="str">
        <f>INDEX([1]!empdata,MATCH(ID,[1]!empid,0),19)</f>
        <v>Triq il-Knisja</v>
      </c>
      <c r="D9" s="922"/>
      <c r="E9" s="922"/>
      <c r="F9" s="886"/>
      <c r="H9" s="312" t="s">
        <v>20</v>
      </c>
      <c r="I9" s="927">
        <f>INDEX([1]!empdata,MATCH(ID,[1]!empid,0),14)</f>
        <v>36926</v>
      </c>
      <c r="J9" s="859"/>
      <c r="K9" s="857"/>
      <c r="L9" s="101"/>
      <c r="M9" s="303"/>
      <c r="N9" s="211">
        <f t="shared" ca="1" si="0"/>
        <v>32.131</v>
      </c>
      <c r="O9" s="213">
        <f>+DATA!A8</f>
        <v>46174</v>
      </c>
      <c r="P9" s="219">
        <f ca="1">+INDIRECT("[EMPINFO.xlsm]"&amp;$O$2&amp;"!G9")</f>
        <v>5</v>
      </c>
      <c r="Q9" s="215">
        <f ca="1">IF(AZ9="active",INDIRECT("[EMPINFO.xlsm]"&amp;$O$2&amp;"!H9"),0)</f>
        <v>40</v>
      </c>
      <c r="R9" s="239">
        <f t="shared" ca="1" si="22"/>
        <v>32.131</v>
      </c>
      <c r="S9" s="216">
        <f t="shared" ca="1" si="1"/>
        <v>5569.3733333333303</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5704.4733333333306</v>
      </c>
      <c r="AA9" s="803">
        <f t="shared" ca="1" si="7"/>
        <v>1213</v>
      </c>
      <c r="AB9" s="218">
        <f ca="1">+INDIRECT("[EMPINFO.xlsm]"&amp;$O$2&amp;"!s9")</f>
        <v>0</v>
      </c>
      <c r="AC9" s="292">
        <v>1.5</v>
      </c>
      <c r="AD9" s="218">
        <f t="shared" ca="1" si="8"/>
        <v>0</v>
      </c>
      <c r="AE9" s="220">
        <f t="shared" ca="1" si="9"/>
        <v>0</v>
      </c>
      <c r="AF9" s="218">
        <f t="shared" ca="1" si="10"/>
        <v>1213</v>
      </c>
      <c r="AG9" s="803">
        <f t="shared" ca="1" si="11"/>
        <v>1285.24</v>
      </c>
      <c r="AH9" s="218">
        <f t="shared" ca="1" si="12"/>
        <v>279.64999999999998</v>
      </c>
      <c r="AI9" s="803">
        <f t="shared" ca="1" si="13"/>
        <v>279.64999999999998</v>
      </c>
      <c r="AJ9" s="218">
        <f t="shared" ca="1" si="14"/>
        <v>559.29999999999995</v>
      </c>
      <c r="AK9" s="803">
        <f t="shared" ca="1" si="15"/>
        <v>8.4</v>
      </c>
      <c r="AL9" s="218">
        <f t="shared" ca="1" si="23"/>
        <v>5992.5233333333299</v>
      </c>
      <c r="AM9" s="290" t="str">
        <f t="shared" ca="1" si="16"/>
        <v>D</v>
      </c>
      <c r="AN9" s="291" t="str">
        <f t="shared" ca="1" si="17"/>
        <v>FT</v>
      </c>
      <c r="AO9" s="223">
        <f ca="1">+INDIRECT("[EMPINFO.xlsm]"&amp;$O$2&amp;"!t9")</f>
        <v>30</v>
      </c>
      <c r="AP9" s="226">
        <f ca="1">+INDIRECT("[EMPINFO.xlsm]"&amp;$O$2&amp;"!o9")</f>
        <v>-160</v>
      </c>
      <c r="AQ9" s="840">
        <f ca="1">+INDIRECT("[EMPINFO.xlsm]"&amp;$O$2&amp;"!p9")</f>
        <v>-1040</v>
      </c>
      <c r="AR9" s="226">
        <f ca="1">+INDIRECT("[EMPINFO.xlsm]"&amp;$O$2&amp;"!j9")</f>
        <v>0</v>
      </c>
      <c r="AS9" s="840">
        <f ca="1">+INDIRECT("[EMPINFO.xlsm]"&amp;$O$2&amp;"!k9")</f>
        <v>223.99999999999997</v>
      </c>
      <c r="AT9" s="226">
        <f ca="1">+INDIRECT("[EMPINFO.xlsm]"&amp;$O$2&amp;"!m9")</f>
        <v>0</v>
      </c>
      <c r="AU9" s="844">
        <f ca="1">+INDIRECT("[EMPINFO.xlsm]"&amp;$O$2&amp;"!n9")</f>
        <v>240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0.35</v>
      </c>
      <c r="BC9" s="289">
        <f t="shared" ca="1" si="21"/>
        <v>9400</v>
      </c>
      <c r="BD9" s="255"/>
      <c r="BE9" s="206"/>
    </row>
    <row r="10" spans="1:62" ht="15.75" customHeight="1" thickBot="1" x14ac:dyDescent="0.3">
      <c r="A10" s="54"/>
      <c r="B10" s="5" t="s">
        <v>142</v>
      </c>
      <c r="C10" s="921" t="str">
        <f>INDEX([1]!empdata,MATCH(ID,[1]!empid,0),20)</f>
        <v>Ghasri</v>
      </c>
      <c r="D10" s="922"/>
      <c r="E10" s="922"/>
      <c r="F10" s="886"/>
      <c r="I10" s="312" t="s">
        <v>143</v>
      </c>
      <c r="L10" s="101"/>
      <c r="M10" s="303"/>
      <c r="N10" s="211">
        <f t="shared" ca="1" si="0"/>
        <v>32.131</v>
      </c>
      <c r="O10" s="213">
        <f>+DATA!A9</f>
        <v>46204</v>
      </c>
      <c r="P10" s="219">
        <f ca="1">+INDIRECT("[EMPINFO.xlsm]"&amp;$O$2&amp;"!G10")</f>
        <v>4</v>
      </c>
      <c r="Q10" s="215">
        <f ca="1">IF(AZ10="active",INDIRECT("[EMPINFO.xlsm]"&amp;$O$2&amp;"!H10"),0)</f>
        <v>40</v>
      </c>
      <c r="R10" s="239">
        <f t="shared" ca="1" si="22"/>
        <v>32.131</v>
      </c>
      <c r="S10" s="216">
        <f t="shared" ca="1" si="1"/>
        <v>5569.3733333333294</v>
      </c>
      <c r="T10" s="220">
        <f t="shared" ca="1" si="2"/>
        <v>0</v>
      </c>
      <c r="U10" s="218">
        <f t="shared" ca="1" si="3"/>
        <v>0</v>
      </c>
      <c r="V10" s="220">
        <f ca="1">+juloth*julhrrt</f>
        <v>0</v>
      </c>
      <c r="W10" s="201"/>
      <c r="X10" s="218">
        <f t="shared" ca="1" si="4"/>
        <v>0</v>
      </c>
      <c r="Y10" s="803">
        <f t="shared" ca="1" si="5"/>
        <v>0</v>
      </c>
      <c r="Z10" s="218">
        <f t="shared" ca="1" si="6"/>
        <v>5569.3733333333294</v>
      </c>
      <c r="AA10" s="803">
        <f t="shared" ca="1" si="7"/>
        <v>1165</v>
      </c>
      <c r="AB10" s="218">
        <f ca="1">+INDIRECT("[EMPINFO.xlsm]"&amp;$O$2&amp;"!s10")</f>
        <v>0</v>
      </c>
      <c r="AC10" s="292">
        <v>1.5</v>
      </c>
      <c r="AD10" s="218">
        <f t="shared" ca="1" si="8"/>
        <v>0</v>
      </c>
      <c r="AE10" s="220">
        <f t="shared" ca="1" si="9"/>
        <v>0</v>
      </c>
      <c r="AF10" s="218">
        <f t="shared" ca="1" si="10"/>
        <v>1165</v>
      </c>
      <c r="AG10" s="803">
        <f t="shared" ca="1" si="11"/>
        <v>1285.24</v>
      </c>
      <c r="AH10" s="218">
        <f t="shared" ca="1" si="12"/>
        <v>223.72</v>
      </c>
      <c r="AI10" s="803">
        <f t="shared" ca="1" si="13"/>
        <v>223.72</v>
      </c>
      <c r="AJ10" s="218">
        <f t="shared" ca="1" si="14"/>
        <v>447.44</v>
      </c>
      <c r="AK10" s="803">
        <f t="shared" ca="1" si="15"/>
        <v>6.72</v>
      </c>
      <c r="AL10" s="218">
        <f t="shared" ca="1" si="23"/>
        <v>5799.8133333333299</v>
      </c>
      <c r="AM10" s="290" t="str">
        <f t="shared" ca="1" si="16"/>
        <v>D</v>
      </c>
      <c r="AN10" s="291" t="str">
        <f t="shared" ca="1" si="17"/>
        <v>FT</v>
      </c>
      <c r="AO10" s="223">
        <f ca="1">+INDIRECT("[EMPINFO.xlsm]"&amp;$O$2&amp;"!t10")</f>
        <v>31</v>
      </c>
      <c r="AP10" s="226">
        <f ca="1">+INDIRECT("[EMPINFO.xlsm]"&amp;$O$2&amp;"!o10")</f>
        <v>-160</v>
      </c>
      <c r="AQ10" s="840">
        <f ca="1">+INDIRECT("[EMPINFO.xlsm]"&amp;$O$2&amp;"!p10")</f>
        <v>-1200</v>
      </c>
      <c r="AR10" s="226">
        <f ca="1">+INDIRECT("[EMPINFO.xlsm]"&amp;$O$2&amp;"!j10")</f>
        <v>0</v>
      </c>
      <c r="AS10" s="840">
        <f ca="1">+INDIRECT("[EMPINFO.xlsm]"&amp;$O$2&amp;"!k10")</f>
        <v>223.99999999999997</v>
      </c>
      <c r="AT10" s="226">
        <f ca="1">+INDIRECT("[EMPINFO.xlsm]"&amp;$O$2&amp;"!m10")</f>
        <v>0</v>
      </c>
      <c r="AU10" s="844">
        <f ca="1">+INDIRECT("[EMPINFO.xlsm]"&amp;$O$2&amp;"!n10")</f>
        <v>240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0.35</v>
      </c>
      <c r="BC10" s="289">
        <f t="shared" ca="1" si="21"/>
        <v>9400</v>
      </c>
      <c r="BD10" s="255"/>
      <c r="BE10" s="206"/>
      <c r="BF10" s="32"/>
      <c r="BH10" s="32"/>
      <c r="BI10" s="30"/>
      <c r="BJ10" s="31"/>
    </row>
    <row r="11" spans="1:62" ht="15.75" customHeight="1" thickBot="1" x14ac:dyDescent="0.3">
      <c r="A11" s="54"/>
      <c r="B11" s="6" t="s">
        <v>144</v>
      </c>
      <c r="C11" s="921" t="str">
        <f>INDEX([1]!empdata,MATCH(ID,[1]!empid,0),21)</f>
        <v>GSR1101</v>
      </c>
      <c r="D11" s="922"/>
      <c r="E11" s="922"/>
      <c r="F11" s="886"/>
      <c r="H11" s="312" t="s">
        <v>31</v>
      </c>
      <c r="I11" s="927">
        <f>INDEX([1]!empdata,MATCH(ID,[1]!empid,0),7)</f>
        <v>0</v>
      </c>
      <c r="J11" s="859"/>
      <c r="K11" s="857"/>
      <c r="L11" s="101"/>
      <c r="M11" s="303"/>
      <c r="N11" s="211">
        <f t="shared" ca="1" si="0"/>
        <v>32.131</v>
      </c>
      <c r="O11" s="213">
        <f>+DATA!A10</f>
        <v>46235</v>
      </c>
      <c r="P11" s="219">
        <f ca="1">+INDIRECT("[EMPINFO.xlsm]"&amp;$O$2&amp;"!G11")</f>
        <v>5</v>
      </c>
      <c r="Q11" s="215">
        <f ca="1">IF(AZ11="active",INDIRECT("[EMPINFO.xlsm]"&amp;$O$2&amp;"!H11"),0)</f>
        <v>40</v>
      </c>
      <c r="R11" s="239">
        <f t="shared" ca="1" si="22"/>
        <v>32.131</v>
      </c>
      <c r="S11" s="216">
        <f t="shared" ca="1" si="1"/>
        <v>5569.3733333333294</v>
      </c>
      <c r="T11" s="220">
        <f t="shared" ca="1" si="2"/>
        <v>0</v>
      </c>
      <c r="U11" s="218">
        <f t="shared" ca="1" si="3"/>
        <v>0</v>
      </c>
      <c r="V11" s="220">
        <f ca="1">+augoth*aughrrt</f>
        <v>0</v>
      </c>
      <c r="W11" s="201"/>
      <c r="X11" s="218">
        <f t="shared" ca="1" si="4"/>
        <v>0</v>
      </c>
      <c r="Y11" s="803">
        <f t="shared" ca="1" si="5"/>
        <v>0</v>
      </c>
      <c r="Z11" s="218">
        <f t="shared" ca="1" si="6"/>
        <v>5569.3733333333294</v>
      </c>
      <c r="AA11" s="803">
        <f t="shared" ca="1" si="7"/>
        <v>1165</v>
      </c>
      <c r="AB11" s="218">
        <f ca="1">+INDIRECT("[EMPINFO.xlsm]"&amp;$O$2&amp;"!s11")</f>
        <v>0</v>
      </c>
      <c r="AC11" s="292">
        <v>1.5</v>
      </c>
      <c r="AD11" s="218">
        <f t="shared" ca="1" si="8"/>
        <v>0</v>
      </c>
      <c r="AE11" s="220">
        <f t="shared" ca="1" si="9"/>
        <v>0</v>
      </c>
      <c r="AF11" s="218">
        <f t="shared" ca="1" si="10"/>
        <v>1165</v>
      </c>
      <c r="AG11" s="803">
        <f t="shared" ca="1" si="11"/>
        <v>1285.24</v>
      </c>
      <c r="AH11" s="218">
        <f t="shared" ca="1" si="12"/>
        <v>279.64999999999998</v>
      </c>
      <c r="AI11" s="803">
        <f t="shared" ca="1" si="13"/>
        <v>279.64999999999998</v>
      </c>
      <c r="AJ11" s="218">
        <f t="shared" ca="1" si="14"/>
        <v>559.29999999999995</v>
      </c>
      <c r="AK11" s="803">
        <f t="shared" ca="1" si="15"/>
        <v>8.4</v>
      </c>
      <c r="AL11" s="218">
        <f t="shared" ca="1" si="23"/>
        <v>5857.4233333333286</v>
      </c>
      <c r="AM11" s="290" t="str">
        <f t="shared" ca="1" si="16"/>
        <v>D</v>
      </c>
      <c r="AN11" s="291" t="str">
        <f t="shared" ca="1" si="17"/>
        <v>FT</v>
      </c>
      <c r="AO11" s="223">
        <f ca="1">+INDIRECT("[EMPINFO.xlsm]"&amp;$O$2&amp;"!t11")</f>
        <v>31</v>
      </c>
      <c r="AP11" s="226">
        <f ca="1">+INDIRECT("[EMPINFO.xlsm]"&amp;$O$2&amp;"!o11")</f>
        <v>-160</v>
      </c>
      <c r="AQ11" s="840">
        <f ca="1">+INDIRECT("[EMPINFO.xlsm]"&amp;$O$2&amp;"!p11")</f>
        <v>-1360</v>
      </c>
      <c r="AR11" s="226">
        <f ca="1">+INDIRECT("[EMPINFO.xlsm]"&amp;$O$2&amp;"!j11")</f>
        <v>0</v>
      </c>
      <c r="AS11" s="840">
        <f ca="1">+INDIRECT("[EMPINFO.xlsm]"&amp;$O$2&amp;"!k11")</f>
        <v>223.99999999999997</v>
      </c>
      <c r="AT11" s="226">
        <f ca="1">+INDIRECT("[EMPINFO.xlsm]"&amp;$O$2&amp;"!m11")</f>
        <v>0</v>
      </c>
      <c r="AU11" s="844">
        <f ca="1">+INDIRECT("[EMPINFO.xlsm]"&amp;$O$2&amp;"!n11")</f>
        <v>240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0.35</v>
      </c>
      <c r="BC11" s="289">
        <f t="shared" ca="1" si="21"/>
        <v>9400</v>
      </c>
      <c r="BD11" s="255"/>
      <c r="BE11" s="206"/>
      <c r="BF11" s="27"/>
      <c r="BH11" s="27"/>
    </row>
    <row r="12" spans="1:62" ht="17.45" customHeight="1" thickBot="1" x14ac:dyDescent="0.3">
      <c r="A12" s="313"/>
      <c r="B12" s="91" t="s">
        <v>14</v>
      </c>
      <c r="C12" s="945">
        <f>INDEX([1]!empdata,MATCH(ID,[1]!empid,0),10)</f>
        <v>79010204</v>
      </c>
      <c r="D12" s="946"/>
      <c r="E12" s="946"/>
      <c r="F12" s="947"/>
      <c r="G12" s="85"/>
      <c r="H12" s="85"/>
      <c r="I12" s="85"/>
      <c r="J12" s="85"/>
      <c r="K12" s="85"/>
      <c r="L12" s="314"/>
      <c r="M12" s="303"/>
      <c r="N12" s="211">
        <f t="shared" ca="1" si="0"/>
        <v>32.131</v>
      </c>
      <c r="O12" s="213">
        <f>+DATA!A11</f>
        <v>46266</v>
      </c>
      <c r="P12" s="219">
        <f ca="1">+INDIRECT("[EMPINFO.xlsm]"&amp;$O$2&amp;"!G12")</f>
        <v>4</v>
      </c>
      <c r="Q12" s="215">
        <f ca="1">IF(AZ12="active",INDIRECT("[EMPINFO.xlsm]"&amp;$O$2&amp;"!H12"),0)</f>
        <v>40</v>
      </c>
      <c r="R12" s="239">
        <f t="shared" ca="1" si="22"/>
        <v>32.131</v>
      </c>
      <c r="S12" s="216">
        <f t="shared" ca="1" si="1"/>
        <v>5569.3733333333303</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5690.5333333333301</v>
      </c>
      <c r="AA12" s="803">
        <f t="shared" ca="1" si="7"/>
        <v>1208</v>
      </c>
      <c r="AB12" s="218">
        <f ca="1">+INDIRECT("[EMPINFO.xlsm]"&amp;$O$2&amp;"!s12")</f>
        <v>0</v>
      </c>
      <c r="AC12" s="292">
        <v>1.5</v>
      </c>
      <c r="AD12" s="218">
        <f t="shared" ca="1" si="8"/>
        <v>0</v>
      </c>
      <c r="AE12" s="220">
        <f t="shared" ca="1" si="9"/>
        <v>0</v>
      </c>
      <c r="AF12" s="218">
        <f t="shared" ca="1" si="10"/>
        <v>1208</v>
      </c>
      <c r="AG12" s="803">
        <f t="shared" ca="1" si="11"/>
        <v>1285.24</v>
      </c>
      <c r="AH12" s="218">
        <f t="shared" ca="1" si="12"/>
        <v>223.72</v>
      </c>
      <c r="AI12" s="803">
        <f t="shared" ca="1" si="13"/>
        <v>223.72</v>
      </c>
      <c r="AJ12" s="218">
        <f t="shared" ca="1" si="14"/>
        <v>447.44</v>
      </c>
      <c r="AK12" s="803">
        <f t="shared" ca="1" si="15"/>
        <v>6.72</v>
      </c>
      <c r="AL12" s="218">
        <f t="shared" ca="1" si="23"/>
        <v>5920.9733333333306</v>
      </c>
      <c r="AM12" s="290" t="str">
        <f t="shared" ca="1" si="16"/>
        <v>D</v>
      </c>
      <c r="AN12" s="291" t="str">
        <f t="shared" ca="1" si="17"/>
        <v>FT</v>
      </c>
      <c r="AO12" s="223">
        <f ca="1">+INDIRECT("[EMPINFO.xlsm]"&amp;$O$2&amp;"!t12")</f>
        <v>30</v>
      </c>
      <c r="AP12" s="226">
        <f ca="1">+INDIRECT("[EMPINFO.xlsm]"&amp;$O$2&amp;"!o12")</f>
        <v>-160</v>
      </c>
      <c r="AQ12" s="840">
        <f ca="1">+INDIRECT("[EMPINFO.xlsm]"&amp;$O$2&amp;"!p12")</f>
        <v>-1520</v>
      </c>
      <c r="AR12" s="226">
        <f ca="1">+INDIRECT("[EMPINFO.xlsm]"&amp;$O$2&amp;"!j12")</f>
        <v>0</v>
      </c>
      <c r="AS12" s="840">
        <f ca="1">+INDIRECT("[EMPINFO.xlsm]"&amp;$O$2&amp;"!k12")</f>
        <v>223.99999999999997</v>
      </c>
      <c r="AT12" s="226">
        <f ca="1">+INDIRECT("[EMPINFO.xlsm]"&amp;$O$2&amp;"!m12")</f>
        <v>0</v>
      </c>
      <c r="AU12" s="844">
        <f ca="1">+INDIRECT("[EMPINFO.xlsm]"&amp;$O$2&amp;"!n12")</f>
        <v>240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0.35</v>
      </c>
      <c r="BC12" s="289">
        <f t="shared" ca="1" si="21"/>
        <v>9400</v>
      </c>
      <c r="BD12" s="255"/>
      <c r="BE12" s="206"/>
    </row>
    <row r="13" spans="1:62" ht="15.75" customHeight="1" thickBot="1" x14ac:dyDescent="0.3">
      <c r="A13" s="54"/>
      <c r="L13" s="101"/>
      <c r="M13" s="303"/>
      <c r="N13" s="211">
        <f t="shared" ca="1" si="0"/>
        <v>32.131</v>
      </c>
      <c r="O13" s="213">
        <f>+DATA!A12</f>
        <v>46296</v>
      </c>
      <c r="P13" s="219">
        <f ca="1">+INDIRECT("[EMPINFO.xlsm]"&amp;$O$2&amp;"!G13")</f>
        <v>4</v>
      </c>
      <c r="Q13" s="215">
        <f ca="1">IF(AZ13="active",INDIRECT("[EMPINFO.xlsm]"&amp;$O$2&amp;"!H13"),0)</f>
        <v>40</v>
      </c>
      <c r="R13" s="239">
        <f t="shared" ca="1" si="22"/>
        <v>32.131</v>
      </c>
      <c r="S13" s="216">
        <f t="shared" ca="1" si="1"/>
        <v>5569.3733333333294</v>
      </c>
      <c r="T13" s="220">
        <f t="shared" ca="1" si="2"/>
        <v>0</v>
      </c>
      <c r="U13" s="218">
        <f t="shared" ca="1" si="3"/>
        <v>0</v>
      </c>
      <c r="V13" s="220">
        <f ca="1">+octoth*octhrrt</f>
        <v>0</v>
      </c>
      <c r="W13" s="201"/>
      <c r="X13" s="218">
        <f t="shared" ca="1" si="4"/>
        <v>0</v>
      </c>
      <c r="Y13" s="803">
        <f t="shared" ca="1" si="5"/>
        <v>0</v>
      </c>
      <c r="Z13" s="218">
        <f t="shared" ca="1" si="6"/>
        <v>5569.3733333333294</v>
      </c>
      <c r="AA13" s="803">
        <f t="shared" ca="1" si="7"/>
        <v>1165</v>
      </c>
      <c r="AB13" s="218">
        <f ca="1">+INDIRECT("[EMPINFO.xlsm]"&amp;$O$2&amp;"!s13")</f>
        <v>0</v>
      </c>
      <c r="AC13" s="292">
        <v>1.5</v>
      </c>
      <c r="AD13" s="218">
        <f t="shared" ca="1" si="8"/>
        <v>0</v>
      </c>
      <c r="AE13" s="220">
        <f t="shared" ca="1" si="9"/>
        <v>0</v>
      </c>
      <c r="AF13" s="218">
        <f t="shared" ca="1" si="10"/>
        <v>1165</v>
      </c>
      <c r="AG13" s="803">
        <f t="shared" ca="1" si="11"/>
        <v>1285.24</v>
      </c>
      <c r="AH13" s="218">
        <f t="shared" ca="1" si="12"/>
        <v>223.72</v>
      </c>
      <c r="AI13" s="803">
        <f t="shared" ca="1" si="13"/>
        <v>223.72</v>
      </c>
      <c r="AJ13" s="218">
        <f t="shared" ca="1" si="14"/>
        <v>447.44</v>
      </c>
      <c r="AK13" s="803">
        <f t="shared" ca="1" si="15"/>
        <v>6.72</v>
      </c>
      <c r="AL13" s="218">
        <f t="shared" ca="1" si="23"/>
        <v>5799.8133333333299</v>
      </c>
      <c r="AM13" s="290" t="str">
        <f t="shared" ca="1" si="16"/>
        <v>D</v>
      </c>
      <c r="AN13" s="291" t="str">
        <f t="shared" ca="1" si="17"/>
        <v>FT</v>
      </c>
      <c r="AO13" s="223">
        <f ca="1">+INDIRECT("[EMPINFO.xlsm]"&amp;$O$2&amp;"!t13")</f>
        <v>31</v>
      </c>
      <c r="AP13" s="226">
        <f ca="1">+INDIRECT("[EMPINFO.xlsm]"&amp;$O$2&amp;"!o13")</f>
        <v>-200</v>
      </c>
      <c r="AQ13" s="840">
        <f ca="1">+INDIRECT("[EMPINFO.xlsm]"&amp;$O$2&amp;"!p13")</f>
        <v>-1720</v>
      </c>
      <c r="AR13" s="226">
        <f ca="1">+INDIRECT("[EMPINFO.xlsm]"&amp;$O$2&amp;"!j13")</f>
        <v>0</v>
      </c>
      <c r="AS13" s="840">
        <f ca="1">+INDIRECT("[EMPINFO.xlsm]"&amp;$O$2&amp;"!k13")</f>
        <v>223.99999999999997</v>
      </c>
      <c r="AT13" s="226">
        <f ca="1">+INDIRECT("[EMPINFO.xlsm]"&amp;$O$2&amp;"!m13")</f>
        <v>0</v>
      </c>
      <c r="AU13" s="844">
        <f ca="1">+INDIRECT("[EMPINFO.xlsm]"&amp;$O$2&amp;"!n13")</f>
        <v>240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0.35</v>
      </c>
      <c r="BC13" s="289">
        <f t="shared" ca="1" si="21"/>
        <v>9400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32.131</v>
      </c>
      <c r="O14" s="213">
        <f>+DATA!A13</f>
        <v>46327</v>
      </c>
      <c r="P14" s="219">
        <f ca="1">+INDIRECT("[EMPINFO.xlsm]"&amp;$O$2&amp;"!G14")</f>
        <v>5</v>
      </c>
      <c r="Q14" s="215">
        <f ca="1">IF(AZ14="active",INDIRECT("[EMPINFO.xlsm]"&amp;$O$2&amp;"!H14"),0)</f>
        <v>40</v>
      </c>
      <c r="R14" s="239">
        <f t="shared" ca="1" si="22"/>
        <v>32.131</v>
      </c>
      <c r="S14" s="216">
        <f t="shared" ca="1" si="1"/>
        <v>5569.3733333333303</v>
      </c>
      <c r="T14" s="220">
        <f t="shared" ca="1" si="2"/>
        <v>0</v>
      </c>
      <c r="U14" s="218">
        <f t="shared" ca="1" si="3"/>
        <v>0</v>
      </c>
      <c r="V14" s="220">
        <f ca="1">+novoth*novhrrt</f>
        <v>0</v>
      </c>
      <c r="W14" s="201"/>
      <c r="X14" s="218">
        <f t="shared" ca="1" si="4"/>
        <v>0</v>
      </c>
      <c r="Y14" s="803">
        <f t="shared" ca="1" si="5"/>
        <v>0</v>
      </c>
      <c r="Z14" s="218">
        <f t="shared" ca="1" si="6"/>
        <v>5569.3733333333303</v>
      </c>
      <c r="AA14" s="803">
        <f t="shared" ca="1" si="7"/>
        <v>1165</v>
      </c>
      <c r="AB14" s="218">
        <f ca="1">+INDIRECT("[EMPINFO.xlsm]"&amp;$O$2&amp;"!s14")</f>
        <v>0</v>
      </c>
      <c r="AC14" s="292">
        <v>1.5</v>
      </c>
      <c r="AD14" s="218">
        <f t="shared" ca="1" si="8"/>
        <v>0</v>
      </c>
      <c r="AE14" s="220">
        <f t="shared" ca="1" si="9"/>
        <v>0</v>
      </c>
      <c r="AF14" s="218">
        <f t="shared" ca="1" si="10"/>
        <v>1165</v>
      </c>
      <c r="AG14" s="803">
        <f t="shared" ca="1" si="11"/>
        <v>1285.24</v>
      </c>
      <c r="AH14" s="218">
        <f t="shared" ca="1" si="12"/>
        <v>279.64999999999998</v>
      </c>
      <c r="AI14" s="803">
        <f t="shared" ca="1" si="13"/>
        <v>279.64999999999998</v>
      </c>
      <c r="AJ14" s="218">
        <f t="shared" ca="1" si="14"/>
        <v>559.29999999999995</v>
      </c>
      <c r="AK14" s="803">
        <f t="shared" ca="1" si="15"/>
        <v>8.4</v>
      </c>
      <c r="AL14" s="218">
        <f t="shared" ca="1" si="23"/>
        <v>5857.4233333333295</v>
      </c>
      <c r="AM14" s="290" t="str">
        <f t="shared" ca="1" si="16"/>
        <v>D</v>
      </c>
      <c r="AN14" s="291" t="str">
        <f t="shared" ca="1" si="17"/>
        <v>FT</v>
      </c>
      <c r="AO14" s="223">
        <f ca="1">+INDIRECT("[EMPINFO.xlsm]"&amp;$O$2&amp;"!t14")</f>
        <v>30</v>
      </c>
      <c r="AP14" s="226">
        <f ca="1">+INDIRECT("[EMPINFO.xlsm]"&amp;$O$2&amp;"!o14")</f>
        <v>-160</v>
      </c>
      <c r="AQ14" s="840">
        <f ca="1">+INDIRECT("[EMPINFO.xlsm]"&amp;$O$2&amp;"!p14")</f>
        <v>-1880</v>
      </c>
      <c r="AR14" s="226">
        <f ca="1">+INDIRECT("[EMPINFO.xlsm]"&amp;$O$2&amp;"!j14")</f>
        <v>0</v>
      </c>
      <c r="AS14" s="840">
        <f ca="1">+INDIRECT("[EMPINFO.xlsm]"&amp;$O$2&amp;"!k14")</f>
        <v>223.99999999999997</v>
      </c>
      <c r="AT14" s="226">
        <f ca="1">+INDIRECT("[EMPINFO.xlsm]"&amp;$O$2&amp;"!m14")</f>
        <v>0</v>
      </c>
      <c r="AU14" s="844">
        <f ca="1">+INDIRECT("[EMPINFO.xlsm]"&amp;$O$2&amp;"!n14")</f>
        <v>240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0.35</v>
      </c>
      <c r="BC14" s="289">
        <f t="shared" ca="1" si="21"/>
        <v>9400</v>
      </c>
      <c r="BD14" s="255"/>
      <c r="BE14" s="206"/>
      <c r="BF14" s="32"/>
      <c r="BH14" s="32"/>
    </row>
    <row r="15" spans="1:62" ht="15.75" customHeight="1" thickBot="1" x14ac:dyDescent="0.3">
      <c r="A15" s="54"/>
      <c r="L15" s="101"/>
      <c r="M15" s="303"/>
      <c r="N15" s="211">
        <f t="shared" ca="1" si="0"/>
        <v>32.131</v>
      </c>
      <c r="O15" s="213">
        <f>+DATA!A14</f>
        <v>46357</v>
      </c>
      <c r="P15" s="219">
        <f ca="1">+INDIRECT("[EMPINFO.xlsm]"&amp;$O$2&amp;"!G15")</f>
        <v>4</v>
      </c>
      <c r="Q15" s="215">
        <f ca="1">IF(AZ15="active",INDIRECT("[EMPINFO.xlsm]"&amp;$O$2&amp;"!H15"),0)</f>
        <v>40</v>
      </c>
      <c r="R15" s="239">
        <f t="shared" ca="1" si="22"/>
        <v>32.131</v>
      </c>
      <c r="S15" s="216">
        <f t="shared" ca="1" si="1"/>
        <v>5569.3733333333294</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5704.4733333333297</v>
      </c>
      <c r="AA15" s="803">
        <f t="shared" ca="1" si="7"/>
        <v>1213</v>
      </c>
      <c r="AB15" s="218">
        <f ca="1">+INDIRECT("[EMPINFO.xlsm]"&amp;$O$2&amp;"!s15")</f>
        <v>0</v>
      </c>
      <c r="AC15" s="292">
        <v>1.5</v>
      </c>
      <c r="AD15" s="218">
        <f t="shared" ca="1" si="8"/>
        <v>0</v>
      </c>
      <c r="AE15" s="220">
        <f t="shared" ca="1" si="9"/>
        <v>0</v>
      </c>
      <c r="AF15" s="218">
        <f t="shared" ca="1" si="10"/>
        <v>1213</v>
      </c>
      <c r="AG15" s="803">
        <f t="shared" ca="1" si="11"/>
        <v>1285.24</v>
      </c>
      <c r="AH15" s="218">
        <f t="shared" ca="1" si="12"/>
        <v>223.72</v>
      </c>
      <c r="AI15" s="803">
        <f t="shared" ca="1" si="13"/>
        <v>223.72</v>
      </c>
      <c r="AJ15" s="218">
        <f t="shared" ca="1" si="14"/>
        <v>447.44</v>
      </c>
      <c r="AK15" s="803">
        <f t="shared" ca="1" si="15"/>
        <v>6.72</v>
      </c>
      <c r="AL15" s="218">
        <f t="shared" ca="1" si="23"/>
        <v>5934.9133333333302</v>
      </c>
      <c r="AM15" s="290" t="str">
        <f t="shared" ca="1" si="16"/>
        <v>D</v>
      </c>
      <c r="AN15" s="291" t="str">
        <f t="shared" ca="1" si="17"/>
        <v>FT</v>
      </c>
      <c r="AO15" s="223">
        <f ca="1">+INDIRECT("[EMPINFO.xlsm]"&amp;$O$2&amp;"!t15")</f>
        <v>31</v>
      </c>
      <c r="AP15" s="226">
        <f ca="1">+INDIRECT("[EMPINFO.xlsm]"&amp;$O$2&amp;"!o15")</f>
        <v>-160</v>
      </c>
      <c r="AQ15" s="840">
        <f ca="1">+INDIRECT("[EMPINFO.xlsm]"&amp;$O$2&amp;"!p15")</f>
        <v>-2040</v>
      </c>
      <c r="AR15" s="226">
        <f ca="1">+INDIRECT("[EMPINFO.xlsm]"&amp;$O$2&amp;"!j15")</f>
        <v>0</v>
      </c>
      <c r="AS15" s="840">
        <f ca="1">+INDIRECT("[EMPINFO.xlsm]"&amp;$O$2&amp;"!k15")</f>
        <v>223.99999999999997</v>
      </c>
      <c r="AT15" s="226">
        <f ca="1">+INDIRECT("[EMPINFO.xlsm]"&amp;$O$2&amp;"!m15")</f>
        <v>0</v>
      </c>
      <c r="AU15" s="844">
        <f ca="1">+INDIRECT("[EMPINFO.xlsm]"&amp;$O$2&amp;"!n15")</f>
        <v>240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0.35</v>
      </c>
      <c r="BC15" s="289">
        <f t="shared" ca="1" si="21"/>
        <v>9400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66832.479999999952</v>
      </c>
      <c r="T16" s="221">
        <f t="shared" ca="1" si="24"/>
        <v>0</v>
      </c>
      <c r="U16" s="217">
        <f t="shared" ca="1" si="24"/>
        <v>0</v>
      </c>
      <c r="V16" s="221">
        <f t="shared" ca="1" si="24"/>
        <v>0</v>
      </c>
      <c r="W16" s="217">
        <f t="shared" ca="1" si="24"/>
        <v>512.52</v>
      </c>
      <c r="X16" s="217">
        <f t="shared" ca="1" si="24"/>
        <v>0</v>
      </c>
      <c r="Y16" s="804">
        <f t="shared" ca="1" si="24"/>
        <v>0</v>
      </c>
      <c r="Z16" s="217">
        <f t="shared" ca="1" si="24"/>
        <v>67344.999999999956</v>
      </c>
      <c r="AA16" s="804">
        <f t="shared" ca="1" si="24"/>
        <v>14162</v>
      </c>
      <c r="AB16" s="217">
        <f ca="1">+INDIRECT("[EMPINFO.xlsm]"&amp;$O$2&amp;"!S16")</f>
        <v>0</v>
      </c>
      <c r="AC16" s="221" t="s">
        <v>150</v>
      </c>
      <c r="AD16" s="217">
        <f ca="1">SUM(AD4:AD15)</f>
        <v>0</v>
      </c>
      <c r="AE16" s="221">
        <f ca="1">SUM(AE4:AE15)</f>
        <v>0</v>
      </c>
      <c r="AF16" s="217">
        <f ca="1">SUM(AF4:AF15)</f>
        <v>14162</v>
      </c>
      <c r="AG16" s="221"/>
      <c r="AH16" s="217">
        <f ca="1">SUM(AH4:AH15)</f>
        <v>2908.3599999999992</v>
      </c>
      <c r="AI16" s="803">
        <f ca="1">SUM(AI4:AI15)</f>
        <v>2908.3599999999992</v>
      </c>
      <c r="AJ16" s="217">
        <f t="shared" ca="1" si="14"/>
        <v>5816.7199999999984</v>
      </c>
      <c r="AK16" s="835">
        <f ca="1">SUM(AK4:AK15)</f>
        <v>87.36</v>
      </c>
      <c r="AL16" s="217">
        <f ca="1">+SUM(AL4:AL15)</f>
        <v>70340.719999999958</v>
      </c>
      <c r="AM16" s="298"/>
      <c r="AN16" s="297"/>
      <c r="AO16" s="224">
        <f ca="1">+INDIRECT("[EMPINFO.xlsm]"&amp;$O$2&amp;"!T16")</f>
        <v>365</v>
      </c>
      <c r="AP16" s="299">
        <f>+[1]RGaldes!O16</f>
        <v>0</v>
      </c>
      <c r="AQ16" s="841">
        <f ca="1">+INDIRECT("[EMPINFO.xlsm]"&amp;$O$2&amp;"!p16")</f>
        <v>-2040</v>
      </c>
      <c r="AR16" s="299"/>
      <c r="AS16" s="841">
        <f ca="1">+INDIRECT("[EMPINFO.xlsm]"&amp;$O$2&amp;"!k16")</f>
        <v>223.99999999999997</v>
      </c>
      <c r="AT16" s="299">
        <f ca="1">+INDIRECT("[EMPINFO.xlsm]"&amp;$O$2&amp;"!m16")</f>
        <v>0</v>
      </c>
      <c r="AU16" s="841">
        <f ca="1">+INDIRECT("[EMPINFO.xlsm]"&amp;$O$2&amp;"!n16")</f>
        <v>240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67345</v>
      </c>
      <c r="I17" s="456"/>
      <c r="K17" s="317" t="s">
        <v>151</v>
      </c>
      <c r="L17" s="101"/>
      <c r="M17" s="256">
        <v>25</v>
      </c>
      <c r="N17" s="257" t="s">
        <v>152</v>
      </c>
      <c r="O17" s="258">
        <f ca="1">+Med_Tot</f>
        <v>67344.999999999956</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-2040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Camilleri Ryan</v>
      </c>
      <c r="P19" s="374" t="str">
        <f>+IDCard</f>
        <v>4401H</v>
      </c>
      <c r="Q19" s="375" t="str">
        <f>+designation</f>
        <v>2. Dental Surgeon</v>
      </c>
      <c r="R19" s="376" t="s">
        <v>156</v>
      </c>
      <c r="S19" s="377">
        <f ca="1">+S20+S23+S22+S24+S25+S26+S21</f>
        <v>5569.3733333333294</v>
      </c>
      <c r="T19" s="378" t="str">
        <f>+FS4_Status</f>
        <v>SIN</v>
      </c>
      <c r="U19" s="572" t="str">
        <f ca="1">INDEX(INDAT,MATCH(O21,(INDIRECT(("months"),TRUE)),0),26)</f>
        <v>FT</v>
      </c>
      <c r="V19" s="379" t="str">
        <f ca="1">INDEX(INDAT,MATCH(O21,(INDIRECT(("months"),TRUE)),0),25)</f>
        <v>D</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5569.3733333333294</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447.44</v>
      </c>
      <c r="U21" s="372">
        <f ca="1">INDEX(PYRL_Summary,MATCH(O21,months,0),22)</f>
        <v>223.72</v>
      </c>
      <c r="V21" s="373">
        <f ca="1">INDEX(PYRL_Summary,MATCH(O21,months,0),23)</f>
        <v>223.72</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6.72</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67345</v>
      </c>
      <c r="I23" s="466"/>
      <c r="J23" s="318" t="s">
        <v>169</v>
      </c>
      <c r="K23" s="916"/>
      <c r="L23" s="917"/>
      <c r="N23" s="420"/>
      <c r="O23" s="344">
        <f>+ID</f>
        <v>2025008</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1165</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f>+IBAN</f>
        <v>0</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4180.6533333333291</v>
      </c>
      <c r="V26" s="418"/>
      <c r="X26" s="575"/>
    </row>
    <row r="27" spans="1:56" ht="24" customHeight="1" thickBot="1" x14ac:dyDescent="0.3">
      <c r="A27" s="54"/>
      <c r="B27" s="73" t="s">
        <v>52</v>
      </c>
      <c r="G27" s="73" t="s">
        <v>53</v>
      </c>
      <c r="H27" s="8">
        <f ca="1">IF(OR(Timer="PT", Timer="pt_casual"),0,AA16)</f>
        <v>14162</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173402503</v>
      </c>
      <c r="U27" s="545"/>
      <c r="V27" s="546"/>
      <c r="W27" s="73" t="s">
        <v>183</v>
      </c>
      <c r="Y27" s="436">
        <v>173402503</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223.99999999999997</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Camilleri Ryan</v>
      </c>
      <c r="P29" s="394" t="str">
        <f>+IDCard</f>
        <v>4401H</v>
      </c>
      <c r="Q29" s="395" t="str">
        <f>+designation</f>
        <v>2. Dental Surgeon</v>
      </c>
      <c r="R29" s="396" t="s">
        <v>156</v>
      </c>
      <c r="S29" s="397">
        <f ca="1">+S30+S33+S32+S34+S35+S36+S31</f>
        <v>5569.3733333333294</v>
      </c>
      <c r="T29" s="431" t="str">
        <f>+FS4_Status</f>
        <v>SIN</v>
      </c>
      <c r="U29" s="573" t="str">
        <f ca="1">INDEX(INDAT,MATCH(O31,(INDIRECT(("months"),TRUE)),0),26)</f>
        <v>FT</v>
      </c>
      <c r="V29" s="432" t="str">
        <f ca="1">INDEX(INDAT,MATCH(O31,(INDIRECT(("months"),TRUE)),0),25)</f>
        <v>D</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5569.3733333333294</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14162</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447.44</v>
      </c>
      <c r="U31" s="358">
        <f ca="1">INDEX(PYRL_Summary,MATCH(O31,months,0),22)</f>
        <v>223.72</v>
      </c>
      <c r="V31" s="359">
        <f ca="1">INDEX(PYRL_Summary,MATCH(O31,months,0),23)</f>
        <v>223.72</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6.72</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2025008</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1165</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f>+IBAN</f>
        <v>0</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4180.6533333333291</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174692829</v>
      </c>
      <c r="U37" s="545"/>
      <c r="V37" s="546"/>
      <c r="W37" s="73" t="s">
        <v>183</v>
      </c>
      <c r="Y37" s="574" t="s">
        <v>636</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-200</v>
      </c>
      <c r="R38" s="410" t="s">
        <v>188</v>
      </c>
      <c r="S38" s="411">
        <f ca="1">INDEX(PYRL_Summary,MATCH(O31,months,0),33)</f>
        <v>223.99999999999997</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Camilleri Ryan</v>
      </c>
      <c r="P39" s="374" t="str">
        <f>+IDCard</f>
        <v>4401H</v>
      </c>
      <c r="Q39" s="375" t="str">
        <f>+designation</f>
        <v>2. Dental Surgeon</v>
      </c>
      <c r="R39" s="376" t="s">
        <v>156</v>
      </c>
      <c r="S39" s="377">
        <f ca="1">+S40+S43+S42+S44+S45+S46+S41</f>
        <v>5690.5333333333292</v>
      </c>
      <c r="T39" s="378" t="str">
        <f>+FS4_Status</f>
        <v>SIN</v>
      </c>
      <c r="U39" s="572" t="str">
        <f ca="1">INDEX(INDAT,MATCH(O41,(INDIRECT(("months"),TRUE)),0),26)</f>
        <v>FT</v>
      </c>
      <c r="V39" s="379" t="str">
        <f ca="1">INDEX(INDAT,MATCH(O41,(INDIRECT(("months"),TRUE)),0),25)</f>
        <v>D</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5569.3733333333294</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559.29999999999995</v>
      </c>
      <c r="U41" s="372">
        <f ca="1">INDEX(PYRL_Summary,MATCH(O41,months,0),22)</f>
        <v>279.64999999999998</v>
      </c>
      <c r="V41" s="373">
        <f ca="1">INDEX(PYRL_Summary,MATCH(O41,months,0),23)</f>
        <v>279.64999999999998</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8.4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2025008</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1208</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f>+IBAN</f>
        <v>0</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4202.8833333333296</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-360</v>
      </c>
      <c r="R48" s="392" t="s">
        <v>188</v>
      </c>
      <c r="S48" s="393">
        <f ca="1">INDEX(PYRL_Summary,MATCH(O41,months,0),33)</f>
        <v>223.99999999999997</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Camilleri Ryan</v>
      </c>
      <c r="P49" s="394" t="str">
        <f>+IDCard</f>
        <v>4401H</v>
      </c>
      <c r="Q49" s="395" t="str">
        <f>+designation</f>
        <v>2. Dental Surgeon</v>
      </c>
      <c r="R49" s="396" t="s">
        <v>156</v>
      </c>
      <c r="S49" s="397">
        <f ca="1">+S50+S53+S52+S54+S55+S56+S51</f>
        <v>5569.3733333333303</v>
      </c>
      <c r="T49" s="431" t="str">
        <f>+FS4_Status</f>
        <v>SIN</v>
      </c>
      <c r="U49" s="573" t="str">
        <f ca="1">INDEX(INDAT,MATCH(O51,(INDIRECT(("months"),TRUE)),0),26)</f>
        <v>FT</v>
      </c>
      <c r="V49" s="432" t="str">
        <f ca="1">INDEX(INDAT,MATCH(O51,(INDIRECT(("months"),TRUE)),0),25)</f>
        <v>D</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5569.3733333333303</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447.44</v>
      </c>
      <c r="U51" s="358">
        <f ca="1">INDEX(PYRL_Summary,MATCH(O51,months,0),22)</f>
        <v>223.72</v>
      </c>
      <c r="V51" s="359">
        <f ca="1">INDEX(PYRL_Summary,MATCH(O51,months,0),23)</f>
        <v>223.72</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6.72</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2025008</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1165</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f>+IBAN</f>
        <v>0</v>
      </c>
      <c r="U55" s="890"/>
      <c r="V55" s="891"/>
    </row>
    <row r="56" spans="1:37" ht="16.5" customHeight="1" thickBot="1" x14ac:dyDescent="0.3">
      <c r="E56" s="116" t="s">
        <v>215</v>
      </c>
      <c r="F56" s="115">
        <f>INDEX([1]!empdata,MATCH(ID,[1]!empid,0),17)</f>
        <v>0</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4180.65333333333</v>
      </c>
      <c r="V56" s="418"/>
    </row>
    <row r="57" spans="1:37" ht="26.25" customHeight="1" thickBot="1" x14ac:dyDescent="0.3">
      <c r="E57" s="116" t="s">
        <v>216</v>
      </c>
      <c r="F57" s="340" t="str">
        <f>INDEX([1]!empdata,MATCH(ID,[1]!empid,0),12)</f>
        <v>camilleri.ryan01@gmail.com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4</v>
      </c>
      <c r="G58" s="56"/>
      <c r="H58" s="63"/>
      <c r="N58" s="406">
        <f ca="1">INDEX(PYRL_Summary,MATCH(O51,months,0),4)</f>
        <v>4</v>
      </c>
      <c r="O58" s="407" t="s">
        <v>187</v>
      </c>
      <c r="P58" s="408">
        <f>+O41</f>
        <v>46082</v>
      </c>
      <c r="Q58" s="409">
        <f ca="1">INDEX(PYRL_Summary,MATCH(P58,months,0),31)</f>
        <v>-520</v>
      </c>
      <c r="R58" s="410" t="s">
        <v>188</v>
      </c>
      <c r="S58" s="411">
        <f ca="1">INDEX(PYRL_Summary,MATCH(O51,months,0),33)</f>
        <v>223.99999999999997</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45880</v>
      </c>
      <c r="G59" s="56"/>
      <c r="H59" s="63"/>
      <c r="N59" s="386">
        <f ca="1">IF(OR(INDEX(PYRL_Summary,MATCH(O61,months,0),28)="pt",INDEX(PYRL_Summary,MATCH(O61,months,0),28)="pt_casual"),0,IF(N62-N61&gt;=1,1,0))</f>
        <v>1</v>
      </c>
      <c r="O59" s="894" t="str">
        <f>Surname&amp;" "&amp;Name</f>
        <v>Camilleri Ryan</v>
      </c>
      <c r="P59" s="374" t="str">
        <f>+IDCard</f>
        <v>4401H</v>
      </c>
      <c r="Q59" s="375" t="str">
        <f>+designation</f>
        <v>2. Dental Surgeon</v>
      </c>
      <c r="R59" s="376" t="s">
        <v>156</v>
      </c>
      <c r="S59" s="377">
        <f ca="1">+S60+S63+S62+S64+S65+S66+S61</f>
        <v>5569.3733333333294</v>
      </c>
      <c r="T59" s="378" t="str">
        <f>+FS4_Status</f>
        <v>SIN</v>
      </c>
      <c r="U59" s="572" t="str">
        <f ca="1">INDEX(INDAT,MATCH(O61,(INDIRECT(("months"),TRUE)),0),26)</f>
        <v>FT</v>
      </c>
      <c r="V59" s="379" t="str">
        <f ca="1">INDEX(INDAT,MATCH(O61,(INDIRECT(("months"),TRUE)),0),25)</f>
        <v>D</v>
      </c>
      <c r="W59" s="422">
        <f>+$O$8</f>
        <v>46143</v>
      </c>
      <c r="X59" s="423"/>
      <c r="Y59" s="423"/>
      <c r="Z59" s="73"/>
      <c r="AA59" s="73"/>
    </row>
    <row r="60" spans="1:37" ht="20.25" customHeight="1" thickBot="1" x14ac:dyDescent="0.3">
      <c r="E60" s="116" t="s">
        <v>219</v>
      </c>
      <c r="F60" s="115" t="str">
        <f>INDEX([1]!empdata,MATCH(ID,[1]!empid,0),8)</f>
        <v>2. Dental Surgeon</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5569.3733333333294</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447.44</v>
      </c>
      <c r="U61" s="372">
        <f ca="1">INDEX(PYRL_Summary,MATCH(O61,months,0),22)</f>
        <v>223.72</v>
      </c>
      <c r="V61" s="373">
        <f ca="1">INDEX(PYRL_Summary,MATCH(O61,months,0),23)</f>
        <v>223.72</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6.72</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2025008</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1165</v>
      </c>
      <c r="X64" s="577"/>
    </row>
    <row r="65" spans="5:37" ht="15.75" customHeight="1" thickBot="1" x14ac:dyDescent="0.3">
      <c r="E65" s="925" t="s">
        <v>224</v>
      </c>
      <c r="F65" s="926"/>
      <c r="G65" s="103">
        <f ca="1">+Med_Tot</f>
        <v>67344.999999999956</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f>+IBAN</f>
        <v>0</v>
      </c>
      <c r="U65" s="890"/>
      <c r="V65" s="891"/>
    </row>
    <row r="66" spans="5:37" ht="16.5" customHeight="1" thickBot="1" x14ac:dyDescent="0.3">
      <c r="E66" s="952" t="s">
        <v>226</v>
      </c>
      <c r="F66" s="953"/>
      <c r="G66" s="112">
        <f ca="1">+PREVFS3+Med_Tot</f>
        <v>67344.999999999956</v>
      </c>
      <c r="H66" s="114">
        <f ca="1">IF(grossyearly&lt;F68,1,IF(grossyearly&lt;F69,2,IF(grossyearly&lt;F70,3,IF(grossyearly&lt;F71,4,5))))</f>
        <v>5</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4180.6533333333291</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4</v>
      </c>
      <c r="O68" s="389" t="s">
        <v>187</v>
      </c>
      <c r="P68" s="390">
        <f>+O51</f>
        <v>46113</v>
      </c>
      <c r="Q68" s="391">
        <f ca="1">INDEX(PYRL_Summary,MATCH(P68,months,0),31)</f>
        <v>-680</v>
      </c>
      <c r="R68" s="392" t="s">
        <v>188</v>
      </c>
      <c r="S68" s="393">
        <f ca="1">INDEX(PYRL_Summary,MATCH(O61,months,0),33)</f>
        <v>223.99999999999997</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1</v>
      </c>
      <c r="O69" s="908" t="str">
        <f>Surname&amp;" "&amp;Name</f>
        <v>Camilleri Ryan</v>
      </c>
      <c r="P69" s="394" t="str">
        <f>+IDCard</f>
        <v>4401H</v>
      </c>
      <c r="Q69" s="395" t="str">
        <f>+designation</f>
        <v>2. Dental Surgeon</v>
      </c>
      <c r="R69" s="396" t="s">
        <v>156</v>
      </c>
      <c r="S69" s="397">
        <f ca="1">+S70+S73+S72+S74+S75+S76+S71</f>
        <v>5704.4733333333306</v>
      </c>
      <c r="T69" s="431" t="str">
        <f>+FS4_Status</f>
        <v>SIN</v>
      </c>
      <c r="U69" s="573" t="str">
        <f ca="1">INDEX(INDAT,MATCH(O71,(INDIRECT(("months"),TRUE)),0),26)</f>
        <v>FT</v>
      </c>
      <c r="V69" s="432" t="str">
        <f ca="1">INDEX(INDAT,MATCH(O71,(INDIRECT(("months"),TRUE)),0),25)</f>
        <v>D</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5569.3733333333303</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559.29999999999995</v>
      </c>
      <c r="U71" s="358">
        <f ca="1">INDEX(PYRL_Summary,MATCH(O71,months,0),22)</f>
        <v>279.64999999999998</v>
      </c>
      <c r="V71" s="359">
        <f ca="1">INDEX(PYRL_Summary,MATCH(O71,months,0),23)</f>
        <v>279.64999999999998</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8.4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2025008</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1213</v>
      </c>
      <c r="X74" s="577"/>
    </row>
    <row r="75" spans="5:37" ht="15.75" customHeight="1" thickBot="1" x14ac:dyDescent="0.3">
      <c r="E75" s="293"/>
      <c r="F75" s="294" t="s">
        <v>130</v>
      </c>
      <c r="G75" s="295">
        <f ca="1">IF(AND(Timer="pt",grossyearly&lt;10000),+ptrate,IF(grossyearly&lt;$F$68,$G$68,IF(grossyearly&lt;$F$69,$G$69,IF(grossyearly&lt;$F$70,$G$70,IF(grossyearly&lt;$F$71,$G$71,$G$72)))))</f>
        <v>0.35</v>
      </c>
      <c r="H75" s="296">
        <f ca="1">IF(grossyearly&lt;$F$68,$H$68,IF(grossyearly&lt;$F$69,$H$69,IF(grossyearly&lt;$F$70,$H$70,IF(grossyearly&lt;$F$71,$H$71,$H$72))))</f>
        <v>9400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f>+IBAN</f>
        <v>0</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4211.8233333333301</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-880</v>
      </c>
      <c r="R78" s="410" t="s">
        <v>188</v>
      </c>
      <c r="S78" s="411">
        <f ca="1">INDEX(PYRL_Summary,MATCH(O71,months,0),33)</f>
        <v>223.99999999999997</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Camilleri Ryan</v>
      </c>
      <c r="P79" s="374" t="str">
        <f>+IDCard</f>
        <v>4401H</v>
      </c>
      <c r="Q79" s="375" t="str">
        <f>+designation</f>
        <v>2. Dental Surgeon</v>
      </c>
      <c r="R79" s="376" t="s">
        <v>156</v>
      </c>
      <c r="S79" s="377">
        <f ca="1">+S80+S83+S82+S84+S85+S86+S81</f>
        <v>5569.3733333333294</v>
      </c>
      <c r="T79" s="378" t="str">
        <f>+FS4_Status</f>
        <v>SIN</v>
      </c>
      <c r="U79" s="572" t="str">
        <f ca="1">INDEX(INDAT,MATCH(O81,(INDIRECT(("months"),TRUE)),0),26)</f>
        <v>FT</v>
      </c>
      <c r="V79" s="379" t="str">
        <f ca="1">INDEX(INDAT,MATCH(O81,(INDIRECT(("months"),TRUE)),0),25)</f>
        <v>D</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5569.3733333333294</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447.44</v>
      </c>
      <c r="U81" s="372">
        <f ca="1">INDEX(PYRL_Summary,MATCH(O81,months,0),22)</f>
        <v>223.72</v>
      </c>
      <c r="V81" s="373">
        <f ca="1">INDEX(PYRL_Summary,MATCH(O81,months,0),23)</f>
        <v>223.72</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6.72</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2025008</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1165</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f>+IBAN</f>
        <v>0</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4180.6533333333291</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223.99999999999997</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Camilleri Ryan</v>
      </c>
      <c r="P89" s="394" t="str">
        <f>+IDCard</f>
        <v>4401H</v>
      </c>
      <c r="Q89" s="395" t="str">
        <f>+designation</f>
        <v>2. Dental Surgeon</v>
      </c>
      <c r="R89" s="396" t="s">
        <v>156</v>
      </c>
      <c r="S89" s="397">
        <f ca="1">+S90+S93+S92+S94+S95+S96+S91</f>
        <v>5569.3733333333294</v>
      </c>
      <c r="T89" s="431" t="str">
        <f>+FS4_Status</f>
        <v>SIN</v>
      </c>
      <c r="U89" s="573" t="str">
        <f ca="1">INDEX(INDAT,MATCH(O91,(INDIRECT(("months"),TRUE)),0),26)</f>
        <v>FT</v>
      </c>
      <c r="V89" s="432" t="str">
        <f ca="1">INDEX(INDAT,MATCH(O91,(INDIRECT(("months"),TRUE)),0),25)</f>
        <v>D</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5569.3733333333294</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559.29999999999995</v>
      </c>
      <c r="U91" s="358">
        <f ca="1">INDEX(PYRL_Summary,MATCH(O91,months,0),22)</f>
        <v>279.64999999999998</v>
      </c>
      <c r="V91" s="359">
        <f ca="1">INDEX(PYRL_Summary,MATCH(O91,months,0),23)</f>
        <v>279.64999999999998</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8.4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2025008</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1165</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f>+IBAN</f>
        <v>0</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4124.7233333333297</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-1200</v>
      </c>
      <c r="R98" s="410" t="s">
        <v>188</v>
      </c>
      <c r="S98" s="411">
        <f ca="1">INDEX(PYRL_Summary,MATCH(O91,months,0),33)</f>
        <v>223.99999999999997</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Camilleri Ryan</v>
      </c>
      <c r="P99" s="374" t="str">
        <f>+IDCard</f>
        <v>4401H</v>
      </c>
      <c r="Q99" s="375" t="str">
        <f>+designation</f>
        <v>2. Dental Surgeon</v>
      </c>
      <c r="R99" s="376" t="s">
        <v>156</v>
      </c>
      <c r="S99" s="377">
        <f ca="1">+S100+S103+S102+S104+S105+S106+S101</f>
        <v>5690.5333333333301</v>
      </c>
      <c r="T99" s="378" t="str">
        <f>+FS4_Status</f>
        <v>SIN</v>
      </c>
      <c r="U99" s="572" t="str">
        <f ca="1">INDEX(INDAT,MATCH(O101,(INDIRECT(("months"),TRUE)),0),26)</f>
        <v>FT</v>
      </c>
      <c r="V99" s="379" t="str">
        <f ca="1">INDEX(INDAT,MATCH(O101,(INDIRECT(("months"),TRUE)),0),25)</f>
        <v>D</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5569.3733333333303</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447.44</v>
      </c>
      <c r="U101" s="372">
        <f ca="1">INDEX(PYRL_Summary,MATCH(O101,months,0),22)</f>
        <v>223.72</v>
      </c>
      <c r="V101" s="373">
        <f ca="1">INDEX(PYRL_Summary,MATCH(O101,months,0),23)</f>
        <v>223.72</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6.72</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2025008</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1208</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f>+IBAN</f>
        <v>0</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4258.8133333333299</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-1360</v>
      </c>
      <c r="R108" s="392" t="s">
        <v>188</v>
      </c>
      <c r="S108" s="393">
        <f ca="1">INDEX(PYRL_Summary,MATCH(O101,months,0),33)</f>
        <v>223.99999999999997</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Camilleri Ryan</v>
      </c>
      <c r="P109" s="394" t="str">
        <f>+IDCard</f>
        <v>4401H</v>
      </c>
      <c r="Q109" s="395" t="str">
        <f>+designation</f>
        <v>2. Dental Surgeon</v>
      </c>
      <c r="R109" s="396" t="s">
        <v>156</v>
      </c>
      <c r="S109" s="397">
        <f ca="1">+S110+S113+S112+S114+S115+S116+S111</f>
        <v>5569.3733333333294</v>
      </c>
      <c r="T109" s="431" t="str">
        <f>+FS4_Status</f>
        <v>SIN</v>
      </c>
      <c r="U109" s="573" t="str">
        <f ca="1">INDEX(INDAT,MATCH(W109,(INDIRECT(("months"),TRUE)),0),26)</f>
        <v>FT</v>
      </c>
      <c r="V109" s="432" t="str">
        <f ca="1">INDEX(INDAT,MATCH(W109,(INDIRECT(("months"),TRUE)),0),25)</f>
        <v>D</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5569.3733333333294</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447.44</v>
      </c>
      <c r="U111" s="358">
        <f ca="1">INDEX(PYRL_Summary,MATCH(W109,months,0),22)</f>
        <v>223.72</v>
      </c>
      <c r="V111" s="359">
        <f ca="1">INDEX(PYRL_Summary,MATCH(W109,months,0),23)</f>
        <v>223.72</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6.72</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2025008</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1165</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f>+IBAN</f>
        <v>0</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4180.6533333333291</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-1520</v>
      </c>
      <c r="R118" s="410" t="s">
        <v>188</v>
      </c>
      <c r="S118" s="411">
        <f ca="1">INDEX(PYRL_Summary,MATCH(W109,months,0),33)</f>
        <v>223.99999999999997</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Camilleri Ryan</v>
      </c>
      <c r="P119" s="374" t="str">
        <f>+IDCard</f>
        <v>4401H</v>
      </c>
      <c r="Q119" s="375" t="str">
        <f>+designation</f>
        <v>2. Dental Surgeon</v>
      </c>
      <c r="R119" s="376" t="s">
        <v>156</v>
      </c>
      <c r="S119" s="377">
        <f ca="1">+S120+S123+S122+S124+S125+S126+S121</f>
        <v>5569.3733333333303</v>
      </c>
      <c r="T119" s="378" t="str">
        <f>+FS4_Status</f>
        <v>SIN</v>
      </c>
      <c r="U119" s="572" t="str">
        <f ca="1">INDEX(INDAT,MATCH(W119,(INDIRECT(("months"),TRUE)),0),26)</f>
        <v>FT</v>
      </c>
      <c r="V119" s="379" t="str">
        <f ca="1">INDEX(INDAT,MATCH(W119,(INDIRECT(("months"),TRUE)),0),25)</f>
        <v>D</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5569.3733333333303</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559.29999999999995</v>
      </c>
      <c r="U121" s="372">
        <f ca="1">INDEX(PYRL_Summary,MATCH(W119,months,0),22)</f>
        <v>279.64999999999998</v>
      </c>
      <c r="V121" s="373">
        <f ca="1">INDEX(PYRL_Summary,MATCH(W119,months,0),23)</f>
        <v>279.64999999999998</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8.4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2025008</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1165</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f>+IBAN</f>
        <v>0</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4124.7233333333297</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-1720</v>
      </c>
      <c r="R128" s="392" t="s">
        <v>188</v>
      </c>
      <c r="S128" s="393">
        <f ca="1">INDEX(PYRL_Summary,MATCH(W119,months,0),33)</f>
        <v>223.99999999999997</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Camilleri Ryan</v>
      </c>
      <c r="P129" s="394" t="str">
        <f>+IDCard</f>
        <v>4401H</v>
      </c>
      <c r="Q129" s="395" t="str">
        <f>+designation</f>
        <v>2. Dental Surgeon</v>
      </c>
      <c r="R129" s="396" t="s">
        <v>156</v>
      </c>
      <c r="S129" s="397">
        <f ca="1">+S130+S133+S132+S134+S135+S136+S131</f>
        <v>5704.4733333333297</v>
      </c>
      <c r="T129" s="431" t="str">
        <f>+FS4_Status</f>
        <v>SIN</v>
      </c>
      <c r="U129" s="573" t="str">
        <f ca="1">INDEX(INDAT,MATCH(W129,(INDIRECT(("months"),TRUE)),0),26)</f>
        <v>FT</v>
      </c>
      <c r="V129" s="432" t="str">
        <f ca="1">INDEX(INDAT,MATCH(W129,(INDIRECT(("months"),TRUE)),0),25)</f>
        <v>D</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5569.3733333333294</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447.44</v>
      </c>
      <c r="U131" s="358">
        <f ca="1">INDEX(PYRL_Summary,MATCH(W129,months,0),22)</f>
        <v>223.72</v>
      </c>
      <c r="V131" s="359">
        <f ca="1">INDEX(PYRL_Summary,MATCH(W129,months,0),23)</f>
        <v>223.72</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6.72</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2025008</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1213</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f>+IBAN</f>
        <v>0</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4267.7533333333295</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-1880</v>
      </c>
      <c r="R138" s="410" t="s">
        <v>188</v>
      </c>
      <c r="S138" s="411">
        <f ca="1">INDEX(PYRL_Summary,MATCH(W129,months,0),33)</f>
        <v>223.99999999999997</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522" priority="29">
      <formula>$P25=0</formula>
    </cfRule>
  </conditionalFormatting>
  <conditionalFormatting sqref="Q25:R25">
    <cfRule type="expression" dxfId="521" priority="28">
      <formula>$R25=0</formula>
    </cfRule>
  </conditionalFormatting>
  <conditionalFormatting sqref="S25">
    <cfRule type="expression" dxfId="520" priority="27">
      <formula>$S25=0</formula>
    </cfRule>
  </conditionalFormatting>
  <conditionalFormatting sqref="S26">
    <cfRule type="expression" dxfId="519" priority="25">
      <formula>$S$46&gt;0.01</formula>
    </cfRule>
    <cfRule type="expression" dxfId="518" priority="26">
      <formula>$S$46=0</formula>
    </cfRule>
  </conditionalFormatting>
  <conditionalFormatting sqref="T23 T33 T43 T53 T63 T73 T83 T93 T103 T113 T123 T133">
    <cfRule type="expression" dxfId="517" priority="24" stopIfTrue="1">
      <formula>"$R$23=0"""</formula>
    </cfRule>
  </conditionalFormatting>
  <conditionalFormatting sqref="O26:Q26">
    <cfRule type="expression" dxfId="516" priority="23">
      <formula>$Q$26=0</formula>
    </cfRule>
  </conditionalFormatting>
  <conditionalFormatting sqref="V23">
    <cfRule type="expression" dxfId="515" priority="22">
      <formula>$V$23=0</formula>
    </cfRule>
  </conditionalFormatting>
  <conditionalFormatting sqref="O35:P35">
    <cfRule type="expression" dxfId="514" priority="21">
      <formula>$P35=0</formula>
    </cfRule>
  </conditionalFormatting>
  <conditionalFormatting sqref="Q35:R35">
    <cfRule type="expression" dxfId="513" priority="20">
      <formula>$R35=0</formula>
    </cfRule>
  </conditionalFormatting>
  <conditionalFormatting sqref="S35">
    <cfRule type="expression" dxfId="512" priority="19">
      <formula>$S35=0</formula>
    </cfRule>
  </conditionalFormatting>
  <conditionalFormatting sqref="S36">
    <cfRule type="expression" dxfId="511" priority="17">
      <formula>$S$46&gt;0.01</formula>
    </cfRule>
    <cfRule type="expression" dxfId="510" priority="18">
      <formula>$S$46=0</formula>
    </cfRule>
  </conditionalFormatting>
  <conditionalFormatting sqref="O36:Q36">
    <cfRule type="expression" dxfId="509" priority="16">
      <formula>$Q$26=0</formula>
    </cfRule>
  </conditionalFormatting>
  <conditionalFormatting sqref="V33">
    <cfRule type="expression" dxfId="508" priority="15">
      <formula>$V$23=0</formula>
    </cfRule>
  </conditionalFormatting>
  <conditionalFormatting sqref="O45:P45 O65:P65 O85:P85 O105:P105 O125:P125">
    <cfRule type="expression" dxfId="507" priority="14">
      <formula>$P45=0</formula>
    </cfRule>
  </conditionalFormatting>
  <conditionalFormatting sqref="Q45:R45 Q65:R65 Q85:R85 Q105:R105 Q125:R125">
    <cfRule type="expression" dxfId="506" priority="13">
      <formula>$R45=0</formula>
    </cfRule>
  </conditionalFormatting>
  <conditionalFormatting sqref="S45 S65 S85 S105 S125">
    <cfRule type="expression" dxfId="505" priority="12">
      <formula>$S45=0</formula>
    </cfRule>
  </conditionalFormatting>
  <conditionalFormatting sqref="S46 S66 S86 S106 S126">
    <cfRule type="expression" dxfId="504" priority="10">
      <formula>$S$46&gt;0.01</formula>
    </cfRule>
    <cfRule type="expression" dxfId="503" priority="11">
      <formula>$S$46=0</formula>
    </cfRule>
  </conditionalFormatting>
  <conditionalFormatting sqref="O46:Q46 O66:Q66 O86:Q86 O106:Q106 O126:Q126">
    <cfRule type="expression" dxfId="502" priority="9">
      <formula>$Q$26=0</formula>
    </cfRule>
  </conditionalFormatting>
  <conditionalFormatting sqref="V43 V63 V83 V103 V123">
    <cfRule type="expression" dxfId="501" priority="8">
      <formula>$V$23=0</formula>
    </cfRule>
  </conditionalFormatting>
  <conditionalFormatting sqref="O55:P55 O75:P75 O95:P95 O115:P115 O135:P135">
    <cfRule type="expression" dxfId="500" priority="7">
      <formula>$P55=0</formula>
    </cfRule>
  </conditionalFormatting>
  <conditionalFormatting sqref="Q55:R55 Q75:R75 Q95:R95 Q115:R115 Q135:R135">
    <cfRule type="expression" dxfId="499" priority="6">
      <formula>$R55=0</formula>
    </cfRule>
  </conditionalFormatting>
  <conditionalFormatting sqref="S55 S75 S95 S115 S135">
    <cfRule type="expression" dxfId="498" priority="5">
      <formula>$S55=0</formula>
    </cfRule>
  </conditionalFormatting>
  <conditionalFormatting sqref="S56 S76 S96 S116 S136">
    <cfRule type="expression" dxfId="497" priority="3">
      <formula>$S$46&gt;0.01</formula>
    </cfRule>
    <cfRule type="expression" dxfId="496" priority="4">
      <formula>$S$46=0</formula>
    </cfRule>
  </conditionalFormatting>
  <conditionalFormatting sqref="O56:Q56 O76:Q76 O96:Q96 O116:Q116 O136:Q136">
    <cfRule type="expression" dxfId="495" priority="2">
      <formula>$Q$26=0</formula>
    </cfRule>
  </conditionalFormatting>
  <conditionalFormatting sqref="V53 V73 V93 V113 V133">
    <cfRule type="expression" dxfId="494" priority="1">
      <formula>$V$23=0</formula>
    </cfRule>
  </conditionalFormatting>
  <hyperlinks>
    <hyperlink ref="F57" r:id="rId1" display="drchrisgauci@gmail.com" xr:uid="{00000000-0004-0000-06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1537"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1538"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1539"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1540"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1541"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1542"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1543"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1544"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1545"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1546"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1547"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1548"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1549"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6">
    <tabColor rgb="FF4472C4"/>
  </sheetPr>
  <dimension ref="A1:BJ149"/>
  <sheetViews>
    <sheetView topLeftCell="J19" workbookViewId="0">
      <selection activeCell="Z37" sqref="Z37"/>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DMifsud_Ceci</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2025009</v>
      </c>
      <c r="O2" s="810" t="str">
        <f>CONCATENATE(LEFT(Name,1),Surname)</f>
        <v>DMifsud_Ceci</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38</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38.131</v>
      </c>
      <c r="O4" s="213">
        <f>+DATA!A3</f>
        <v>46023</v>
      </c>
      <c r="P4" s="219">
        <f ca="1">+INDIRECT("[EMPINFO.xlsm]"&amp;$O$2&amp;"!G4")</f>
        <v>4</v>
      </c>
      <c r="Q4" s="215">
        <f ca="1">IF(AZ4="active",INDIRECT("[EMPINFO.xlsm]"&amp;$O$2&amp;"!H4"),0)</f>
        <v>40</v>
      </c>
      <c r="R4" s="239">
        <f ca="1">IF(AZ4&lt;&gt;"active",0,N3+COLA)</f>
        <v>38.131</v>
      </c>
      <c r="S4" s="216">
        <f t="shared" ref="S4:S15" ca="1" si="1">+Q4*R4*4.33333333333333*AO4/AX4</f>
        <v>6609.3733333333284</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6609.3733333333284</v>
      </c>
      <c r="AA4" s="803">
        <f t="shared" ref="AA4:AA15" ca="1" si="7">IF(OR(AN4="PT",AN4="PT_Casual"),TRUNC((Z4*PT_Rate),0),(TRUNC((Z4*BB4)-(BC4/12),0)))</f>
        <v>1529</v>
      </c>
      <c r="AB4" s="218">
        <f ca="1">+INDIRECT("[EMPINFO.xlsm]"&amp;$O$2&amp;"!s4")</f>
        <v>0</v>
      </c>
      <c r="AC4" s="292">
        <v>1.5</v>
      </c>
      <c r="AD4" s="218">
        <f t="shared" ref="AD4:AD15" ca="1" si="8">+AB4*(R4*AC4)</f>
        <v>0</v>
      </c>
      <c r="AE4" s="220">
        <f t="shared" ref="AE4:AE15" ca="1" si="9">+TRUNC((AD4*0.15),0)</f>
        <v>0</v>
      </c>
      <c r="AF4" s="218">
        <f t="shared" ref="AF4:AF15" ca="1" si="10">+AA4+AE4</f>
        <v>1529</v>
      </c>
      <c r="AG4" s="803">
        <f t="shared" ref="AG4:AG15" ca="1" si="11">+R4*Q4</f>
        <v>1525.24</v>
      </c>
      <c r="AH4" s="218">
        <f t="shared" ref="AH4:AH15" ca="1" si="12">ROUND(IF(AN4="",0,IF(OR(AN4="PT",AN4="PT_Casual"),0,IF(AM4="B",ROUND(SSCBemployermultiplier*P4,2),IF(AM4="c",SOCSECCRATE*AG4*P4,IF(AM4="D",ROUND(socsecrateD*P4,2)))))),2)</f>
        <v>223.72</v>
      </c>
      <c r="AI4" s="803">
        <f t="shared" ref="AI4:AI15" ca="1" si="13">ROUND(IF(AN4="",0,IF(OR(AN4="PT",AN4="PT_Casual"),0,IF(AM4="B",ROUND(SSCBemployermultiplier*P4,2),IF(AM4="c",SOCSECCRATE*AG4*P4,IF(AM4="D",ROUND(socsecrateD*P4,2)))))),2)</f>
        <v>223.72</v>
      </c>
      <c r="AJ4" s="218">
        <f t="shared" ref="AJ4:AJ16" ca="1" si="14">+AH4+AI4</f>
        <v>447.44</v>
      </c>
      <c r="AK4" s="803">
        <f t="shared" ref="AK4:AK15" ca="1" si="15">ROUND(IF(AN4="",0,IF(OR(AN4="PT",AN4="PT_Casual"),0,IF(AM4="B",SSCBmlfmultiplier*P4,IF(AM4="c",SSCCmlfmultiplier*P4*AG4,IF(AM4="D",SSCDmlfmultiplier*P4))))),2)</f>
        <v>6.72</v>
      </c>
      <c r="AL4" s="218">
        <f ca="1">+Z4+AH4+AK4</f>
        <v>6839.813333333329</v>
      </c>
      <c r="AM4" s="290" t="str">
        <f t="shared" ref="AM4:AM15" ca="1" si="16">IF(AZ4="Active",IF(OR(AN4="PT",AN4="PT_Casual"),0,(IF(AG4&lt;SSCcatBMAX,"B",(IF(AG4&lt;SSCcatCMAX,"C","D"))))),0)</f>
        <v>D</v>
      </c>
      <c r="AN4" s="291" t="str">
        <f t="shared" ref="AN4:AN15" ca="1" si="17">IF(AZ4="active",+Timer,"")</f>
        <v>FT</v>
      </c>
      <c r="AO4" s="223">
        <f ca="1">+INDIRECT("[EMPINFO.xlsm]"&amp;$O$2&amp;"!t4")</f>
        <v>31</v>
      </c>
      <c r="AP4" s="226">
        <f ca="1">+INDIRECT("[EMPINFO.xlsm]"&amp;$O$2&amp;"!o4")</f>
        <v>-200</v>
      </c>
      <c r="AQ4" s="840">
        <f ca="1">+INDIRECT("[EMPINFO.xlsm]"&amp;$O$2&amp;"!p4")</f>
        <v>-200</v>
      </c>
      <c r="AR4" s="226">
        <f ca="1">+INDIRECT("[EMPINFO.xlsm]"&amp;$O$2&amp;"!j4")</f>
        <v>0</v>
      </c>
      <c r="AS4" s="840">
        <f ca="1">+INDIRECT("[EMPINFO.xlsm]"&amp;$O$2&amp;"!k4")</f>
        <v>223.99999999999997</v>
      </c>
      <c r="AT4" s="226">
        <f ca="1">+INDIRECT("[EMPINFO.xlsm]"&amp;$O$2&amp;"!m4")</f>
        <v>0</v>
      </c>
      <c r="AU4" s="844">
        <f ca="1">+INDIRECT("[EMPINFO.xlsm]"&amp;$O$2&amp;"!n4")</f>
        <v>240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0.35</v>
      </c>
      <c r="BC4" s="289">
        <f t="shared" ref="BC4:BC15" ca="1" si="21">IF((Z4*12)&lt;$F$68,$H$68,IF((Z4*12)&lt;$F$69,$H$69,IF((Z4*12)&lt;$F$70,$H$70,IF((Z4*12)&lt;$F$71,$H$71,$H$72))))</f>
        <v>9400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38.131</v>
      </c>
      <c r="O5" s="213">
        <f>+DATA!A4</f>
        <v>46054</v>
      </c>
      <c r="P5" s="219">
        <f ca="1">+INDIRECT("[EMPINFO.xlsm]"&amp;$O$2&amp;"!G5")</f>
        <v>4</v>
      </c>
      <c r="Q5" s="215">
        <f ca="1">IF(AZ5="active",INDIRECT("[EMPINFO.xlsm]"&amp;$O$2&amp;"!H5"),0)</f>
        <v>40</v>
      </c>
      <c r="R5" s="239">
        <f t="shared" ref="R5:R15" ca="1" si="22">+R4</f>
        <v>38.131</v>
      </c>
      <c r="S5" s="216">
        <f t="shared" ca="1" si="1"/>
        <v>6609.3733333333284</v>
      </c>
      <c r="T5" s="220">
        <f t="shared" ca="1" si="2"/>
        <v>0</v>
      </c>
      <c r="U5" s="218">
        <f t="shared" ca="1" si="3"/>
        <v>0</v>
      </c>
      <c r="V5" s="220">
        <f ca="1">+feboth*febhrrt</f>
        <v>0</v>
      </c>
      <c r="W5" s="201"/>
      <c r="X5" s="218">
        <f t="shared" ca="1" si="4"/>
        <v>0</v>
      </c>
      <c r="Y5" s="803">
        <f t="shared" ca="1" si="5"/>
        <v>0</v>
      </c>
      <c r="Z5" s="218">
        <f t="shared" ca="1" si="6"/>
        <v>6609.3733333333284</v>
      </c>
      <c r="AA5" s="803">
        <f t="shared" ca="1" si="7"/>
        <v>1529</v>
      </c>
      <c r="AB5" s="218">
        <f ca="1">+INDIRECT("[EMPINFO.xlsm]"&amp;$O$2&amp;"!s5")</f>
        <v>0</v>
      </c>
      <c r="AC5" s="292">
        <v>1.5</v>
      </c>
      <c r="AD5" s="218">
        <f t="shared" ca="1" si="8"/>
        <v>0</v>
      </c>
      <c r="AE5" s="220">
        <f t="shared" ca="1" si="9"/>
        <v>0</v>
      </c>
      <c r="AF5" s="218">
        <f t="shared" ca="1" si="10"/>
        <v>1529</v>
      </c>
      <c r="AG5" s="803">
        <f t="shared" ca="1" si="11"/>
        <v>1525.24</v>
      </c>
      <c r="AH5" s="218">
        <f t="shared" ca="1" si="12"/>
        <v>223.72</v>
      </c>
      <c r="AI5" s="803">
        <f t="shared" ca="1" si="13"/>
        <v>223.72</v>
      </c>
      <c r="AJ5" s="218">
        <f t="shared" ca="1" si="14"/>
        <v>447.44</v>
      </c>
      <c r="AK5" s="803">
        <f t="shared" ca="1" si="15"/>
        <v>6.72</v>
      </c>
      <c r="AL5" s="218">
        <f t="shared" ref="AL5:AL15" ca="1" si="23">+Z5+AI5+AK5</f>
        <v>6839.813333333329</v>
      </c>
      <c r="AM5" s="290" t="str">
        <f t="shared" ca="1" si="16"/>
        <v>D</v>
      </c>
      <c r="AN5" s="291" t="str">
        <f t="shared" ca="1" si="17"/>
        <v>FT</v>
      </c>
      <c r="AO5" s="223">
        <f ca="1">+INDIRECT("[EMPINFO.xlsm]"&amp;$O$2&amp;"!t5")</f>
        <v>28</v>
      </c>
      <c r="AP5" s="226">
        <f ca="1">+INDIRECT("[EMPINFO.xlsm]"&amp;$O$2&amp;"!o5")</f>
        <v>-160</v>
      </c>
      <c r="AQ5" s="840">
        <f ca="1">+INDIRECT("[EMPINFO.xlsm]"&amp;$O$2&amp;"!p5")</f>
        <v>-360</v>
      </c>
      <c r="AR5" s="226">
        <f ca="1">+INDIRECT("[EMPINFO.xlsm]"&amp;$O$2&amp;"!j5")</f>
        <v>0</v>
      </c>
      <c r="AS5" s="840">
        <f ca="1">+INDIRECT("[EMPINFO.xlsm]"&amp;$O$2&amp;"!k5")</f>
        <v>223.99999999999997</v>
      </c>
      <c r="AT5" s="226">
        <f ca="1">+INDIRECT("[EMPINFO.xlsm]"&amp;$O$2&amp;"!m5")</f>
        <v>0</v>
      </c>
      <c r="AU5" s="844">
        <f ca="1">+INDIRECT("[EMPINFO.xlsm]"&amp;$O$2&amp;"!n5")</f>
        <v>240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0.35</v>
      </c>
      <c r="BC5" s="289">
        <f t="shared" ca="1" si="21"/>
        <v>9400</v>
      </c>
      <c r="BD5" s="255"/>
      <c r="BE5" s="205"/>
      <c r="BG5" s="27"/>
      <c r="BH5" s="28"/>
    </row>
    <row r="6" spans="1:62" ht="15.75" customHeight="1" thickBot="1" x14ac:dyDescent="0.3">
      <c r="A6" s="54"/>
      <c r="B6" s="2" t="s">
        <v>135</v>
      </c>
      <c r="C6" s="921" t="str">
        <f>INDEX([1]!empdata,MATCH(ID,[1]!empid,0),3)</f>
        <v>Mifsud_Ceci</v>
      </c>
      <c r="D6" s="922"/>
      <c r="E6" s="922"/>
      <c r="F6" s="886"/>
      <c r="I6" s="312" t="s">
        <v>136</v>
      </c>
      <c r="L6" s="101"/>
      <c r="M6" s="303"/>
      <c r="N6" s="211">
        <f t="shared" ca="1" si="0"/>
        <v>38.131</v>
      </c>
      <c r="O6" s="213">
        <f>+DATA!A5</f>
        <v>46082</v>
      </c>
      <c r="P6" s="219">
        <f ca="1">+INDIRECT("[EMPINFO.xlsm]"&amp;$O$2&amp;"!G6")</f>
        <v>5</v>
      </c>
      <c r="Q6" s="215">
        <f ca="1">IF(AZ6="active",INDIRECT("[EMPINFO.xlsm]"&amp;$O$2&amp;"!H6"),0)</f>
        <v>40</v>
      </c>
      <c r="R6" s="239">
        <f t="shared" ca="1" si="22"/>
        <v>38.131</v>
      </c>
      <c r="S6" s="216">
        <f t="shared" ca="1" si="1"/>
        <v>6609.3733333333284</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6730.5333333333283</v>
      </c>
      <c r="AA6" s="803">
        <f t="shared" ca="1" si="7"/>
        <v>1572</v>
      </c>
      <c r="AB6" s="218">
        <f ca="1">+INDIRECT("[EMPINFO.xlsm]"&amp;$O$2&amp;"!s6")</f>
        <v>0</v>
      </c>
      <c r="AC6" s="292">
        <v>1.5</v>
      </c>
      <c r="AD6" s="218">
        <f t="shared" ca="1" si="8"/>
        <v>0</v>
      </c>
      <c r="AE6" s="220">
        <f t="shared" ca="1" si="9"/>
        <v>0</v>
      </c>
      <c r="AF6" s="218">
        <f t="shared" ca="1" si="10"/>
        <v>1572</v>
      </c>
      <c r="AG6" s="803">
        <f t="shared" ca="1" si="11"/>
        <v>1525.24</v>
      </c>
      <c r="AH6" s="218">
        <f t="shared" ca="1" si="12"/>
        <v>279.64999999999998</v>
      </c>
      <c r="AI6" s="803">
        <f t="shared" ca="1" si="13"/>
        <v>279.64999999999998</v>
      </c>
      <c r="AJ6" s="218">
        <f t="shared" ca="1" si="14"/>
        <v>559.29999999999995</v>
      </c>
      <c r="AK6" s="803">
        <f t="shared" ca="1" si="15"/>
        <v>8.4</v>
      </c>
      <c r="AL6" s="218">
        <f t="shared" ca="1" si="23"/>
        <v>7018.5833333333276</v>
      </c>
      <c r="AM6" s="290" t="str">
        <f t="shared" ca="1" si="16"/>
        <v>D</v>
      </c>
      <c r="AN6" s="291" t="str">
        <f t="shared" ca="1" si="17"/>
        <v>FT</v>
      </c>
      <c r="AO6" s="223">
        <f ca="1">+INDIRECT("[EMPINFO.xlsm]"&amp;$O$2&amp;"!t6")</f>
        <v>31</v>
      </c>
      <c r="AP6" s="226">
        <f ca="1">+INDIRECT("[EMPINFO.xlsm]"&amp;$O$2&amp;"!o6")</f>
        <v>-160</v>
      </c>
      <c r="AQ6" s="840">
        <f ca="1">+INDIRECT("[EMPINFO.xlsm]"&amp;$O$2&amp;"!p6")</f>
        <v>-520</v>
      </c>
      <c r="AR6" s="226">
        <f ca="1">+INDIRECT("[EMPINFO.xlsm]"&amp;$O$2&amp;"!j6")</f>
        <v>0</v>
      </c>
      <c r="AS6" s="840">
        <f ca="1">+INDIRECT("[EMPINFO.xlsm]"&amp;$O$2&amp;"!k6")</f>
        <v>223.99999999999997</v>
      </c>
      <c r="AT6" s="226">
        <f ca="1">+INDIRECT("[EMPINFO.xlsm]"&amp;$O$2&amp;"!m6")</f>
        <v>0</v>
      </c>
      <c r="AU6" s="844">
        <f ca="1">+INDIRECT("[EMPINFO.xlsm]"&amp;$O$2&amp;"!n6")</f>
        <v>240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0.35</v>
      </c>
      <c r="BC6" s="289">
        <f t="shared" ca="1" si="21"/>
        <v>9400</v>
      </c>
      <c r="BD6" s="255"/>
      <c r="BE6" s="206"/>
    </row>
    <row r="7" spans="1:62" ht="15.75" customHeight="1" thickBot="1" x14ac:dyDescent="0.3">
      <c r="A7" s="54"/>
      <c r="B7" s="3" t="s">
        <v>137</v>
      </c>
      <c r="C7" s="921" t="str">
        <f>INDEX([1]!empdata,MATCH(ID,[1]!empid,0),4)</f>
        <v>Deborah</v>
      </c>
      <c r="D7" s="922"/>
      <c r="E7" s="922"/>
      <c r="F7" s="886"/>
      <c r="H7" s="312" t="s">
        <v>138</v>
      </c>
      <c r="I7" s="927" t="str">
        <f>INDEX([1]!empdata,MATCH(ID,[1]!empid,0),6)</f>
        <v>396M</v>
      </c>
      <c r="J7" s="859"/>
      <c r="K7" s="857"/>
      <c r="L7" s="101"/>
      <c r="M7" s="303"/>
      <c r="N7" s="211">
        <f t="shared" ca="1" si="0"/>
        <v>38.131</v>
      </c>
      <c r="O7" s="213">
        <f>+DATA!A6</f>
        <v>46113</v>
      </c>
      <c r="P7" s="219">
        <f ca="1">+INDIRECT("[EMPINFO.xlsm]"&amp;$O$2&amp;"!G7")</f>
        <v>4</v>
      </c>
      <c r="Q7" s="215">
        <f ca="1">IF(AZ7="active",INDIRECT("[EMPINFO.xlsm]"&amp;$O$2&amp;"!H7"),0)</f>
        <v>40</v>
      </c>
      <c r="R7" s="239">
        <f t="shared" ca="1" si="22"/>
        <v>38.131</v>
      </c>
      <c r="S7" s="216">
        <f t="shared" ca="1" si="1"/>
        <v>6609.3733333333284</v>
      </c>
      <c r="T7" s="220">
        <f t="shared" ca="1" si="2"/>
        <v>0</v>
      </c>
      <c r="U7" s="218">
        <f t="shared" ca="1" si="3"/>
        <v>0</v>
      </c>
      <c r="V7" s="220">
        <f ca="1">+aproth*aprhrrt</f>
        <v>0</v>
      </c>
      <c r="W7" s="201"/>
      <c r="X7" s="218">
        <f t="shared" ca="1" si="4"/>
        <v>0</v>
      </c>
      <c r="Y7" s="803">
        <f t="shared" ca="1" si="5"/>
        <v>0</v>
      </c>
      <c r="Z7" s="218">
        <f t="shared" ca="1" si="6"/>
        <v>6609.3733333333284</v>
      </c>
      <c r="AA7" s="803">
        <f t="shared" ca="1" si="7"/>
        <v>1529</v>
      </c>
      <c r="AB7" s="218">
        <f ca="1">+INDIRECT("[EMPINFO.xlsm]"&amp;$O$2&amp;"!s7")</f>
        <v>0</v>
      </c>
      <c r="AC7" s="292">
        <v>1.5</v>
      </c>
      <c r="AD7" s="218">
        <f t="shared" ca="1" si="8"/>
        <v>0</v>
      </c>
      <c r="AE7" s="220">
        <f t="shared" ca="1" si="9"/>
        <v>0</v>
      </c>
      <c r="AF7" s="218">
        <f t="shared" ca="1" si="10"/>
        <v>1529</v>
      </c>
      <c r="AG7" s="803">
        <f t="shared" ca="1" si="11"/>
        <v>1525.24</v>
      </c>
      <c r="AH7" s="218">
        <f t="shared" ca="1" si="12"/>
        <v>223.72</v>
      </c>
      <c r="AI7" s="803">
        <f t="shared" ca="1" si="13"/>
        <v>223.72</v>
      </c>
      <c r="AJ7" s="218">
        <f t="shared" ca="1" si="14"/>
        <v>447.44</v>
      </c>
      <c r="AK7" s="803">
        <f t="shared" ca="1" si="15"/>
        <v>6.72</v>
      </c>
      <c r="AL7" s="218">
        <f t="shared" ca="1" si="23"/>
        <v>6839.813333333329</v>
      </c>
      <c r="AM7" s="290" t="str">
        <f t="shared" ca="1" si="16"/>
        <v>D</v>
      </c>
      <c r="AN7" s="291" t="str">
        <f t="shared" ca="1" si="17"/>
        <v>FT</v>
      </c>
      <c r="AO7" s="223">
        <f ca="1">+INDIRECT("[EMPINFO.xlsm]"&amp;$O$2&amp;"!t7")</f>
        <v>30</v>
      </c>
      <c r="AP7" s="226">
        <f ca="1">+INDIRECT("[EMPINFO.xlsm]"&amp;$O$2&amp;"!o7")</f>
        <v>-160</v>
      </c>
      <c r="AQ7" s="840">
        <f ca="1">+INDIRECT("[EMPINFO.xlsm]"&amp;$O$2&amp;"!p7")</f>
        <v>-680</v>
      </c>
      <c r="AR7" s="226">
        <f ca="1">+INDIRECT("[EMPINFO.xlsm]"&amp;$O$2&amp;"!j7")</f>
        <v>0</v>
      </c>
      <c r="AS7" s="840">
        <f ca="1">+INDIRECT("[EMPINFO.xlsm]"&amp;$O$2&amp;"!k7")</f>
        <v>223.99999999999997</v>
      </c>
      <c r="AT7" s="226">
        <f ca="1">+INDIRECT("[EMPINFO.xlsm]"&amp;$O$2&amp;"!m7")</f>
        <v>0</v>
      </c>
      <c r="AU7" s="844">
        <f ca="1">+INDIRECT("[EMPINFO.xlsm]"&amp;$O$2&amp;"!n7")</f>
        <v>240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0.35</v>
      </c>
      <c r="BC7" s="289">
        <f t="shared" ca="1" si="21"/>
        <v>9400</v>
      </c>
      <c r="BD7" s="255"/>
      <c r="BE7" s="206"/>
    </row>
    <row r="8" spans="1:62" ht="15.75" customHeight="1" thickBot="1" x14ac:dyDescent="0.3">
      <c r="A8" s="54"/>
      <c r="B8" s="3" t="s">
        <v>139</v>
      </c>
      <c r="C8" s="921" t="str">
        <f>INDEX([1]!empdata,MATCH(ID,[1]!empid,0),18)</f>
        <v>26, Desert Orchid</v>
      </c>
      <c r="D8" s="922"/>
      <c r="E8" s="922"/>
      <c r="F8" s="886"/>
      <c r="I8" s="312" t="s">
        <v>140</v>
      </c>
      <c r="L8" s="101"/>
      <c r="M8" s="303"/>
      <c r="N8" s="211">
        <f t="shared" ca="1" si="0"/>
        <v>38.131</v>
      </c>
      <c r="O8" s="213">
        <f>+DATA!A7</f>
        <v>46143</v>
      </c>
      <c r="P8" s="219">
        <f ca="1">+INDIRECT("[EMPINFO.xlsm]"&amp;$O$2&amp;"!G8")</f>
        <v>4</v>
      </c>
      <c r="Q8" s="215">
        <f ca="1">IF(AZ8="active",INDIRECT("[EMPINFO.xlsm]"&amp;$O$2&amp;"!H8"),0)</f>
        <v>40</v>
      </c>
      <c r="R8" s="239">
        <f t="shared" ca="1" si="22"/>
        <v>38.131</v>
      </c>
      <c r="S8" s="216">
        <f t="shared" ca="1" si="1"/>
        <v>6609.3733333333284</v>
      </c>
      <c r="T8" s="220">
        <f t="shared" ca="1" si="2"/>
        <v>0</v>
      </c>
      <c r="U8" s="218">
        <f t="shared" ca="1" si="3"/>
        <v>0</v>
      </c>
      <c r="V8" s="220">
        <f ca="1">+mayoth*mayhrrt</f>
        <v>0</v>
      </c>
      <c r="W8" s="201"/>
      <c r="X8" s="218">
        <f t="shared" ca="1" si="4"/>
        <v>0</v>
      </c>
      <c r="Y8" s="803">
        <f t="shared" ca="1" si="5"/>
        <v>0</v>
      </c>
      <c r="Z8" s="218">
        <f t="shared" ca="1" si="6"/>
        <v>6609.3733333333284</v>
      </c>
      <c r="AA8" s="803">
        <f t="shared" ca="1" si="7"/>
        <v>1529</v>
      </c>
      <c r="AB8" s="218">
        <f ca="1">+INDIRECT("[EMPINFO.xlsm]"&amp;$O$2&amp;"!s8")</f>
        <v>0</v>
      </c>
      <c r="AC8" s="292">
        <v>1.5</v>
      </c>
      <c r="AD8" s="218">
        <f t="shared" ca="1" si="8"/>
        <v>0</v>
      </c>
      <c r="AE8" s="220">
        <f t="shared" ca="1" si="9"/>
        <v>0</v>
      </c>
      <c r="AF8" s="218">
        <f t="shared" ca="1" si="10"/>
        <v>1529</v>
      </c>
      <c r="AG8" s="803">
        <f t="shared" ca="1" si="11"/>
        <v>1525.24</v>
      </c>
      <c r="AH8" s="218">
        <f t="shared" ca="1" si="12"/>
        <v>223.72</v>
      </c>
      <c r="AI8" s="803">
        <f t="shared" ca="1" si="13"/>
        <v>223.72</v>
      </c>
      <c r="AJ8" s="218">
        <f t="shared" ca="1" si="14"/>
        <v>447.44</v>
      </c>
      <c r="AK8" s="803">
        <f t="shared" ca="1" si="15"/>
        <v>6.72</v>
      </c>
      <c r="AL8" s="218">
        <f t="shared" ca="1" si="23"/>
        <v>6839.813333333329</v>
      </c>
      <c r="AM8" s="290" t="str">
        <f t="shared" ca="1" si="16"/>
        <v>D</v>
      </c>
      <c r="AN8" s="291" t="str">
        <f t="shared" ca="1" si="17"/>
        <v>FT</v>
      </c>
      <c r="AO8" s="223">
        <f ca="1">+INDIRECT("[EMPINFO.xlsm]"&amp;$O$2&amp;"!t8")</f>
        <v>31</v>
      </c>
      <c r="AP8" s="226">
        <f ca="1">+INDIRECT("[EMPINFO.xlsm]"&amp;$O$2&amp;"!o8")</f>
        <v>-200</v>
      </c>
      <c r="AQ8" s="840">
        <f ca="1">+INDIRECT("[EMPINFO.xlsm]"&amp;$O$2&amp;"!p8")</f>
        <v>-880</v>
      </c>
      <c r="AR8" s="226">
        <f ca="1">+INDIRECT("[EMPINFO.xlsm]"&amp;$O$2&amp;"!j8")</f>
        <v>0</v>
      </c>
      <c r="AS8" s="840">
        <f ca="1">+INDIRECT("[EMPINFO.xlsm]"&amp;$O$2&amp;"!k8")</f>
        <v>223.99999999999997</v>
      </c>
      <c r="AT8" s="226">
        <f ca="1">+INDIRECT("[EMPINFO.xlsm]"&amp;$O$2&amp;"!m8")</f>
        <v>0</v>
      </c>
      <c r="AU8" s="844">
        <f ca="1">+INDIRECT("[EMPINFO.xlsm]"&amp;$O$2&amp;"!n8")</f>
        <v>240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0.35</v>
      </c>
      <c r="BC8" s="289">
        <f t="shared" ca="1" si="21"/>
        <v>9400</v>
      </c>
      <c r="BD8" s="255"/>
      <c r="BE8" s="206"/>
    </row>
    <row r="9" spans="1:62" ht="15.75" customHeight="1" thickBot="1" x14ac:dyDescent="0.3">
      <c r="A9" s="54"/>
      <c r="B9" s="4" t="s">
        <v>141</v>
      </c>
      <c r="C9" s="921" t="str">
        <f>INDEX([1]!empdata,MATCH(ID,[1]!empid,0),19)</f>
        <v>Triq L-inhasa</v>
      </c>
      <c r="D9" s="922"/>
      <c r="E9" s="922"/>
      <c r="F9" s="886"/>
      <c r="H9" s="312" t="s">
        <v>20</v>
      </c>
      <c r="I9" s="927">
        <f>INDEX([1]!empdata,MATCH(ID,[1]!empid,0),14)</f>
        <v>0</v>
      </c>
      <c r="J9" s="859"/>
      <c r="K9" s="857"/>
      <c r="L9" s="101"/>
      <c r="M9" s="303"/>
      <c r="N9" s="211">
        <f t="shared" ca="1" si="0"/>
        <v>38.131</v>
      </c>
      <c r="O9" s="213">
        <f>+DATA!A8</f>
        <v>46174</v>
      </c>
      <c r="P9" s="219">
        <f ca="1">+INDIRECT("[EMPINFO.xlsm]"&amp;$O$2&amp;"!G9")</f>
        <v>5</v>
      </c>
      <c r="Q9" s="215">
        <f ca="1">IF(AZ9="active",INDIRECT("[EMPINFO.xlsm]"&amp;$O$2&amp;"!H9"),0)</f>
        <v>40</v>
      </c>
      <c r="R9" s="239">
        <f t="shared" ca="1" si="22"/>
        <v>38.131</v>
      </c>
      <c r="S9" s="216">
        <f t="shared" ca="1" si="1"/>
        <v>6609.3733333333284</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6744.4733333333288</v>
      </c>
      <c r="AA9" s="803">
        <f t="shared" ca="1" si="7"/>
        <v>1577</v>
      </c>
      <c r="AB9" s="218">
        <f ca="1">+INDIRECT("[EMPINFO.xlsm]"&amp;$O$2&amp;"!s9")</f>
        <v>0</v>
      </c>
      <c r="AC9" s="292">
        <v>1.5</v>
      </c>
      <c r="AD9" s="218">
        <f t="shared" ca="1" si="8"/>
        <v>0</v>
      </c>
      <c r="AE9" s="220">
        <f t="shared" ca="1" si="9"/>
        <v>0</v>
      </c>
      <c r="AF9" s="218">
        <f t="shared" ca="1" si="10"/>
        <v>1577</v>
      </c>
      <c r="AG9" s="803">
        <f t="shared" ca="1" si="11"/>
        <v>1525.24</v>
      </c>
      <c r="AH9" s="218">
        <f t="shared" ca="1" si="12"/>
        <v>279.64999999999998</v>
      </c>
      <c r="AI9" s="803">
        <f t="shared" ca="1" si="13"/>
        <v>279.64999999999998</v>
      </c>
      <c r="AJ9" s="218">
        <f t="shared" ca="1" si="14"/>
        <v>559.29999999999995</v>
      </c>
      <c r="AK9" s="803">
        <f t="shared" ca="1" si="15"/>
        <v>8.4</v>
      </c>
      <c r="AL9" s="218">
        <f t="shared" ca="1" si="23"/>
        <v>7032.5233333333281</v>
      </c>
      <c r="AM9" s="290" t="str">
        <f t="shared" ca="1" si="16"/>
        <v>D</v>
      </c>
      <c r="AN9" s="291" t="str">
        <f t="shared" ca="1" si="17"/>
        <v>FT</v>
      </c>
      <c r="AO9" s="223">
        <f ca="1">+INDIRECT("[EMPINFO.xlsm]"&amp;$O$2&amp;"!t9")</f>
        <v>30</v>
      </c>
      <c r="AP9" s="226">
        <f ca="1">+INDIRECT("[EMPINFO.xlsm]"&amp;$O$2&amp;"!o9")</f>
        <v>-160</v>
      </c>
      <c r="AQ9" s="840">
        <f ca="1">+INDIRECT("[EMPINFO.xlsm]"&amp;$O$2&amp;"!p9")</f>
        <v>-1040</v>
      </c>
      <c r="AR9" s="226">
        <f ca="1">+INDIRECT("[EMPINFO.xlsm]"&amp;$O$2&amp;"!j9")</f>
        <v>0</v>
      </c>
      <c r="AS9" s="840">
        <f ca="1">+INDIRECT("[EMPINFO.xlsm]"&amp;$O$2&amp;"!k9")</f>
        <v>223.99999999999997</v>
      </c>
      <c r="AT9" s="226">
        <f ca="1">+INDIRECT("[EMPINFO.xlsm]"&amp;$O$2&amp;"!m9")</f>
        <v>0</v>
      </c>
      <c r="AU9" s="844">
        <f ca="1">+INDIRECT("[EMPINFO.xlsm]"&amp;$O$2&amp;"!n9")</f>
        <v>240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0.35</v>
      </c>
      <c r="BC9" s="289">
        <f t="shared" ca="1" si="21"/>
        <v>9400</v>
      </c>
      <c r="BD9" s="255"/>
      <c r="BE9" s="206"/>
    </row>
    <row r="10" spans="1:62" ht="15.75" customHeight="1" thickBot="1" x14ac:dyDescent="0.3">
      <c r="A10" s="54"/>
      <c r="B10" s="5" t="s">
        <v>142</v>
      </c>
      <c r="C10" s="921" t="str">
        <f>INDEX([1]!empdata,MATCH(ID,[1]!empid,0),20)</f>
        <v>Attard</v>
      </c>
      <c r="D10" s="922"/>
      <c r="E10" s="922"/>
      <c r="F10" s="886"/>
      <c r="I10" s="312" t="s">
        <v>143</v>
      </c>
      <c r="L10" s="101"/>
      <c r="M10" s="303"/>
      <c r="N10" s="211">
        <f t="shared" ca="1" si="0"/>
        <v>38.131</v>
      </c>
      <c r="O10" s="213">
        <f>+DATA!A9</f>
        <v>46204</v>
      </c>
      <c r="P10" s="219">
        <f ca="1">+INDIRECT("[EMPINFO.xlsm]"&amp;$O$2&amp;"!G10")</f>
        <v>4</v>
      </c>
      <c r="Q10" s="215">
        <f ca="1">IF(AZ10="active",INDIRECT("[EMPINFO.xlsm]"&amp;$O$2&amp;"!H10"),0)</f>
        <v>40</v>
      </c>
      <c r="R10" s="239">
        <f t="shared" ca="1" si="22"/>
        <v>38.131</v>
      </c>
      <c r="S10" s="216">
        <f t="shared" ca="1" si="1"/>
        <v>6609.3733333333284</v>
      </c>
      <c r="T10" s="220">
        <f t="shared" ca="1" si="2"/>
        <v>0</v>
      </c>
      <c r="U10" s="218">
        <f t="shared" ca="1" si="3"/>
        <v>0</v>
      </c>
      <c r="V10" s="220">
        <f ca="1">+juloth*julhrrt</f>
        <v>0</v>
      </c>
      <c r="W10" s="201"/>
      <c r="X10" s="218">
        <f t="shared" ca="1" si="4"/>
        <v>0</v>
      </c>
      <c r="Y10" s="803">
        <f t="shared" ca="1" si="5"/>
        <v>0</v>
      </c>
      <c r="Z10" s="218">
        <f t="shared" ca="1" si="6"/>
        <v>6609.3733333333284</v>
      </c>
      <c r="AA10" s="803">
        <f t="shared" ca="1" si="7"/>
        <v>1529</v>
      </c>
      <c r="AB10" s="218">
        <f ca="1">+INDIRECT("[EMPINFO.xlsm]"&amp;$O$2&amp;"!s10")</f>
        <v>0</v>
      </c>
      <c r="AC10" s="292">
        <v>1.5</v>
      </c>
      <c r="AD10" s="218">
        <f t="shared" ca="1" si="8"/>
        <v>0</v>
      </c>
      <c r="AE10" s="220">
        <f t="shared" ca="1" si="9"/>
        <v>0</v>
      </c>
      <c r="AF10" s="218">
        <f t="shared" ca="1" si="10"/>
        <v>1529</v>
      </c>
      <c r="AG10" s="803">
        <f t="shared" ca="1" si="11"/>
        <v>1525.24</v>
      </c>
      <c r="AH10" s="218">
        <f t="shared" ca="1" si="12"/>
        <v>223.72</v>
      </c>
      <c r="AI10" s="803">
        <f t="shared" ca="1" si="13"/>
        <v>223.72</v>
      </c>
      <c r="AJ10" s="218">
        <f t="shared" ca="1" si="14"/>
        <v>447.44</v>
      </c>
      <c r="AK10" s="803">
        <f t="shared" ca="1" si="15"/>
        <v>6.72</v>
      </c>
      <c r="AL10" s="218">
        <f t="shared" ca="1" si="23"/>
        <v>6839.813333333329</v>
      </c>
      <c r="AM10" s="290" t="str">
        <f t="shared" ca="1" si="16"/>
        <v>D</v>
      </c>
      <c r="AN10" s="291" t="str">
        <f t="shared" ca="1" si="17"/>
        <v>FT</v>
      </c>
      <c r="AO10" s="223">
        <f ca="1">+INDIRECT("[EMPINFO.xlsm]"&amp;$O$2&amp;"!t10")</f>
        <v>31</v>
      </c>
      <c r="AP10" s="226">
        <f ca="1">+INDIRECT("[EMPINFO.xlsm]"&amp;$O$2&amp;"!o10")</f>
        <v>-160</v>
      </c>
      <c r="AQ10" s="840">
        <f ca="1">+INDIRECT("[EMPINFO.xlsm]"&amp;$O$2&amp;"!p10")</f>
        <v>-1200</v>
      </c>
      <c r="AR10" s="226">
        <f ca="1">+INDIRECT("[EMPINFO.xlsm]"&amp;$O$2&amp;"!j10")</f>
        <v>0</v>
      </c>
      <c r="AS10" s="840">
        <f ca="1">+INDIRECT("[EMPINFO.xlsm]"&amp;$O$2&amp;"!k10")</f>
        <v>223.99999999999997</v>
      </c>
      <c r="AT10" s="226">
        <f ca="1">+INDIRECT("[EMPINFO.xlsm]"&amp;$O$2&amp;"!m10")</f>
        <v>0</v>
      </c>
      <c r="AU10" s="844">
        <f ca="1">+INDIRECT("[EMPINFO.xlsm]"&amp;$O$2&amp;"!n10")</f>
        <v>240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0.35</v>
      </c>
      <c r="BC10" s="289">
        <f t="shared" ca="1" si="21"/>
        <v>9400</v>
      </c>
      <c r="BD10" s="255"/>
      <c r="BE10" s="206"/>
      <c r="BF10" s="32"/>
      <c r="BH10" s="32"/>
      <c r="BI10" s="30"/>
      <c r="BJ10" s="31"/>
    </row>
    <row r="11" spans="1:62" ht="15.75" customHeight="1" thickBot="1" x14ac:dyDescent="0.3">
      <c r="A11" s="54"/>
      <c r="B11" s="6" t="s">
        <v>144</v>
      </c>
      <c r="C11" s="921" t="str">
        <f>INDEX([1]!empdata,MATCH(ID,[1]!empid,0),21)</f>
        <v>ATD2105</v>
      </c>
      <c r="D11" s="922"/>
      <c r="E11" s="922"/>
      <c r="F11" s="886"/>
      <c r="H11" s="312" t="s">
        <v>31</v>
      </c>
      <c r="I11" s="927" t="str">
        <f>INDEX([1]!empdata,MATCH(ID,[1]!empid,0),7)</f>
        <v>383190M</v>
      </c>
      <c r="J11" s="859"/>
      <c r="K11" s="857"/>
      <c r="L11" s="101"/>
      <c r="M11" s="303"/>
      <c r="N11" s="211">
        <f t="shared" ca="1" si="0"/>
        <v>38.131</v>
      </c>
      <c r="O11" s="213">
        <f>+DATA!A10</f>
        <v>46235</v>
      </c>
      <c r="P11" s="219">
        <f ca="1">+INDIRECT("[EMPINFO.xlsm]"&amp;$O$2&amp;"!G11")</f>
        <v>5</v>
      </c>
      <c r="Q11" s="215">
        <f ca="1">IF(AZ11="active",INDIRECT("[EMPINFO.xlsm]"&amp;$O$2&amp;"!H11"),0)</f>
        <v>40</v>
      </c>
      <c r="R11" s="239">
        <f t="shared" ca="1" si="22"/>
        <v>38.131</v>
      </c>
      <c r="S11" s="216">
        <f t="shared" ca="1" si="1"/>
        <v>6609.3733333333284</v>
      </c>
      <c r="T11" s="220">
        <f t="shared" ca="1" si="2"/>
        <v>0</v>
      </c>
      <c r="U11" s="218">
        <f t="shared" ca="1" si="3"/>
        <v>0</v>
      </c>
      <c r="V11" s="220">
        <f ca="1">+augoth*aughrrt</f>
        <v>0</v>
      </c>
      <c r="W11" s="201"/>
      <c r="X11" s="218">
        <f t="shared" ca="1" si="4"/>
        <v>0</v>
      </c>
      <c r="Y11" s="803">
        <f t="shared" ca="1" si="5"/>
        <v>0</v>
      </c>
      <c r="Z11" s="218">
        <f t="shared" ca="1" si="6"/>
        <v>6609.3733333333284</v>
      </c>
      <c r="AA11" s="803">
        <f t="shared" ca="1" si="7"/>
        <v>1529</v>
      </c>
      <c r="AB11" s="218">
        <f ca="1">+INDIRECT("[EMPINFO.xlsm]"&amp;$O$2&amp;"!s11")</f>
        <v>0</v>
      </c>
      <c r="AC11" s="292">
        <v>1.5</v>
      </c>
      <c r="AD11" s="218">
        <f t="shared" ca="1" si="8"/>
        <v>0</v>
      </c>
      <c r="AE11" s="220">
        <f t="shared" ca="1" si="9"/>
        <v>0</v>
      </c>
      <c r="AF11" s="218">
        <f t="shared" ca="1" si="10"/>
        <v>1529</v>
      </c>
      <c r="AG11" s="803">
        <f t="shared" ca="1" si="11"/>
        <v>1525.24</v>
      </c>
      <c r="AH11" s="218">
        <f t="shared" ca="1" si="12"/>
        <v>279.64999999999998</v>
      </c>
      <c r="AI11" s="803">
        <f t="shared" ca="1" si="13"/>
        <v>279.64999999999998</v>
      </c>
      <c r="AJ11" s="218">
        <f t="shared" ca="1" si="14"/>
        <v>559.29999999999995</v>
      </c>
      <c r="AK11" s="803">
        <f t="shared" ca="1" si="15"/>
        <v>8.4</v>
      </c>
      <c r="AL11" s="218">
        <f t="shared" ca="1" si="23"/>
        <v>6897.4233333333277</v>
      </c>
      <c r="AM11" s="290" t="str">
        <f t="shared" ca="1" si="16"/>
        <v>D</v>
      </c>
      <c r="AN11" s="291" t="str">
        <f t="shared" ca="1" si="17"/>
        <v>FT</v>
      </c>
      <c r="AO11" s="223">
        <f ca="1">+INDIRECT("[EMPINFO.xlsm]"&amp;$O$2&amp;"!t11")</f>
        <v>31</v>
      </c>
      <c r="AP11" s="226">
        <f ca="1">+INDIRECT("[EMPINFO.xlsm]"&amp;$O$2&amp;"!o11")</f>
        <v>-160</v>
      </c>
      <c r="AQ11" s="840">
        <f ca="1">+INDIRECT("[EMPINFO.xlsm]"&amp;$O$2&amp;"!p11")</f>
        <v>-1360</v>
      </c>
      <c r="AR11" s="226">
        <f ca="1">+INDIRECT("[EMPINFO.xlsm]"&amp;$O$2&amp;"!j11")</f>
        <v>0</v>
      </c>
      <c r="AS11" s="840">
        <f ca="1">+INDIRECT("[EMPINFO.xlsm]"&amp;$O$2&amp;"!k11")</f>
        <v>223.99999999999997</v>
      </c>
      <c r="AT11" s="226">
        <f ca="1">+INDIRECT("[EMPINFO.xlsm]"&amp;$O$2&amp;"!m11")</f>
        <v>0</v>
      </c>
      <c r="AU11" s="844">
        <f ca="1">+INDIRECT("[EMPINFO.xlsm]"&amp;$O$2&amp;"!n11")</f>
        <v>240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0.35</v>
      </c>
      <c r="BC11" s="289">
        <f t="shared" ca="1" si="21"/>
        <v>9400</v>
      </c>
      <c r="BD11" s="255"/>
      <c r="BE11" s="206"/>
      <c r="BF11" s="27"/>
      <c r="BH11" s="27"/>
    </row>
    <row r="12" spans="1:62" ht="17.45" customHeight="1" thickBot="1" x14ac:dyDescent="0.3">
      <c r="A12" s="313"/>
      <c r="B12" s="91" t="s">
        <v>14</v>
      </c>
      <c r="C12" s="945">
        <f>INDEX([1]!empdata,MATCH(ID,[1]!empid,0),10)</f>
        <v>79414279</v>
      </c>
      <c r="D12" s="946"/>
      <c r="E12" s="946"/>
      <c r="F12" s="947"/>
      <c r="G12" s="85"/>
      <c r="H12" s="85"/>
      <c r="I12" s="85"/>
      <c r="J12" s="85"/>
      <c r="K12" s="85"/>
      <c r="L12" s="314"/>
      <c r="M12" s="303"/>
      <c r="N12" s="211">
        <f t="shared" ca="1" si="0"/>
        <v>38.131</v>
      </c>
      <c r="O12" s="213">
        <f>+DATA!A11</f>
        <v>46266</v>
      </c>
      <c r="P12" s="219">
        <f ca="1">+INDIRECT("[EMPINFO.xlsm]"&amp;$O$2&amp;"!G12")</f>
        <v>4</v>
      </c>
      <c r="Q12" s="215">
        <f ca="1">IF(AZ12="active",INDIRECT("[EMPINFO.xlsm]"&amp;$O$2&amp;"!H12"),0)</f>
        <v>40</v>
      </c>
      <c r="R12" s="239">
        <f t="shared" ca="1" si="22"/>
        <v>38.131</v>
      </c>
      <c r="S12" s="216">
        <f t="shared" ca="1" si="1"/>
        <v>6609.3733333333284</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6730.5333333333283</v>
      </c>
      <c r="AA12" s="803">
        <f t="shared" ca="1" si="7"/>
        <v>1572</v>
      </c>
      <c r="AB12" s="218">
        <f ca="1">+INDIRECT("[EMPINFO.xlsm]"&amp;$O$2&amp;"!s12")</f>
        <v>0</v>
      </c>
      <c r="AC12" s="292">
        <v>1.5</v>
      </c>
      <c r="AD12" s="218">
        <f t="shared" ca="1" si="8"/>
        <v>0</v>
      </c>
      <c r="AE12" s="220">
        <f t="shared" ca="1" si="9"/>
        <v>0</v>
      </c>
      <c r="AF12" s="218">
        <f t="shared" ca="1" si="10"/>
        <v>1572</v>
      </c>
      <c r="AG12" s="803">
        <f t="shared" ca="1" si="11"/>
        <v>1525.24</v>
      </c>
      <c r="AH12" s="218">
        <f t="shared" ca="1" si="12"/>
        <v>223.72</v>
      </c>
      <c r="AI12" s="803">
        <f t="shared" ca="1" si="13"/>
        <v>223.72</v>
      </c>
      <c r="AJ12" s="218">
        <f t="shared" ca="1" si="14"/>
        <v>447.44</v>
      </c>
      <c r="AK12" s="803">
        <f t="shared" ca="1" si="15"/>
        <v>6.72</v>
      </c>
      <c r="AL12" s="218">
        <f t="shared" ca="1" si="23"/>
        <v>6960.9733333333288</v>
      </c>
      <c r="AM12" s="290" t="str">
        <f t="shared" ca="1" si="16"/>
        <v>D</v>
      </c>
      <c r="AN12" s="291" t="str">
        <f t="shared" ca="1" si="17"/>
        <v>FT</v>
      </c>
      <c r="AO12" s="223">
        <f ca="1">+INDIRECT("[EMPINFO.xlsm]"&amp;$O$2&amp;"!t12")</f>
        <v>30</v>
      </c>
      <c r="AP12" s="226">
        <f ca="1">+INDIRECT("[EMPINFO.xlsm]"&amp;$O$2&amp;"!o12")</f>
        <v>-160</v>
      </c>
      <c r="AQ12" s="840">
        <f ca="1">+INDIRECT("[EMPINFO.xlsm]"&amp;$O$2&amp;"!p12")</f>
        <v>-1520</v>
      </c>
      <c r="AR12" s="226">
        <f ca="1">+INDIRECT("[EMPINFO.xlsm]"&amp;$O$2&amp;"!j12")</f>
        <v>0</v>
      </c>
      <c r="AS12" s="840">
        <f ca="1">+INDIRECT("[EMPINFO.xlsm]"&amp;$O$2&amp;"!k12")</f>
        <v>223.99999999999997</v>
      </c>
      <c r="AT12" s="226">
        <f ca="1">+INDIRECT("[EMPINFO.xlsm]"&amp;$O$2&amp;"!m12")</f>
        <v>0</v>
      </c>
      <c r="AU12" s="844">
        <f ca="1">+INDIRECT("[EMPINFO.xlsm]"&amp;$O$2&amp;"!n12")</f>
        <v>240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0.35</v>
      </c>
      <c r="BC12" s="289">
        <f t="shared" ca="1" si="21"/>
        <v>9400</v>
      </c>
      <c r="BD12" s="255"/>
      <c r="BE12" s="206"/>
    </row>
    <row r="13" spans="1:62" ht="15.75" customHeight="1" thickBot="1" x14ac:dyDescent="0.3">
      <c r="A13" s="54"/>
      <c r="L13" s="101"/>
      <c r="M13" s="303"/>
      <c r="N13" s="211">
        <f t="shared" ca="1" si="0"/>
        <v>38.131</v>
      </c>
      <c r="O13" s="213">
        <f>+DATA!A12</f>
        <v>46296</v>
      </c>
      <c r="P13" s="219">
        <f ca="1">+INDIRECT("[EMPINFO.xlsm]"&amp;$O$2&amp;"!G13")</f>
        <v>4</v>
      </c>
      <c r="Q13" s="215">
        <f ca="1">IF(AZ13="active",INDIRECT("[EMPINFO.xlsm]"&amp;$O$2&amp;"!H13"),0)</f>
        <v>40</v>
      </c>
      <c r="R13" s="239">
        <f t="shared" ca="1" si="22"/>
        <v>38.131</v>
      </c>
      <c r="S13" s="216">
        <f t="shared" ca="1" si="1"/>
        <v>6609.3733333333284</v>
      </c>
      <c r="T13" s="220">
        <f t="shared" ca="1" si="2"/>
        <v>0</v>
      </c>
      <c r="U13" s="218">
        <f t="shared" ca="1" si="3"/>
        <v>0</v>
      </c>
      <c r="V13" s="220">
        <f ca="1">+octoth*octhrrt</f>
        <v>0</v>
      </c>
      <c r="W13" s="201"/>
      <c r="X13" s="218">
        <f t="shared" ca="1" si="4"/>
        <v>0</v>
      </c>
      <c r="Y13" s="803">
        <f t="shared" ca="1" si="5"/>
        <v>0</v>
      </c>
      <c r="Z13" s="218">
        <f t="shared" ca="1" si="6"/>
        <v>6609.3733333333284</v>
      </c>
      <c r="AA13" s="803">
        <f t="shared" ca="1" si="7"/>
        <v>1529</v>
      </c>
      <c r="AB13" s="218">
        <f ca="1">+INDIRECT("[EMPINFO.xlsm]"&amp;$O$2&amp;"!s13")</f>
        <v>0</v>
      </c>
      <c r="AC13" s="292">
        <v>1.5</v>
      </c>
      <c r="AD13" s="218">
        <f t="shared" ca="1" si="8"/>
        <v>0</v>
      </c>
      <c r="AE13" s="220">
        <f t="shared" ca="1" si="9"/>
        <v>0</v>
      </c>
      <c r="AF13" s="218">
        <f t="shared" ca="1" si="10"/>
        <v>1529</v>
      </c>
      <c r="AG13" s="803">
        <f t="shared" ca="1" si="11"/>
        <v>1525.24</v>
      </c>
      <c r="AH13" s="218">
        <f t="shared" ca="1" si="12"/>
        <v>223.72</v>
      </c>
      <c r="AI13" s="803">
        <f t="shared" ca="1" si="13"/>
        <v>223.72</v>
      </c>
      <c r="AJ13" s="218">
        <f t="shared" ca="1" si="14"/>
        <v>447.44</v>
      </c>
      <c r="AK13" s="803">
        <f t="shared" ca="1" si="15"/>
        <v>6.72</v>
      </c>
      <c r="AL13" s="218">
        <f t="shared" ca="1" si="23"/>
        <v>6839.813333333329</v>
      </c>
      <c r="AM13" s="290" t="str">
        <f t="shared" ca="1" si="16"/>
        <v>D</v>
      </c>
      <c r="AN13" s="291" t="str">
        <f t="shared" ca="1" si="17"/>
        <v>FT</v>
      </c>
      <c r="AO13" s="223">
        <f ca="1">+INDIRECT("[EMPINFO.xlsm]"&amp;$O$2&amp;"!t13")</f>
        <v>31</v>
      </c>
      <c r="AP13" s="226">
        <f ca="1">+INDIRECT("[EMPINFO.xlsm]"&amp;$O$2&amp;"!o13")</f>
        <v>-200</v>
      </c>
      <c r="AQ13" s="840">
        <f ca="1">+INDIRECT("[EMPINFO.xlsm]"&amp;$O$2&amp;"!p13")</f>
        <v>-1720</v>
      </c>
      <c r="AR13" s="226">
        <f ca="1">+INDIRECT("[EMPINFO.xlsm]"&amp;$O$2&amp;"!j13")</f>
        <v>0</v>
      </c>
      <c r="AS13" s="840">
        <f ca="1">+INDIRECT("[EMPINFO.xlsm]"&amp;$O$2&amp;"!k13")</f>
        <v>223.99999999999997</v>
      </c>
      <c r="AT13" s="226">
        <f ca="1">+INDIRECT("[EMPINFO.xlsm]"&amp;$O$2&amp;"!m13")</f>
        <v>0</v>
      </c>
      <c r="AU13" s="844">
        <f ca="1">+INDIRECT("[EMPINFO.xlsm]"&amp;$O$2&amp;"!n13")</f>
        <v>240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0.35</v>
      </c>
      <c r="BC13" s="289">
        <f t="shared" ca="1" si="21"/>
        <v>9400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38.131</v>
      </c>
      <c r="O14" s="213">
        <f>+DATA!A13</f>
        <v>46327</v>
      </c>
      <c r="P14" s="219">
        <f ca="1">+INDIRECT("[EMPINFO.xlsm]"&amp;$O$2&amp;"!G14")</f>
        <v>5</v>
      </c>
      <c r="Q14" s="215">
        <f ca="1">IF(AZ14="active",INDIRECT("[EMPINFO.xlsm]"&amp;$O$2&amp;"!H14"),0)</f>
        <v>40</v>
      </c>
      <c r="R14" s="239">
        <f t="shared" ca="1" si="22"/>
        <v>38.131</v>
      </c>
      <c r="S14" s="216">
        <f t="shared" ca="1" si="1"/>
        <v>6609.3733333333284</v>
      </c>
      <c r="T14" s="220">
        <f t="shared" ca="1" si="2"/>
        <v>0</v>
      </c>
      <c r="U14" s="218">
        <f t="shared" ca="1" si="3"/>
        <v>0</v>
      </c>
      <c r="V14" s="220">
        <f ca="1">+novoth*novhrrt</f>
        <v>0</v>
      </c>
      <c r="W14" s="201"/>
      <c r="X14" s="218">
        <f t="shared" ca="1" si="4"/>
        <v>0</v>
      </c>
      <c r="Y14" s="803">
        <f t="shared" ca="1" si="5"/>
        <v>0</v>
      </c>
      <c r="Z14" s="218">
        <f t="shared" ca="1" si="6"/>
        <v>6609.3733333333284</v>
      </c>
      <c r="AA14" s="803">
        <f t="shared" ca="1" si="7"/>
        <v>1529</v>
      </c>
      <c r="AB14" s="218">
        <f ca="1">+INDIRECT("[EMPINFO.xlsm]"&amp;$O$2&amp;"!s14")</f>
        <v>0</v>
      </c>
      <c r="AC14" s="292">
        <v>1.5</v>
      </c>
      <c r="AD14" s="218">
        <f t="shared" ca="1" si="8"/>
        <v>0</v>
      </c>
      <c r="AE14" s="220">
        <f t="shared" ca="1" si="9"/>
        <v>0</v>
      </c>
      <c r="AF14" s="218">
        <f t="shared" ca="1" si="10"/>
        <v>1529</v>
      </c>
      <c r="AG14" s="803">
        <f t="shared" ca="1" si="11"/>
        <v>1525.24</v>
      </c>
      <c r="AH14" s="218">
        <f t="shared" ca="1" si="12"/>
        <v>279.64999999999998</v>
      </c>
      <c r="AI14" s="803">
        <f t="shared" ca="1" si="13"/>
        <v>279.64999999999998</v>
      </c>
      <c r="AJ14" s="218">
        <f t="shared" ca="1" si="14"/>
        <v>559.29999999999995</v>
      </c>
      <c r="AK14" s="803">
        <f t="shared" ca="1" si="15"/>
        <v>8.4</v>
      </c>
      <c r="AL14" s="218">
        <f t="shared" ca="1" si="23"/>
        <v>6897.4233333333277</v>
      </c>
      <c r="AM14" s="290" t="str">
        <f t="shared" ca="1" si="16"/>
        <v>D</v>
      </c>
      <c r="AN14" s="291" t="str">
        <f t="shared" ca="1" si="17"/>
        <v>FT</v>
      </c>
      <c r="AO14" s="223">
        <f ca="1">+INDIRECT("[EMPINFO.xlsm]"&amp;$O$2&amp;"!t14")</f>
        <v>30</v>
      </c>
      <c r="AP14" s="226">
        <f ca="1">+INDIRECT("[EMPINFO.xlsm]"&amp;$O$2&amp;"!o14")</f>
        <v>-160</v>
      </c>
      <c r="AQ14" s="840">
        <f ca="1">+INDIRECT("[EMPINFO.xlsm]"&amp;$O$2&amp;"!p14")</f>
        <v>-1880</v>
      </c>
      <c r="AR14" s="226">
        <f ca="1">+INDIRECT("[EMPINFO.xlsm]"&amp;$O$2&amp;"!j14")</f>
        <v>0</v>
      </c>
      <c r="AS14" s="840">
        <f ca="1">+INDIRECT("[EMPINFO.xlsm]"&amp;$O$2&amp;"!k14")</f>
        <v>223.99999999999997</v>
      </c>
      <c r="AT14" s="226">
        <f ca="1">+INDIRECT("[EMPINFO.xlsm]"&amp;$O$2&amp;"!m14")</f>
        <v>0</v>
      </c>
      <c r="AU14" s="844">
        <f ca="1">+INDIRECT("[EMPINFO.xlsm]"&amp;$O$2&amp;"!n14")</f>
        <v>240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0.35</v>
      </c>
      <c r="BC14" s="289">
        <f t="shared" ca="1" si="21"/>
        <v>9400</v>
      </c>
      <c r="BD14" s="255"/>
      <c r="BE14" s="206"/>
      <c r="BF14" s="32"/>
      <c r="BH14" s="32"/>
    </row>
    <row r="15" spans="1:62" ht="15.75" customHeight="1" thickBot="1" x14ac:dyDescent="0.3">
      <c r="A15" s="54"/>
      <c r="L15" s="101"/>
      <c r="M15" s="303"/>
      <c r="N15" s="211">
        <f t="shared" ca="1" si="0"/>
        <v>38.131</v>
      </c>
      <c r="O15" s="213">
        <f>+DATA!A14</f>
        <v>46357</v>
      </c>
      <c r="P15" s="219">
        <f ca="1">+INDIRECT("[EMPINFO.xlsm]"&amp;$O$2&amp;"!G15")</f>
        <v>4</v>
      </c>
      <c r="Q15" s="215">
        <f ca="1">IF(AZ15="active",INDIRECT("[EMPINFO.xlsm]"&amp;$O$2&amp;"!H15"),0)</f>
        <v>40</v>
      </c>
      <c r="R15" s="239">
        <f t="shared" ca="1" si="22"/>
        <v>38.131</v>
      </c>
      <c r="S15" s="216">
        <f t="shared" ca="1" si="1"/>
        <v>6609.3733333333284</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6744.4733333333288</v>
      </c>
      <c r="AA15" s="803">
        <f t="shared" ca="1" si="7"/>
        <v>1577</v>
      </c>
      <c r="AB15" s="218">
        <f ca="1">+INDIRECT("[EMPINFO.xlsm]"&amp;$O$2&amp;"!s15")</f>
        <v>0</v>
      </c>
      <c r="AC15" s="292">
        <v>1.5</v>
      </c>
      <c r="AD15" s="218">
        <f t="shared" ca="1" si="8"/>
        <v>0</v>
      </c>
      <c r="AE15" s="220">
        <f t="shared" ca="1" si="9"/>
        <v>0</v>
      </c>
      <c r="AF15" s="218">
        <f t="shared" ca="1" si="10"/>
        <v>1577</v>
      </c>
      <c r="AG15" s="803">
        <f t="shared" ca="1" si="11"/>
        <v>1525.24</v>
      </c>
      <c r="AH15" s="218">
        <f t="shared" ca="1" si="12"/>
        <v>223.72</v>
      </c>
      <c r="AI15" s="803">
        <f t="shared" ca="1" si="13"/>
        <v>223.72</v>
      </c>
      <c r="AJ15" s="218">
        <f t="shared" ca="1" si="14"/>
        <v>447.44</v>
      </c>
      <c r="AK15" s="803">
        <f t="shared" ca="1" si="15"/>
        <v>6.72</v>
      </c>
      <c r="AL15" s="218">
        <f t="shared" ca="1" si="23"/>
        <v>6974.9133333333293</v>
      </c>
      <c r="AM15" s="290" t="str">
        <f t="shared" ca="1" si="16"/>
        <v>D</v>
      </c>
      <c r="AN15" s="291" t="str">
        <f t="shared" ca="1" si="17"/>
        <v>FT</v>
      </c>
      <c r="AO15" s="223">
        <f ca="1">+INDIRECT("[EMPINFO.xlsm]"&amp;$O$2&amp;"!t15")</f>
        <v>31</v>
      </c>
      <c r="AP15" s="226">
        <f ca="1">+INDIRECT("[EMPINFO.xlsm]"&amp;$O$2&amp;"!o15")</f>
        <v>-160</v>
      </c>
      <c r="AQ15" s="840">
        <f ca="1">+INDIRECT("[EMPINFO.xlsm]"&amp;$O$2&amp;"!p15")</f>
        <v>-2040</v>
      </c>
      <c r="AR15" s="226">
        <f ca="1">+INDIRECT("[EMPINFO.xlsm]"&amp;$O$2&amp;"!j15")</f>
        <v>0</v>
      </c>
      <c r="AS15" s="840">
        <f ca="1">+INDIRECT("[EMPINFO.xlsm]"&amp;$O$2&amp;"!k15")</f>
        <v>223.99999999999997</v>
      </c>
      <c r="AT15" s="226">
        <f ca="1">+INDIRECT("[EMPINFO.xlsm]"&amp;$O$2&amp;"!m15")</f>
        <v>0</v>
      </c>
      <c r="AU15" s="844">
        <f ca="1">+INDIRECT("[EMPINFO.xlsm]"&amp;$O$2&amp;"!n15")</f>
        <v>240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0.35</v>
      </c>
      <c r="BC15" s="289">
        <f t="shared" ca="1" si="21"/>
        <v>9400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79312.479999999923</v>
      </c>
      <c r="T16" s="221">
        <f t="shared" ca="1" si="24"/>
        <v>0</v>
      </c>
      <c r="U16" s="217">
        <f t="shared" ca="1" si="24"/>
        <v>0</v>
      </c>
      <c r="V16" s="221">
        <f t="shared" ca="1" si="24"/>
        <v>0</v>
      </c>
      <c r="W16" s="217">
        <f t="shared" ca="1" si="24"/>
        <v>512.52</v>
      </c>
      <c r="X16" s="217">
        <f t="shared" ca="1" si="24"/>
        <v>0</v>
      </c>
      <c r="Y16" s="804">
        <f t="shared" ca="1" si="24"/>
        <v>0</v>
      </c>
      <c r="Z16" s="217">
        <f t="shared" ca="1" si="24"/>
        <v>79824.999999999927</v>
      </c>
      <c r="AA16" s="804">
        <f t="shared" ca="1" si="24"/>
        <v>18530</v>
      </c>
      <c r="AB16" s="217">
        <f ca="1">+INDIRECT("[EMPINFO.xlsm]"&amp;$O$2&amp;"!S16")</f>
        <v>0</v>
      </c>
      <c r="AC16" s="221" t="s">
        <v>150</v>
      </c>
      <c r="AD16" s="217">
        <f ca="1">SUM(AD4:AD15)</f>
        <v>0</v>
      </c>
      <c r="AE16" s="221">
        <f ca="1">SUM(AE4:AE15)</f>
        <v>0</v>
      </c>
      <c r="AF16" s="217">
        <f ca="1">SUM(AF4:AF15)</f>
        <v>18530</v>
      </c>
      <c r="AG16" s="221"/>
      <c r="AH16" s="217">
        <f ca="1">SUM(AH4:AH15)</f>
        <v>2908.3599999999992</v>
      </c>
      <c r="AI16" s="803">
        <f ca="1">SUM(AI4:AI15)</f>
        <v>2908.3599999999992</v>
      </c>
      <c r="AJ16" s="217">
        <f t="shared" ca="1" si="14"/>
        <v>5816.7199999999984</v>
      </c>
      <c r="AK16" s="835">
        <f ca="1">SUM(AK4:AK15)</f>
        <v>87.36</v>
      </c>
      <c r="AL16" s="217">
        <f ca="1">+SUM(AL4:AL15)</f>
        <v>82820.719999999943</v>
      </c>
      <c r="AM16" s="298"/>
      <c r="AN16" s="297"/>
      <c r="AO16" s="224">
        <f ca="1">+INDIRECT("[EMPINFO.xlsm]"&amp;$O$2&amp;"!T16")</f>
        <v>365</v>
      </c>
      <c r="AP16" s="299">
        <f>+[1]RGaldes!O16</f>
        <v>0</v>
      </c>
      <c r="AQ16" s="841">
        <f ca="1">+INDIRECT("[EMPINFO.xlsm]"&amp;$O$2&amp;"!p16")</f>
        <v>-2040</v>
      </c>
      <c r="AR16" s="299"/>
      <c r="AS16" s="841">
        <f ca="1">+INDIRECT("[EMPINFO.xlsm]"&amp;$O$2&amp;"!k16")</f>
        <v>223.99999999999997</v>
      </c>
      <c r="AT16" s="299">
        <f ca="1">+INDIRECT("[EMPINFO.xlsm]"&amp;$O$2&amp;"!m16")</f>
        <v>0</v>
      </c>
      <c r="AU16" s="841">
        <f ca="1">+INDIRECT("[EMPINFO.xlsm]"&amp;$O$2&amp;"!n16")</f>
        <v>240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79824</v>
      </c>
      <c r="I17" s="456"/>
      <c r="K17" s="317" t="s">
        <v>151</v>
      </c>
      <c r="L17" s="101"/>
      <c r="M17" s="256">
        <v>36</v>
      </c>
      <c r="N17" s="257" t="s">
        <v>152</v>
      </c>
      <c r="O17" s="258">
        <f ca="1">+Med_Tot</f>
        <v>79824.999999999927</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-2040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Mifsud_Ceci Deborah</v>
      </c>
      <c r="P19" s="374" t="str">
        <f>+IDCard</f>
        <v>396M</v>
      </c>
      <c r="Q19" s="375" t="str">
        <f>+designation</f>
        <v>2. Dental Surgeon</v>
      </c>
      <c r="R19" s="376" t="s">
        <v>156</v>
      </c>
      <c r="S19" s="377">
        <f ca="1">+S20+S23+S22+S24+S25+S26+S21</f>
        <v>6609.3733333333284</v>
      </c>
      <c r="T19" s="378" t="str">
        <f>+FS4_Status</f>
        <v>SIN</v>
      </c>
      <c r="U19" s="572" t="str">
        <f ca="1">INDEX(INDAT,MATCH(O21,(INDIRECT(("months"),TRUE)),0),26)</f>
        <v>FT</v>
      </c>
      <c r="V19" s="379" t="str">
        <f ca="1">INDEX(INDAT,MATCH(O21,(INDIRECT(("months"),TRUE)),0),25)</f>
        <v>D</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6609.3733333333284</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447.44</v>
      </c>
      <c r="U21" s="372">
        <f ca="1">INDEX(PYRL_Summary,MATCH(O21,months,0),22)</f>
        <v>223.72</v>
      </c>
      <c r="V21" s="373">
        <f ca="1">INDEX(PYRL_Summary,MATCH(O21,months,0),23)</f>
        <v>223.72</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6.72</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79824</v>
      </c>
      <c r="I23" s="466"/>
      <c r="J23" s="318" t="s">
        <v>169</v>
      </c>
      <c r="K23" s="916"/>
      <c r="L23" s="917"/>
      <c r="N23" s="420"/>
      <c r="O23" s="344">
        <f>+ID</f>
        <v>2025009</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1529</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MT17MMEB44587000000058206087001</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4856.6533333333282</v>
      </c>
      <c r="V26" s="418"/>
      <c r="X26" s="575"/>
    </row>
    <row r="27" spans="1:56" ht="24" customHeight="1" thickBot="1" x14ac:dyDescent="0.3">
      <c r="A27" s="54"/>
      <c r="B27" s="73" t="s">
        <v>52</v>
      </c>
      <c r="G27" s="73" t="s">
        <v>53</v>
      </c>
      <c r="H27" s="8">
        <f ca="1">IF(OR(Timer="PT", Timer="pt_casual"),0,AA16)</f>
        <v>18530</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173402866</v>
      </c>
      <c r="U27" s="545"/>
      <c r="V27" s="546"/>
      <c r="W27" s="73" t="s">
        <v>183</v>
      </c>
      <c r="Y27" s="436">
        <v>173402866</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223.99999999999997</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Mifsud_Ceci Deborah</v>
      </c>
      <c r="P29" s="394" t="str">
        <f>+IDCard</f>
        <v>396M</v>
      </c>
      <c r="Q29" s="395" t="str">
        <f>+designation</f>
        <v>2. Dental Surgeon</v>
      </c>
      <c r="R29" s="396" t="s">
        <v>156</v>
      </c>
      <c r="S29" s="397">
        <f ca="1">+S30+S33+S32+S34+S35+S36+S31</f>
        <v>6609.3733333333284</v>
      </c>
      <c r="T29" s="431" t="str">
        <f>+FS4_Status</f>
        <v>SIN</v>
      </c>
      <c r="U29" s="573" t="str">
        <f ca="1">INDEX(INDAT,MATCH(O31,(INDIRECT(("months"),TRUE)),0),26)</f>
        <v>FT</v>
      </c>
      <c r="V29" s="432" t="str">
        <f ca="1">INDEX(INDAT,MATCH(O31,(INDIRECT(("months"),TRUE)),0),25)</f>
        <v>D</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6609.3733333333284</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18530</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447.44</v>
      </c>
      <c r="U31" s="358">
        <f ca="1">INDEX(PYRL_Summary,MATCH(O31,months,0),22)</f>
        <v>223.72</v>
      </c>
      <c r="V31" s="359">
        <f ca="1">INDEX(PYRL_Summary,MATCH(O31,months,0),23)</f>
        <v>223.72</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6.72</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2025009</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1529</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MT17MMEB44587000000058206087001</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4856.6533333333282</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174692864</v>
      </c>
      <c r="U37" s="545"/>
      <c r="V37" s="546"/>
      <c r="W37" s="73" t="s">
        <v>183</v>
      </c>
      <c r="Y37" s="574" t="s">
        <v>637</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-200</v>
      </c>
      <c r="R38" s="410" t="s">
        <v>188</v>
      </c>
      <c r="S38" s="411">
        <f ca="1">INDEX(PYRL_Summary,MATCH(O31,months,0),33)</f>
        <v>223.99999999999997</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Mifsud_Ceci Deborah</v>
      </c>
      <c r="P39" s="374" t="str">
        <f>+IDCard</f>
        <v>396M</v>
      </c>
      <c r="Q39" s="375" t="str">
        <f>+designation</f>
        <v>2. Dental Surgeon</v>
      </c>
      <c r="R39" s="376" t="s">
        <v>156</v>
      </c>
      <c r="S39" s="377">
        <f ca="1">+S40+S43+S42+S44+S45+S46+S41</f>
        <v>6730.5333333333283</v>
      </c>
      <c r="T39" s="378" t="str">
        <f>+FS4_Status</f>
        <v>SIN</v>
      </c>
      <c r="U39" s="572" t="str">
        <f ca="1">INDEX(INDAT,MATCH(O41,(INDIRECT(("months"),TRUE)),0),26)</f>
        <v>FT</v>
      </c>
      <c r="V39" s="379" t="str">
        <f ca="1">INDEX(INDAT,MATCH(O41,(INDIRECT(("months"),TRUE)),0),25)</f>
        <v>D</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6609.3733333333284</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559.29999999999995</v>
      </c>
      <c r="U41" s="372">
        <f ca="1">INDEX(PYRL_Summary,MATCH(O41,months,0),22)</f>
        <v>279.64999999999998</v>
      </c>
      <c r="V41" s="373">
        <f ca="1">INDEX(PYRL_Summary,MATCH(O41,months,0),23)</f>
        <v>279.64999999999998</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8.4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2025009</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1572</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MT17MMEB44587000000058206087001</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4878.8833333333278</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-360</v>
      </c>
      <c r="R48" s="392" t="s">
        <v>188</v>
      </c>
      <c r="S48" s="393">
        <f ca="1">INDEX(PYRL_Summary,MATCH(O41,months,0),33)</f>
        <v>223.99999999999997</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Mifsud_Ceci Deborah</v>
      </c>
      <c r="P49" s="394" t="str">
        <f>+IDCard</f>
        <v>396M</v>
      </c>
      <c r="Q49" s="395" t="str">
        <f>+designation</f>
        <v>2. Dental Surgeon</v>
      </c>
      <c r="R49" s="396" t="s">
        <v>156</v>
      </c>
      <c r="S49" s="397">
        <f ca="1">+S50+S53+S52+S54+S55+S56+S51</f>
        <v>6609.3733333333284</v>
      </c>
      <c r="T49" s="431" t="str">
        <f>+FS4_Status</f>
        <v>SIN</v>
      </c>
      <c r="U49" s="573" t="str">
        <f ca="1">INDEX(INDAT,MATCH(O51,(INDIRECT(("months"),TRUE)),0),26)</f>
        <v>FT</v>
      </c>
      <c r="V49" s="432" t="str">
        <f ca="1">INDEX(INDAT,MATCH(O51,(INDIRECT(("months"),TRUE)),0),25)</f>
        <v>D</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6609.3733333333284</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447.44</v>
      </c>
      <c r="U51" s="358">
        <f ca="1">INDEX(PYRL_Summary,MATCH(O51,months,0),22)</f>
        <v>223.72</v>
      </c>
      <c r="V51" s="359">
        <f ca="1">INDEX(PYRL_Summary,MATCH(O51,months,0),23)</f>
        <v>223.72</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6.72</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2025009</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1529</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MT17MMEB44587000000058206087001</v>
      </c>
      <c r="U55" s="890"/>
      <c r="V55" s="891"/>
    </row>
    <row r="56" spans="1:37" ht="16.5" customHeight="1" thickBot="1" x14ac:dyDescent="0.3">
      <c r="E56" s="116" t="s">
        <v>215</v>
      </c>
      <c r="F56" s="115" t="str">
        <f>INDEX([1]!empdata,MATCH(ID,[1]!empid,0),17)</f>
        <v>MT17MMEB44587000000058206087001</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4856.6533333333282</v>
      </c>
      <c r="V56" s="418"/>
    </row>
    <row r="57" spans="1:37" ht="26.25" customHeight="1" thickBot="1" x14ac:dyDescent="0.3">
      <c r="E57" s="116" t="s">
        <v>216</v>
      </c>
      <c r="F57" s="340" t="str">
        <f>INDEX([1]!empdata,MATCH(ID,[1]!empid,0),12)</f>
        <v>deborahmifsud@mediatrixmalta.com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35055</v>
      </c>
      <c r="G58" s="56"/>
      <c r="H58" s="63"/>
      <c r="N58" s="406">
        <f ca="1">INDEX(PYRL_Summary,MATCH(O51,months,0),4)</f>
        <v>4</v>
      </c>
      <c r="O58" s="407" t="s">
        <v>187</v>
      </c>
      <c r="P58" s="408">
        <f>+O41</f>
        <v>46082</v>
      </c>
      <c r="Q58" s="409">
        <f ca="1">INDEX(PYRL_Summary,MATCH(P58,months,0),31)</f>
        <v>-520</v>
      </c>
      <c r="R58" s="410" t="s">
        <v>188</v>
      </c>
      <c r="S58" s="411">
        <f ca="1">INDEX(PYRL_Summary,MATCH(O51,months,0),33)</f>
        <v>223.99999999999997</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45931</v>
      </c>
      <c r="G59" s="56"/>
      <c r="H59" s="63"/>
      <c r="N59" s="386">
        <f ca="1">IF(OR(INDEX(PYRL_Summary,MATCH(O61,months,0),28)="pt",INDEX(PYRL_Summary,MATCH(O61,months,0),28)="pt_casual"),0,IF(N62-N61&gt;=1,1,0))</f>
        <v>1</v>
      </c>
      <c r="O59" s="894" t="str">
        <f>Surname&amp;" "&amp;Name</f>
        <v>Mifsud_Ceci Deborah</v>
      </c>
      <c r="P59" s="374" t="str">
        <f>+IDCard</f>
        <v>396M</v>
      </c>
      <c r="Q59" s="375" t="str">
        <f>+designation</f>
        <v>2. Dental Surgeon</v>
      </c>
      <c r="R59" s="376" t="s">
        <v>156</v>
      </c>
      <c r="S59" s="377">
        <f ca="1">+S60+S63+S62+S64+S65+S66+S61</f>
        <v>6609.3733333333284</v>
      </c>
      <c r="T59" s="378" t="str">
        <f>+FS4_Status</f>
        <v>SIN</v>
      </c>
      <c r="U59" s="572" t="str">
        <f ca="1">INDEX(INDAT,MATCH(O61,(INDIRECT(("months"),TRUE)),0),26)</f>
        <v>FT</v>
      </c>
      <c r="V59" s="379" t="str">
        <f ca="1">INDEX(INDAT,MATCH(O61,(INDIRECT(("months"),TRUE)),0),25)</f>
        <v>D</v>
      </c>
      <c r="W59" s="422">
        <f>+$O$8</f>
        <v>46143</v>
      </c>
      <c r="X59" s="423"/>
      <c r="Y59" s="423"/>
      <c r="Z59" s="73"/>
      <c r="AA59" s="73"/>
    </row>
    <row r="60" spans="1:37" ht="20.25" customHeight="1" thickBot="1" x14ac:dyDescent="0.3">
      <c r="E60" s="116" t="s">
        <v>219</v>
      </c>
      <c r="F60" s="115" t="str">
        <f>INDEX([1]!empdata,MATCH(ID,[1]!empid,0),8)</f>
        <v>2. Dental Surgeon</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6609.3733333333284</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447.44</v>
      </c>
      <c r="U61" s="372">
        <f ca="1">INDEX(PYRL_Summary,MATCH(O61,months,0),22)</f>
        <v>223.72</v>
      </c>
      <c r="V61" s="373">
        <f ca="1">INDEX(PYRL_Summary,MATCH(O61,months,0),23)</f>
        <v>223.72</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6.72</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2025009</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1529</v>
      </c>
      <c r="X64" s="577"/>
    </row>
    <row r="65" spans="5:37" ht="15.75" customHeight="1" thickBot="1" x14ac:dyDescent="0.3">
      <c r="E65" s="925" t="s">
        <v>224</v>
      </c>
      <c r="F65" s="926"/>
      <c r="G65" s="103">
        <f ca="1">+Med_Tot</f>
        <v>79824.999999999927</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MT17MMEB44587000000058206087001</v>
      </c>
      <c r="U65" s="890"/>
      <c r="V65" s="891"/>
    </row>
    <row r="66" spans="5:37" ht="16.5" customHeight="1" thickBot="1" x14ac:dyDescent="0.3">
      <c r="E66" s="952" t="s">
        <v>226</v>
      </c>
      <c r="F66" s="953"/>
      <c r="G66" s="112">
        <f ca="1">+PREVFS3+Med_Tot</f>
        <v>79824.999999999927</v>
      </c>
      <c r="H66" s="114">
        <f ca="1">IF(grossyearly&lt;F68,1,IF(grossyearly&lt;F69,2,IF(grossyearly&lt;F70,3,IF(grossyearly&lt;F71,4,5))))</f>
        <v>5</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4856.6533333333282</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4</v>
      </c>
      <c r="O68" s="389" t="s">
        <v>187</v>
      </c>
      <c r="P68" s="390">
        <f>+O51</f>
        <v>46113</v>
      </c>
      <c r="Q68" s="391">
        <f ca="1">INDEX(PYRL_Summary,MATCH(P68,months,0),31)</f>
        <v>-680</v>
      </c>
      <c r="R68" s="392" t="s">
        <v>188</v>
      </c>
      <c r="S68" s="393">
        <f ca="1">INDEX(PYRL_Summary,MATCH(O61,months,0),33)</f>
        <v>223.99999999999997</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1</v>
      </c>
      <c r="O69" s="908" t="str">
        <f>Surname&amp;" "&amp;Name</f>
        <v>Mifsud_Ceci Deborah</v>
      </c>
      <c r="P69" s="394" t="str">
        <f>+IDCard</f>
        <v>396M</v>
      </c>
      <c r="Q69" s="395" t="str">
        <f>+designation</f>
        <v>2. Dental Surgeon</v>
      </c>
      <c r="R69" s="396" t="s">
        <v>156</v>
      </c>
      <c r="S69" s="397">
        <f ca="1">+S70+S73+S72+S74+S75+S76+S71</f>
        <v>6744.4733333333288</v>
      </c>
      <c r="T69" s="431" t="str">
        <f>+FS4_Status</f>
        <v>SIN</v>
      </c>
      <c r="U69" s="573" t="str">
        <f ca="1">INDEX(INDAT,MATCH(O71,(INDIRECT(("months"),TRUE)),0),26)</f>
        <v>FT</v>
      </c>
      <c r="V69" s="432" t="str">
        <f ca="1">INDEX(INDAT,MATCH(O71,(INDIRECT(("months"),TRUE)),0),25)</f>
        <v>D</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6609.3733333333284</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559.29999999999995</v>
      </c>
      <c r="U71" s="358">
        <f ca="1">INDEX(PYRL_Summary,MATCH(O71,months,0),22)</f>
        <v>279.64999999999998</v>
      </c>
      <c r="V71" s="359">
        <f ca="1">INDEX(PYRL_Summary,MATCH(O71,months,0),23)</f>
        <v>279.64999999999998</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8.4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2025009</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1577</v>
      </c>
      <c r="X74" s="577"/>
    </row>
    <row r="75" spans="5:37" ht="15.75" customHeight="1" thickBot="1" x14ac:dyDescent="0.3">
      <c r="E75" s="293"/>
      <c r="F75" s="294" t="s">
        <v>130</v>
      </c>
      <c r="G75" s="295">
        <f ca="1">IF(AND(Timer="pt",grossyearly&lt;10000),+ptrate,IF(grossyearly&lt;$F$68,$G$68,IF(grossyearly&lt;$F$69,$G$69,IF(grossyearly&lt;$F$70,$G$70,IF(grossyearly&lt;$F$71,$G$71,$G$72)))))</f>
        <v>0.35</v>
      </c>
      <c r="H75" s="296">
        <f ca="1">IF(grossyearly&lt;$F$68,$H$68,IF(grossyearly&lt;$F$69,$H$69,IF(grossyearly&lt;$F$70,$H$70,IF(grossyearly&lt;$F$71,$H$71,$H$72))))</f>
        <v>9400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MT17MMEB44587000000058206087001</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4887.8233333333283</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-880</v>
      </c>
      <c r="R78" s="410" t="s">
        <v>188</v>
      </c>
      <c r="S78" s="411">
        <f ca="1">INDEX(PYRL_Summary,MATCH(O71,months,0),33)</f>
        <v>223.99999999999997</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Mifsud_Ceci Deborah</v>
      </c>
      <c r="P79" s="374" t="str">
        <f>+IDCard</f>
        <v>396M</v>
      </c>
      <c r="Q79" s="375" t="str">
        <f>+designation</f>
        <v>2. Dental Surgeon</v>
      </c>
      <c r="R79" s="376" t="s">
        <v>156</v>
      </c>
      <c r="S79" s="377">
        <f ca="1">+S80+S83+S82+S84+S85+S86+S81</f>
        <v>6609.3733333333284</v>
      </c>
      <c r="T79" s="378" t="str">
        <f>+FS4_Status</f>
        <v>SIN</v>
      </c>
      <c r="U79" s="572" t="str">
        <f ca="1">INDEX(INDAT,MATCH(O81,(INDIRECT(("months"),TRUE)),0),26)</f>
        <v>FT</v>
      </c>
      <c r="V79" s="379" t="str">
        <f ca="1">INDEX(INDAT,MATCH(O81,(INDIRECT(("months"),TRUE)),0),25)</f>
        <v>D</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6609.3733333333284</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447.44</v>
      </c>
      <c r="U81" s="372">
        <f ca="1">INDEX(PYRL_Summary,MATCH(O81,months,0),22)</f>
        <v>223.72</v>
      </c>
      <c r="V81" s="373">
        <f ca="1">INDEX(PYRL_Summary,MATCH(O81,months,0),23)</f>
        <v>223.72</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6.72</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2025009</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1529</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MT17MMEB44587000000058206087001</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4856.6533333333282</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223.99999999999997</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Mifsud_Ceci Deborah</v>
      </c>
      <c r="P89" s="394" t="str">
        <f>+IDCard</f>
        <v>396M</v>
      </c>
      <c r="Q89" s="395" t="str">
        <f>+designation</f>
        <v>2. Dental Surgeon</v>
      </c>
      <c r="R89" s="396" t="s">
        <v>156</v>
      </c>
      <c r="S89" s="397">
        <f ca="1">+S90+S93+S92+S94+S95+S96+S91</f>
        <v>6609.3733333333284</v>
      </c>
      <c r="T89" s="431" t="str">
        <f>+FS4_Status</f>
        <v>SIN</v>
      </c>
      <c r="U89" s="573" t="str">
        <f ca="1">INDEX(INDAT,MATCH(O91,(INDIRECT(("months"),TRUE)),0),26)</f>
        <v>FT</v>
      </c>
      <c r="V89" s="432" t="str">
        <f ca="1">INDEX(INDAT,MATCH(O91,(INDIRECT(("months"),TRUE)),0),25)</f>
        <v>D</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6609.3733333333284</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559.29999999999995</v>
      </c>
      <c r="U91" s="358">
        <f ca="1">INDEX(PYRL_Summary,MATCH(O91,months,0),22)</f>
        <v>279.64999999999998</v>
      </c>
      <c r="V91" s="359">
        <f ca="1">INDEX(PYRL_Summary,MATCH(O91,months,0),23)</f>
        <v>279.64999999999998</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8.4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2025009</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1529</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MT17MMEB44587000000058206087001</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4800.7233333333279</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-1200</v>
      </c>
      <c r="R98" s="410" t="s">
        <v>188</v>
      </c>
      <c r="S98" s="411">
        <f ca="1">INDEX(PYRL_Summary,MATCH(O91,months,0),33)</f>
        <v>223.99999999999997</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Mifsud_Ceci Deborah</v>
      </c>
      <c r="P99" s="374" t="str">
        <f>+IDCard</f>
        <v>396M</v>
      </c>
      <c r="Q99" s="375" t="str">
        <f>+designation</f>
        <v>2. Dental Surgeon</v>
      </c>
      <c r="R99" s="376" t="s">
        <v>156</v>
      </c>
      <c r="S99" s="377">
        <f ca="1">+S100+S103+S102+S104+S105+S106+S101</f>
        <v>6730.5333333333283</v>
      </c>
      <c r="T99" s="378" t="str">
        <f>+FS4_Status</f>
        <v>SIN</v>
      </c>
      <c r="U99" s="572" t="str">
        <f ca="1">INDEX(INDAT,MATCH(O101,(INDIRECT(("months"),TRUE)),0),26)</f>
        <v>FT</v>
      </c>
      <c r="V99" s="379" t="str">
        <f ca="1">INDEX(INDAT,MATCH(O101,(INDIRECT(("months"),TRUE)),0),25)</f>
        <v>D</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6609.3733333333284</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447.44</v>
      </c>
      <c r="U101" s="372">
        <f ca="1">INDEX(PYRL_Summary,MATCH(O101,months,0),22)</f>
        <v>223.72</v>
      </c>
      <c r="V101" s="373">
        <f ca="1">INDEX(PYRL_Summary,MATCH(O101,months,0),23)</f>
        <v>223.72</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6.72</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2025009</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1572</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MT17MMEB44587000000058206087001</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4934.813333333328</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-1360</v>
      </c>
      <c r="R108" s="392" t="s">
        <v>188</v>
      </c>
      <c r="S108" s="393">
        <f ca="1">INDEX(PYRL_Summary,MATCH(O101,months,0),33)</f>
        <v>223.99999999999997</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Mifsud_Ceci Deborah</v>
      </c>
      <c r="P109" s="394" t="str">
        <f>+IDCard</f>
        <v>396M</v>
      </c>
      <c r="Q109" s="395" t="str">
        <f>+designation</f>
        <v>2. Dental Surgeon</v>
      </c>
      <c r="R109" s="396" t="s">
        <v>156</v>
      </c>
      <c r="S109" s="397">
        <f ca="1">+S110+S113+S112+S114+S115+S116+S111</f>
        <v>6609.3733333333284</v>
      </c>
      <c r="T109" s="431" t="str">
        <f>+FS4_Status</f>
        <v>SIN</v>
      </c>
      <c r="U109" s="573" t="str">
        <f ca="1">INDEX(INDAT,MATCH(W109,(INDIRECT(("months"),TRUE)),0),26)</f>
        <v>FT</v>
      </c>
      <c r="V109" s="432" t="str">
        <f ca="1">INDEX(INDAT,MATCH(W109,(INDIRECT(("months"),TRUE)),0),25)</f>
        <v>D</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6609.3733333333284</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447.44</v>
      </c>
      <c r="U111" s="358">
        <f ca="1">INDEX(PYRL_Summary,MATCH(W109,months,0),22)</f>
        <v>223.72</v>
      </c>
      <c r="V111" s="359">
        <f ca="1">INDEX(PYRL_Summary,MATCH(W109,months,0),23)</f>
        <v>223.72</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6.72</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2025009</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1529</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MT17MMEB44587000000058206087001</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4856.6533333333282</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-1520</v>
      </c>
      <c r="R118" s="410" t="s">
        <v>188</v>
      </c>
      <c r="S118" s="411">
        <f ca="1">INDEX(PYRL_Summary,MATCH(W109,months,0),33)</f>
        <v>223.99999999999997</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Mifsud_Ceci Deborah</v>
      </c>
      <c r="P119" s="374" t="str">
        <f>+IDCard</f>
        <v>396M</v>
      </c>
      <c r="Q119" s="375" t="str">
        <f>+designation</f>
        <v>2. Dental Surgeon</v>
      </c>
      <c r="R119" s="376" t="s">
        <v>156</v>
      </c>
      <c r="S119" s="377">
        <f ca="1">+S120+S123+S122+S124+S125+S126+S121</f>
        <v>6609.3733333333284</v>
      </c>
      <c r="T119" s="378" t="str">
        <f>+FS4_Status</f>
        <v>SIN</v>
      </c>
      <c r="U119" s="572" t="str">
        <f ca="1">INDEX(INDAT,MATCH(W119,(INDIRECT(("months"),TRUE)),0),26)</f>
        <v>FT</v>
      </c>
      <c r="V119" s="379" t="str">
        <f ca="1">INDEX(INDAT,MATCH(W119,(INDIRECT(("months"),TRUE)),0),25)</f>
        <v>D</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6609.3733333333284</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559.29999999999995</v>
      </c>
      <c r="U121" s="372">
        <f ca="1">INDEX(PYRL_Summary,MATCH(W119,months,0),22)</f>
        <v>279.64999999999998</v>
      </c>
      <c r="V121" s="373">
        <f ca="1">INDEX(PYRL_Summary,MATCH(W119,months,0),23)</f>
        <v>279.64999999999998</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8.4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2025009</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1529</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MT17MMEB44587000000058206087001</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4800.7233333333279</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-1720</v>
      </c>
      <c r="R128" s="392" t="s">
        <v>188</v>
      </c>
      <c r="S128" s="393">
        <f ca="1">INDEX(PYRL_Summary,MATCH(W119,months,0),33)</f>
        <v>223.99999999999997</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Mifsud_Ceci Deborah</v>
      </c>
      <c r="P129" s="394" t="str">
        <f>+IDCard</f>
        <v>396M</v>
      </c>
      <c r="Q129" s="395" t="str">
        <f>+designation</f>
        <v>2. Dental Surgeon</v>
      </c>
      <c r="R129" s="396" t="s">
        <v>156</v>
      </c>
      <c r="S129" s="397">
        <f ca="1">+S130+S133+S132+S134+S135+S136+S131</f>
        <v>6744.4733333333288</v>
      </c>
      <c r="T129" s="431" t="str">
        <f>+FS4_Status</f>
        <v>SIN</v>
      </c>
      <c r="U129" s="573" t="str">
        <f ca="1">INDEX(INDAT,MATCH(W129,(INDIRECT(("months"),TRUE)),0),26)</f>
        <v>FT</v>
      </c>
      <c r="V129" s="432" t="str">
        <f ca="1">INDEX(INDAT,MATCH(W129,(INDIRECT(("months"),TRUE)),0),25)</f>
        <v>D</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6609.3733333333284</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447.44</v>
      </c>
      <c r="U131" s="358">
        <f ca="1">INDEX(PYRL_Summary,MATCH(W129,months,0),22)</f>
        <v>223.72</v>
      </c>
      <c r="V131" s="359">
        <f ca="1">INDEX(PYRL_Summary,MATCH(W129,months,0),23)</f>
        <v>223.72</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6.72</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2025009</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1577</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MT17MMEB44587000000058206087001</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4943.7533333333286</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-1880</v>
      </c>
      <c r="R138" s="410" t="s">
        <v>188</v>
      </c>
      <c r="S138" s="411">
        <f ca="1">INDEX(PYRL_Summary,MATCH(W129,months,0),33)</f>
        <v>223.99999999999997</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493" priority="29">
      <formula>$P25=0</formula>
    </cfRule>
  </conditionalFormatting>
  <conditionalFormatting sqref="Q25:R25">
    <cfRule type="expression" dxfId="492" priority="28">
      <formula>$R25=0</formula>
    </cfRule>
  </conditionalFormatting>
  <conditionalFormatting sqref="S25">
    <cfRule type="expression" dxfId="491" priority="27">
      <formula>$S25=0</formula>
    </cfRule>
  </conditionalFormatting>
  <conditionalFormatting sqref="S26">
    <cfRule type="expression" dxfId="490" priority="25">
      <formula>$S$46&gt;0.01</formula>
    </cfRule>
    <cfRule type="expression" dxfId="489" priority="26">
      <formula>$S$46=0</formula>
    </cfRule>
  </conditionalFormatting>
  <conditionalFormatting sqref="T23 T33 T43 T53 T63 T73 T83 T93 T103 T113 T123 T133">
    <cfRule type="expression" dxfId="488" priority="24" stopIfTrue="1">
      <formula>"$R$23=0"""</formula>
    </cfRule>
  </conditionalFormatting>
  <conditionalFormatting sqref="O26:Q26">
    <cfRule type="expression" dxfId="487" priority="23">
      <formula>$Q$26=0</formula>
    </cfRule>
  </conditionalFormatting>
  <conditionalFormatting sqref="V23">
    <cfRule type="expression" dxfId="486" priority="22">
      <formula>$V$23=0</formula>
    </cfRule>
  </conditionalFormatting>
  <conditionalFormatting sqref="O35:P35">
    <cfRule type="expression" dxfId="485" priority="21">
      <formula>$P35=0</formula>
    </cfRule>
  </conditionalFormatting>
  <conditionalFormatting sqref="Q35:R35">
    <cfRule type="expression" dxfId="484" priority="20">
      <formula>$R35=0</formula>
    </cfRule>
  </conditionalFormatting>
  <conditionalFormatting sqref="S35">
    <cfRule type="expression" dxfId="483" priority="19">
      <formula>$S35=0</formula>
    </cfRule>
  </conditionalFormatting>
  <conditionalFormatting sqref="S36">
    <cfRule type="expression" dxfId="482" priority="17">
      <formula>$S$46&gt;0.01</formula>
    </cfRule>
    <cfRule type="expression" dxfId="481" priority="18">
      <formula>$S$46=0</formula>
    </cfRule>
  </conditionalFormatting>
  <conditionalFormatting sqref="O36:Q36">
    <cfRule type="expression" dxfId="480" priority="16">
      <formula>$Q$26=0</formula>
    </cfRule>
  </conditionalFormatting>
  <conditionalFormatting sqref="V33">
    <cfRule type="expression" dxfId="479" priority="15">
      <formula>$V$23=0</formula>
    </cfRule>
  </conditionalFormatting>
  <conditionalFormatting sqref="O45:P45 O65:P65 O85:P85 O105:P105 O125:P125">
    <cfRule type="expression" dxfId="478" priority="14">
      <formula>$P45=0</formula>
    </cfRule>
  </conditionalFormatting>
  <conditionalFormatting sqref="Q45:R45 Q65:R65 Q85:R85 Q105:R105 Q125:R125">
    <cfRule type="expression" dxfId="477" priority="13">
      <formula>$R45=0</formula>
    </cfRule>
  </conditionalFormatting>
  <conditionalFormatting sqref="S45 S65 S85 S105 S125">
    <cfRule type="expression" dxfId="476" priority="12">
      <formula>$S45=0</formula>
    </cfRule>
  </conditionalFormatting>
  <conditionalFormatting sqref="S46 S66 S86 S106 S126">
    <cfRule type="expression" dxfId="475" priority="10">
      <formula>$S$46&gt;0.01</formula>
    </cfRule>
    <cfRule type="expression" dxfId="474" priority="11">
      <formula>$S$46=0</formula>
    </cfRule>
  </conditionalFormatting>
  <conditionalFormatting sqref="O46:Q46 O66:Q66 O86:Q86 O106:Q106 O126:Q126">
    <cfRule type="expression" dxfId="473" priority="9">
      <formula>$Q$26=0</formula>
    </cfRule>
  </conditionalFormatting>
  <conditionalFormatting sqref="V43 V63 V83 V103 V123">
    <cfRule type="expression" dxfId="472" priority="8">
      <formula>$V$23=0</formula>
    </cfRule>
  </conditionalFormatting>
  <conditionalFormatting sqref="O55:P55 O75:P75 O95:P95 O115:P115 O135:P135">
    <cfRule type="expression" dxfId="471" priority="7">
      <formula>$P55=0</formula>
    </cfRule>
  </conditionalFormatting>
  <conditionalFormatting sqref="Q55:R55 Q75:R75 Q95:R95 Q115:R115 Q135:R135">
    <cfRule type="expression" dxfId="470" priority="6">
      <formula>$R55=0</formula>
    </cfRule>
  </conditionalFormatting>
  <conditionalFormatting sqref="S55 S75 S95 S115 S135">
    <cfRule type="expression" dxfId="469" priority="5">
      <formula>$S55=0</formula>
    </cfRule>
  </conditionalFormatting>
  <conditionalFormatting sqref="S56 S76 S96 S116 S136">
    <cfRule type="expression" dxfId="468" priority="3">
      <formula>$S$46&gt;0.01</formula>
    </cfRule>
    <cfRule type="expression" dxfId="467" priority="4">
      <formula>$S$46=0</formula>
    </cfRule>
  </conditionalFormatting>
  <conditionalFormatting sqref="O56:Q56 O76:Q76 O96:Q96 O116:Q116 O136:Q136">
    <cfRule type="expression" dxfId="466" priority="2">
      <formula>$Q$26=0</formula>
    </cfRule>
  </conditionalFormatting>
  <conditionalFormatting sqref="V53 V73 V93 V113 V133">
    <cfRule type="expression" dxfId="465" priority="1">
      <formula>$V$23=0</formula>
    </cfRule>
  </conditionalFormatting>
  <hyperlinks>
    <hyperlink ref="F57" r:id="rId1" display="drchrisgauci@gmail.com" xr:uid="{00000000-0004-0000-07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2561"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2562"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2563"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2564"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2565"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2566"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2567"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2568"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2569"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2570"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2571"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2572"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2573"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7">
    <tabColor rgb="FF04CCB9"/>
  </sheetPr>
  <dimension ref="A1"/>
  <sheetViews>
    <sheetView workbookViewId="0"/>
  </sheetViews>
  <sheetFormatPr defaultRowHeight="15" x14ac:dyDescent="0.25"/>
  <sheetData>
    <row r="1" spans="1:1" x14ac:dyDescent="0.25">
      <c r="A1" s="44" t="s">
        <v>238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8">
    <tabColor rgb="FF548235"/>
  </sheetPr>
  <dimension ref="A1:BJ149"/>
  <sheetViews>
    <sheetView topLeftCell="H19" workbookViewId="0">
      <selection activeCell="X38" sqref="X38"/>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MCamilleri</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2020005</v>
      </c>
      <c r="O2" s="810" t="str">
        <f>CONCATENATE(LEFT(Name,1),Surname)</f>
        <v>MCamilleri</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10.45</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224</v>
      </c>
      <c r="AT3" s="792"/>
      <c r="AU3" s="793"/>
      <c r="AV3" s="794">
        <v>130</v>
      </c>
      <c r="AW3" s="795">
        <v>200</v>
      </c>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12.484846153846155</v>
      </c>
      <c r="O4" s="213">
        <f>+DATA!A3</f>
        <v>46023</v>
      </c>
      <c r="P4" s="219">
        <f ca="1">+INDIRECT("[EMPINFO.xlsm]"&amp;$O$2&amp;"!G4")</f>
        <v>4</v>
      </c>
      <c r="Q4" s="215">
        <f ca="1">IF(AZ4="active",INDIRECT("[EMPINFO.xlsm]"&amp;$O$2&amp;"!H4"),0)</f>
        <v>40</v>
      </c>
      <c r="R4" s="239">
        <f ca="1">IF(AZ4&lt;&gt;"active",0,N3+COLA)</f>
        <v>10.581</v>
      </c>
      <c r="S4" s="216">
        <f t="shared" ref="S4:S15" ca="1" si="1">+Q4*R4*4.33333333333333*AO4/AX4</f>
        <v>1834.0399999999988</v>
      </c>
      <c r="T4" s="220">
        <f t="shared" ref="T4:T15" ca="1" si="2">+BA4*R4</f>
        <v>0</v>
      </c>
      <c r="U4" s="218">
        <f t="shared" ref="U4:U15" ca="1" si="3">-AY4*R4</f>
        <v>0</v>
      </c>
      <c r="V4" s="220">
        <f ca="1">+janoth*janhrrt</f>
        <v>0</v>
      </c>
      <c r="W4" s="201"/>
      <c r="X4" s="218">
        <f t="shared" ref="X4:X15" si="4">IF((AT3=0),AV3,(AV3-(AV3/(Q3*P3)*AT3)))</f>
        <v>130</v>
      </c>
      <c r="Y4" s="803">
        <f t="shared" ref="Y4:Y15" si="5">IF((AT3=0),AW3,(AW3-(AW3/(Q3*P3)*AT3*1.5)))</f>
        <v>200</v>
      </c>
      <c r="Z4" s="218">
        <f t="shared" ref="Z4:Z15" ca="1" si="6">+SUM(S4:Y4)</f>
        <v>2164.0399999999991</v>
      </c>
      <c r="AA4" s="803">
        <f t="shared" ref="AA4:AA15" ca="1" si="7">IF(OR(AN4="PT",AN4="PT_Casual"),TRUNC((Z4*PT_Rate),0),(TRUNC((Z4*BB4)-(BC4/12),0)))</f>
        <v>257</v>
      </c>
      <c r="AB4" s="218">
        <f ca="1">+INDIRECT("[EMPINFO.xlsm]"&amp;$O$2&amp;"!s4")</f>
        <v>0</v>
      </c>
      <c r="AC4" s="292">
        <v>1.5</v>
      </c>
      <c r="AD4" s="218">
        <f t="shared" ref="AD4:AD15" ca="1" si="8">+AB4*(R4*AC4)</f>
        <v>0</v>
      </c>
      <c r="AE4" s="220">
        <f t="shared" ref="AE4:AE15" ca="1" si="9">+TRUNC((AD4*0.15),0)</f>
        <v>0</v>
      </c>
      <c r="AF4" s="218">
        <f t="shared" ref="AF4:AF15" ca="1" si="10">+AA4+AE4</f>
        <v>257</v>
      </c>
      <c r="AG4" s="803">
        <f t="shared" ref="AG4:AG15" ca="1" si="11">+R4*Q4</f>
        <v>423.24</v>
      </c>
      <c r="AH4" s="218">
        <f t="shared" ref="AH4:AH15" ca="1" si="12">ROUND(IF(AN4="",0,IF(OR(AN4="PT",AN4="PT_Casual"),0,IF(AM4="B",ROUND(SSCBemployermultiplier*P4,2),IF(AM4="c",SOCSECCRATE*AG4*P4,IF(AM4="D",ROUND(socsecrateD*P4,2)))))),2)</f>
        <v>169.3</v>
      </c>
      <c r="AI4" s="803">
        <f t="shared" ref="AI4:AI15" ca="1" si="13">ROUND(IF(AN4="",0,IF(OR(AN4="PT",AN4="PT_Casual"),0,IF(AM4="B",ROUND(SSCBemployermultiplier*P4,2),IF(AM4="c",SOCSECCRATE*AG4*P4,IF(AM4="D",ROUND(socsecrateD*P4,2)))))),2)</f>
        <v>169.3</v>
      </c>
      <c r="AJ4" s="218">
        <f t="shared" ref="AJ4:AJ16" ca="1" si="14">+AH4+AI4</f>
        <v>338.6</v>
      </c>
      <c r="AK4" s="803">
        <f t="shared" ref="AK4:AK15" ca="1" si="15">ROUND(IF(AN4="",0,IF(OR(AN4="PT",AN4="PT_Casual"),0,IF(AM4="B",SSCBmlfmultiplier*P4,IF(AM4="c",SSCCmlfmultiplier*P4*AG4,IF(AM4="D",SSCDmlfmultiplier*P4))))),2)</f>
        <v>5.08</v>
      </c>
      <c r="AL4" s="218">
        <f ca="1">+Z4+AH4+AK4</f>
        <v>2338.4199999999992</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-200</v>
      </c>
      <c r="AQ4" s="840">
        <f ca="1">+INDIRECT("[EMPINFO.xlsm]"&amp;$O$2&amp;"!p4")</f>
        <v>-200</v>
      </c>
      <c r="AR4" s="226">
        <f ca="1">+INDIRECT("[EMPINFO.xlsm]"&amp;$O$2&amp;"!j4")</f>
        <v>0</v>
      </c>
      <c r="AS4" s="840">
        <f ca="1">+INDIRECT("[EMPINFO.xlsm]"&amp;$O$2&amp;"!k4")</f>
        <v>270.36559139784947</v>
      </c>
      <c r="AT4" s="226">
        <f ca="1">+INDIRECT("[EMPINFO.xlsm]"&amp;$O$2&amp;"!m4")</f>
        <v>0</v>
      </c>
      <c r="AU4" s="844">
        <f ca="1">+INDIRECT("[EMPINFO.xlsm]"&amp;$O$2&amp;"!n4")</f>
        <v>49.677419354838712</v>
      </c>
      <c r="AV4" s="244">
        <v>130</v>
      </c>
      <c r="AW4" s="244">
        <v>200</v>
      </c>
      <c r="AX4" s="840">
        <f ca="1">+INDIRECT("[EMPINFO.xlsm]"&amp;$O$2&amp;"!u4")</f>
        <v>31</v>
      </c>
      <c r="AY4" s="215">
        <f ca="1">+INDIRECT("[EMPINFO.xlsm]"&amp;$O$2&amp;"!v4")</f>
        <v>0</v>
      </c>
      <c r="AZ4" s="797" t="str">
        <f ca="1">+INDIRECT("[EMPINFO.xlsm]"&amp;$O$2&amp;"!x4")</f>
        <v>ACTIVE</v>
      </c>
      <c r="BA4" s="844">
        <f ca="1">+INDIRECT("[EMPINFO.xlsm]"&amp;$O$2&amp;"!w4")</f>
        <v>0</v>
      </c>
      <c r="BB4" s="288">
        <f t="shared" ref="BB4:BB15" ca="1" si="18">IF(AND(Timer="pt",(Z4*12)&lt;10000),+ptrate,IF((Z4*12)&lt;$F$68,$G$68,IF((Z4*12)&lt;$F$69,$G$69,IF((Z4*12)&lt;$F$70,$G$70,IF((Z4*12)&lt;$F$71,$G$71,$G$72)))))</f>
        <v>0.25</v>
      </c>
      <c r="BC4" s="289">
        <f t="shared" ref="BC4:BC15" ca="1" si="19">IF((Z4*12)&lt;$F$68,$H$68,IF((Z4*12)&lt;$F$69,$H$69,IF((Z4*12)&lt;$F$70,$H$70,IF((Z4*12)&lt;$F$71,$H$71,$H$72))))</f>
        <v>3400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12.484846153846155</v>
      </c>
      <c r="O5" s="213">
        <f>+DATA!A4</f>
        <v>46054</v>
      </c>
      <c r="P5" s="219">
        <f ca="1">+INDIRECT("[EMPINFO.xlsm]"&amp;$O$2&amp;"!G5")</f>
        <v>4</v>
      </c>
      <c r="Q5" s="215">
        <f ca="1">IF(AZ5="active",INDIRECT("[EMPINFO.xlsm]"&amp;$O$2&amp;"!H5"),0)</f>
        <v>40</v>
      </c>
      <c r="R5" s="239">
        <f t="shared" ref="R5:R15" ca="1" si="20">+R4</f>
        <v>10.581</v>
      </c>
      <c r="S5" s="216">
        <f t="shared" ca="1" si="1"/>
        <v>1834.0399999999988</v>
      </c>
      <c r="T5" s="220">
        <f t="shared" ca="1" si="2"/>
        <v>0</v>
      </c>
      <c r="U5" s="218">
        <f t="shared" ca="1" si="3"/>
        <v>0</v>
      </c>
      <c r="V5" s="220">
        <f ca="1">+feboth*febhrrt</f>
        <v>0</v>
      </c>
      <c r="W5" s="201"/>
      <c r="X5" s="218">
        <f t="shared" ca="1" si="4"/>
        <v>130</v>
      </c>
      <c r="Y5" s="803">
        <f t="shared" ca="1" si="5"/>
        <v>200</v>
      </c>
      <c r="Z5" s="218">
        <f t="shared" ca="1" si="6"/>
        <v>2164.0399999999991</v>
      </c>
      <c r="AA5" s="803">
        <f t="shared" ca="1" si="7"/>
        <v>257</v>
      </c>
      <c r="AB5" s="218">
        <f ca="1">+INDIRECT("[EMPINFO.xlsm]"&amp;$O$2&amp;"!s5")</f>
        <v>0</v>
      </c>
      <c r="AC5" s="292">
        <v>1.5</v>
      </c>
      <c r="AD5" s="218">
        <f t="shared" ca="1" si="8"/>
        <v>0</v>
      </c>
      <c r="AE5" s="220">
        <f t="shared" ca="1" si="9"/>
        <v>0</v>
      </c>
      <c r="AF5" s="218">
        <f t="shared" ca="1" si="10"/>
        <v>257</v>
      </c>
      <c r="AG5" s="803">
        <f t="shared" ca="1" si="11"/>
        <v>423.24</v>
      </c>
      <c r="AH5" s="218">
        <f t="shared" ca="1" si="12"/>
        <v>169.3</v>
      </c>
      <c r="AI5" s="803">
        <f t="shared" ca="1" si="13"/>
        <v>169.3</v>
      </c>
      <c r="AJ5" s="218">
        <f t="shared" ca="1" si="14"/>
        <v>338.6</v>
      </c>
      <c r="AK5" s="803">
        <f t="shared" ca="1" si="15"/>
        <v>5.08</v>
      </c>
      <c r="AL5" s="218">
        <f t="shared" ref="AL5:AL15" ca="1" si="21">+Z5+AI5+AK5</f>
        <v>2338.4199999999992</v>
      </c>
      <c r="AM5" s="290" t="str">
        <f t="shared" ca="1" si="16"/>
        <v>C</v>
      </c>
      <c r="AN5" s="291" t="str">
        <f t="shared" ca="1" si="17"/>
        <v>FT</v>
      </c>
      <c r="AO5" s="223">
        <f ca="1">+INDIRECT("[EMPINFO.xlsm]"&amp;$O$2&amp;"!t5")</f>
        <v>28</v>
      </c>
      <c r="AP5" s="226">
        <f ca="1">+INDIRECT("[EMPINFO.xlsm]"&amp;$O$2&amp;"!o5")</f>
        <v>-160</v>
      </c>
      <c r="AQ5" s="840">
        <f ca="1">+INDIRECT("[EMPINFO.xlsm]"&amp;$O$2&amp;"!p5")</f>
        <v>-360</v>
      </c>
      <c r="AR5" s="226">
        <f ca="1">+INDIRECT("[EMPINFO.xlsm]"&amp;$O$2&amp;"!j5")</f>
        <v>0</v>
      </c>
      <c r="AS5" s="840">
        <f ca="1">+INDIRECT("[EMPINFO.xlsm]"&amp;$O$2&amp;"!k5")</f>
        <v>270.36559139784947</v>
      </c>
      <c r="AT5" s="226">
        <f ca="1">+INDIRECT("[EMPINFO.xlsm]"&amp;$O$2&amp;"!m5")</f>
        <v>0</v>
      </c>
      <c r="AU5" s="844">
        <f ca="1">+INDIRECT("[EMPINFO.xlsm]"&amp;$O$2&amp;"!n5")</f>
        <v>49.677419354838712</v>
      </c>
      <c r="AV5" s="244">
        <f t="shared" ref="AV5:AV15" si="22">+AV4</f>
        <v>130</v>
      </c>
      <c r="AW5" s="244">
        <f t="shared" ref="AW5:AW15" si="23">+AW4</f>
        <v>200</v>
      </c>
      <c r="AX5" s="840">
        <f ca="1">+INDIRECT("[EMPINFO.xlsm]"&amp;$O$2&amp;"!u5")</f>
        <v>28</v>
      </c>
      <c r="AY5" s="215">
        <f ca="1">+INDIRECT("[EMPINFO.xlsm]"&amp;$O$2&amp;"!v5")</f>
        <v>0</v>
      </c>
      <c r="AZ5" s="797" t="str">
        <f ca="1">+INDIRECT("[EMPINFO.xlsm]"&amp;$O$2&amp;"!x5")</f>
        <v>ACTIVE</v>
      </c>
      <c r="BA5" s="844">
        <f ca="1">+INDIRECT("[EMPINFO.xlsm]"&amp;$O$2&amp;"!w5")</f>
        <v>0</v>
      </c>
      <c r="BB5" s="288">
        <f t="shared" ca="1" si="18"/>
        <v>0.25</v>
      </c>
      <c r="BC5" s="289">
        <f t="shared" ca="1" si="19"/>
        <v>3400</v>
      </c>
      <c r="BD5" s="255"/>
      <c r="BE5" s="205"/>
      <c r="BG5" s="27"/>
      <c r="BH5" s="28"/>
    </row>
    <row r="6" spans="1:62" ht="15.75" customHeight="1" thickBot="1" x14ac:dyDescent="0.3">
      <c r="A6" s="54"/>
      <c r="B6" s="2" t="s">
        <v>135</v>
      </c>
      <c r="C6" s="921" t="str">
        <f>INDEX([1]!empdata,MATCH(ID,[1]!empid,0),3)</f>
        <v>Camilleri</v>
      </c>
      <c r="D6" s="922"/>
      <c r="E6" s="922"/>
      <c r="F6" s="886"/>
      <c r="I6" s="312" t="s">
        <v>136</v>
      </c>
      <c r="L6" s="101"/>
      <c r="M6" s="303"/>
      <c r="N6" s="211">
        <f t="shared" ca="1" si="0"/>
        <v>12.484846153846155</v>
      </c>
      <c r="O6" s="213">
        <f>+DATA!A5</f>
        <v>46082</v>
      </c>
      <c r="P6" s="219">
        <f ca="1">+INDIRECT("[EMPINFO.xlsm]"&amp;$O$2&amp;"!G6")</f>
        <v>2</v>
      </c>
      <c r="Q6" s="215">
        <f ca="1">IF(AZ6="active",INDIRECT("[EMPINFO.xlsm]"&amp;$O$2&amp;"!H6"),0)</f>
        <v>40</v>
      </c>
      <c r="R6" s="239">
        <f t="shared" ca="1" si="20"/>
        <v>10.581</v>
      </c>
      <c r="S6" s="216">
        <f t="shared" ca="1" si="1"/>
        <v>887.43870967741884</v>
      </c>
      <c r="T6" s="220">
        <f t="shared" ca="1" si="2"/>
        <v>0</v>
      </c>
      <c r="U6" s="218">
        <f t="shared" ca="1" si="3"/>
        <v>0</v>
      </c>
      <c r="V6" s="220">
        <f ca="1">+maroth*marhrrt</f>
        <v>0</v>
      </c>
      <c r="W6" s="202">
        <f ca="1">+IF(AZ6&lt;&gt;"active",0,(IF(Timer="PT_casual",(bonusmar/1040*(BA6+BA5+BA4)),(bonusmar/182*(AO6+AO5+AO4+AO3)*(Q6+Q5+Q4)/120))))</f>
        <v>110.50857142857143</v>
      </c>
      <c r="X6" s="218">
        <f t="shared" ca="1" si="4"/>
        <v>130</v>
      </c>
      <c r="Y6" s="803">
        <f t="shared" ca="1" si="5"/>
        <v>200</v>
      </c>
      <c r="Z6" s="218">
        <f t="shared" ca="1" si="6"/>
        <v>1327.9472811059902</v>
      </c>
      <c r="AA6" s="803">
        <f t="shared" ca="1" si="7"/>
        <v>49</v>
      </c>
      <c r="AB6" s="218">
        <f ca="1">+INDIRECT("[EMPINFO.xlsm]"&amp;$O$2&amp;"!s6")</f>
        <v>0</v>
      </c>
      <c r="AC6" s="292">
        <v>1.5</v>
      </c>
      <c r="AD6" s="218">
        <f t="shared" ca="1" si="8"/>
        <v>0</v>
      </c>
      <c r="AE6" s="220">
        <f t="shared" ca="1" si="9"/>
        <v>0</v>
      </c>
      <c r="AF6" s="218">
        <f t="shared" ca="1" si="10"/>
        <v>49</v>
      </c>
      <c r="AG6" s="803">
        <f t="shared" ca="1" si="11"/>
        <v>423.24</v>
      </c>
      <c r="AH6" s="218">
        <f t="shared" ca="1" si="12"/>
        <v>84.65</v>
      </c>
      <c r="AI6" s="803">
        <f t="shared" ca="1" si="13"/>
        <v>84.65</v>
      </c>
      <c r="AJ6" s="218">
        <f t="shared" ca="1" si="14"/>
        <v>169.3</v>
      </c>
      <c r="AK6" s="803">
        <f t="shared" ca="1" si="15"/>
        <v>2.54</v>
      </c>
      <c r="AL6" s="218">
        <f t="shared" ca="1" si="21"/>
        <v>1415.1372811059903</v>
      </c>
      <c r="AM6" s="290" t="str">
        <f t="shared" ca="1" si="16"/>
        <v>C</v>
      </c>
      <c r="AN6" s="291" t="str">
        <f t="shared" ca="1" si="17"/>
        <v>FT</v>
      </c>
      <c r="AO6" s="223">
        <f ca="1">+INDIRECT("[EMPINFO.xlsm]"&amp;$O$2&amp;"!t6")</f>
        <v>15</v>
      </c>
      <c r="AP6" s="226">
        <f ca="1">+INDIRECT("[EMPINFO.xlsm]"&amp;$O$2&amp;"!o6")</f>
        <v>-80</v>
      </c>
      <c r="AQ6" s="840">
        <f ca="1">+INDIRECT("[EMPINFO.xlsm]"&amp;$O$2&amp;"!p6")</f>
        <v>-440</v>
      </c>
      <c r="AR6" s="226">
        <f ca="1">+INDIRECT("[EMPINFO.xlsm]"&amp;$O$2&amp;"!j6")</f>
        <v>0</v>
      </c>
      <c r="AS6" s="840">
        <f ca="1">+INDIRECT("[EMPINFO.xlsm]"&amp;$O$2&amp;"!k6")</f>
        <v>270.36559139784947</v>
      </c>
      <c r="AT6" s="226">
        <f ca="1">+INDIRECT("[EMPINFO.xlsm]"&amp;$O$2&amp;"!m6")</f>
        <v>0</v>
      </c>
      <c r="AU6" s="844">
        <f ca="1">+INDIRECT("[EMPINFO.xlsm]"&amp;$O$2&amp;"!n6")</f>
        <v>49.677419354838712</v>
      </c>
      <c r="AV6" s="244">
        <f t="shared" si="22"/>
        <v>130</v>
      </c>
      <c r="AW6" s="244">
        <f t="shared" si="23"/>
        <v>200</v>
      </c>
      <c r="AX6" s="840">
        <f ca="1">+INDIRECT("[EMPINFO.xlsm]"&amp;$O$2&amp;"!u6")</f>
        <v>31</v>
      </c>
      <c r="AY6" s="215">
        <f ca="1">+INDIRECT("[EMPINFO.xlsm]"&amp;$O$2&amp;"!v6")</f>
        <v>0</v>
      </c>
      <c r="AZ6" s="797" t="str">
        <f ca="1">+INDIRECT("[EMPINFO.xlsm]"&amp;$O$2&amp;"!x6")</f>
        <v>ACTIVE</v>
      </c>
      <c r="BA6" s="844">
        <f ca="1">+INDIRECT("[EMPINFO.xlsm]"&amp;$O$2&amp;"!w6")</f>
        <v>0</v>
      </c>
      <c r="BB6" s="288">
        <f t="shared" ca="1" si="18"/>
        <v>0.15</v>
      </c>
      <c r="BC6" s="289">
        <f t="shared" ca="1" si="19"/>
        <v>1800</v>
      </c>
      <c r="BD6" s="255"/>
      <c r="BE6" s="206"/>
    </row>
    <row r="7" spans="1:62" ht="15.75" customHeight="1" thickBot="1" x14ac:dyDescent="0.3">
      <c r="A7" s="54"/>
      <c r="B7" s="3" t="s">
        <v>137</v>
      </c>
      <c r="C7" s="921" t="str">
        <f>INDEX([1]!empdata,MATCH(ID,[1]!empid,0),4)</f>
        <v>Michaela</v>
      </c>
      <c r="D7" s="922"/>
      <c r="E7" s="922"/>
      <c r="F7" s="886"/>
      <c r="H7" s="312" t="s">
        <v>138</v>
      </c>
      <c r="I7" s="927" t="str">
        <f>INDEX([1]!empdata,MATCH(ID,[1]!empid,0),6)</f>
        <v>333097M</v>
      </c>
      <c r="J7" s="859"/>
      <c r="K7" s="857"/>
      <c r="L7" s="101"/>
      <c r="M7" s="303"/>
      <c r="N7" s="211">
        <f t="shared" ca="1" si="0"/>
        <v>13.903846153846155</v>
      </c>
      <c r="O7" s="213">
        <f>+DATA!A6</f>
        <v>46113</v>
      </c>
      <c r="P7" s="219">
        <f ca="1">+INDIRECT("[EMPINFO.xlsm]"&amp;$O$2&amp;"!G7")</f>
        <v>0</v>
      </c>
      <c r="Q7" s="215">
        <f ca="1">IF(AZ7="active",INDIRECT("[EMPINFO.xlsm]"&amp;$O$2&amp;"!H7"),0)</f>
        <v>0</v>
      </c>
      <c r="R7" s="239">
        <v>12</v>
      </c>
      <c r="S7" s="216">
        <f t="shared" ca="1" si="1"/>
        <v>0</v>
      </c>
      <c r="T7" s="220">
        <f t="shared" ca="1" si="2"/>
        <v>0</v>
      </c>
      <c r="U7" s="218">
        <f t="shared" ca="1" si="3"/>
        <v>0</v>
      </c>
      <c r="V7" s="220">
        <f>+aproth*aprhrrt</f>
        <v>0</v>
      </c>
      <c r="W7" s="201"/>
      <c r="X7" s="218">
        <f t="shared" ca="1" si="4"/>
        <v>130</v>
      </c>
      <c r="Y7" s="803">
        <f t="shared" ca="1" si="5"/>
        <v>200</v>
      </c>
      <c r="Z7" s="218">
        <f t="shared" ca="1" si="6"/>
        <v>330</v>
      </c>
      <c r="AA7" s="803">
        <f t="shared" ca="1" si="7"/>
        <v>0</v>
      </c>
      <c r="AB7" s="218">
        <f ca="1">+INDIRECT("[EMPINFO.xlsm]"&amp;$O$2&amp;"!s7")</f>
        <v>0</v>
      </c>
      <c r="AC7" s="292">
        <v>1.5</v>
      </c>
      <c r="AD7" s="218">
        <f t="shared" ca="1" si="8"/>
        <v>0</v>
      </c>
      <c r="AE7" s="220">
        <f t="shared" ca="1" si="9"/>
        <v>0</v>
      </c>
      <c r="AF7" s="218">
        <f t="shared" ca="1" si="10"/>
        <v>0</v>
      </c>
      <c r="AG7" s="803">
        <f t="shared" ca="1" si="11"/>
        <v>0</v>
      </c>
      <c r="AH7" s="218">
        <f t="shared" ca="1" si="12"/>
        <v>0</v>
      </c>
      <c r="AI7" s="803">
        <f t="shared" ca="1" si="13"/>
        <v>0</v>
      </c>
      <c r="AJ7" s="218">
        <f t="shared" ca="1" si="14"/>
        <v>0</v>
      </c>
      <c r="AK7" s="803">
        <f t="shared" ca="1" si="15"/>
        <v>0</v>
      </c>
      <c r="AL7" s="218">
        <f t="shared" ca="1" si="21"/>
        <v>330</v>
      </c>
      <c r="AM7" s="290">
        <f t="shared" ca="1" si="16"/>
        <v>0</v>
      </c>
      <c r="AN7" s="291" t="str">
        <f t="shared" ca="1" si="17"/>
        <v/>
      </c>
      <c r="AO7" s="223">
        <f ca="1">+INDIRECT("[EMPINFO.xlsm]"&amp;$O$2&amp;"!t7")</f>
        <v>0</v>
      </c>
      <c r="AP7" s="226">
        <f ca="1">+INDIRECT("[EMPINFO.xlsm]"&amp;$O$2&amp;"!o7")</f>
        <v>0</v>
      </c>
      <c r="AQ7" s="840">
        <f ca="1">+INDIRECT("[EMPINFO.xlsm]"&amp;$O$2&amp;"!p7")</f>
        <v>-440</v>
      </c>
      <c r="AR7" s="226">
        <f ca="1">+INDIRECT("[EMPINFO.xlsm]"&amp;$O$2&amp;"!j7")</f>
        <v>0</v>
      </c>
      <c r="AS7" s="840">
        <f ca="1">+INDIRECT("[EMPINFO.xlsm]"&amp;$O$2&amp;"!k7")</f>
        <v>270.36559139784947</v>
      </c>
      <c r="AT7" s="226">
        <f ca="1">+INDIRECT("[EMPINFO.xlsm]"&amp;$O$2&amp;"!m7")</f>
        <v>0</v>
      </c>
      <c r="AU7" s="844">
        <f ca="1">+INDIRECT("[EMPINFO.xlsm]"&amp;$O$2&amp;"!n7")</f>
        <v>49.677419354838712</v>
      </c>
      <c r="AV7" s="244">
        <f t="shared" si="22"/>
        <v>130</v>
      </c>
      <c r="AW7" s="244">
        <f t="shared" si="23"/>
        <v>200</v>
      </c>
      <c r="AX7" s="840">
        <f ca="1">+INDIRECT("[EMPINFO.xlsm]"&amp;$O$2&amp;"!u7")</f>
        <v>30</v>
      </c>
      <c r="AY7" s="215">
        <f ca="1">+INDIRECT("[EMPINFO.xlsm]"&amp;$O$2&amp;"!v7")</f>
        <v>0</v>
      </c>
      <c r="AZ7" s="797" t="str">
        <f ca="1">+INDIRECT("[EMPINFO.xlsm]"&amp;$O$2&amp;"!x7")</f>
        <v>INACTIVE</v>
      </c>
      <c r="BA7" s="844">
        <f ca="1">+INDIRECT("[EMPINFO.xlsm]"&amp;$O$2&amp;"!w7")</f>
        <v>0</v>
      </c>
      <c r="BB7" s="288">
        <f t="shared" ca="1" si="18"/>
        <v>0</v>
      </c>
      <c r="BC7" s="289">
        <f t="shared" ca="1" si="19"/>
        <v>0</v>
      </c>
      <c r="BD7" s="255"/>
      <c r="BE7" s="206"/>
    </row>
    <row r="8" spans="1:62" ht="15.75" customHeight="1" thickBot="1" x14ac:dyDescent="0.3">
      <c r="A8" s="54"/>
      <c r="B8" s="3" t="s">
        <v>139</v>
      </c>
      <c r="C8" s="921" t="str">
        <f>INDEX([1]!empdata,MATCH(ID,[1]!empid,0),18)</f>
        <v xml:space="preserve">6, </v>
      </c>
      <c r="D8" s="922"/>
      <c r="E8" s="922"/>
      <c r="F8" s="886"/>
      <c r="I8" s="312" t="s">
        <v>140</v>
      </c>
      <c r="L8" s="101"/>
      <c r="M8" s="303"/>
      <c r="N8" s="211">
        <f t="shared" ca="1" si="0"/>
        <v>13.903846153846155</v>
      </c>
      <c r="O8" s="213">
        <f>+DATA!A7</f>
        <v>46143</v>
      </c>
      <c r="P8" s="219">
        <f ca="1">+INDIRECT("[EMPINFO.xlsm]"&amp;$O$2&amp;"!G8")</f>
        <v>0</v>
      </c>
      <c r="Q8" s="215">
        <f ca="1">IF(AZ8="active",INDIRECT("[EMPINFO.xlsm]"&amp;$O$2&amp;"!H8"),0)</f>
        <v>0</v>
      </c>
      <c r="R8" s="239">
        <f t="shared" si="20"/>
        <v>12</v>
      </c>
      <c r="S8" s="216">
        <f t="shared" ca="1" si="1"/>
        <v>0</v>
      </c>
      <c r="T8" s="220">
        <f t="shared" ca="1" si="2"/>
        <v>0</v>
      </c>
      <c r="U8" s="218">
        <f t="shared" ca="1" si="3"/>
        <v>0</v>
      </c>
      <c r="V8" s="220">
        <f>+mayoth*mayhrrt</f>
        <v>0</v>
      </c>
      <c r="W8" s="201"/>
      <c r="X8" s="218">
        <f t="shared" ca="1" si="4"/>
        <v>130</v>
      </c>
      <c r="Y8" s="803">
        <f t="shared" ca="1" si="5"/>
        <v>200</v>
      </c>
      <c r="Z8" s="218">
        <f t="shared" ca="1" si="6"/>
        <v>330</v>
      </c>
      <c r="AA8" s="803">
        <f t="shared" ca="1" si="7"/>
        <v>0</v>
      </c>
      <c r="AB8" s="218">
        <f ca="1">+INDIRECT("[EMPINFO.xlsm]"&amp;$O$2&amp;"!s8")</f>
        <v>0</v>
      </c>
      <c r="AC8" s="292">
        <v>1.5</v>
      </c>
      <c r="AD8" s="218">
        <f t="shared" ca="1" si="8"/>
        <v>0</v>
      </c>
      <c r="AE8" s="220">
        <f t="shared" ca="1" si="9"/>
        <v>0</v>
      </c>
      <c r="AF8" s="218">
        <f t="shared" ca="1" si="10"/>
        <v>0</v>
      </c>
      <c r="AG8" s="803">
        <f t="shared" ca="1" si="11"/>
        <v>0</v>
      </c>
      <c r="AH8" s="218">
        <f t="shared" ca="1" si="12"/>
        <v>0</v>
      </c>
      <c r="AI8" s="803">
        <f t="shared" ca="1" si="13"/>
        <v>0</v>
      </c>
      <c r="AJ8" s="218">
        <f t="shared" ca="1" si="14"/>
        <v>0</v>
      </c>
      <c r="AK8" s="803">
        <f t="shared" ca="1" si="15"/>
        <v>0</v>
      </c>
      <c r="AL8" s="218">
        <f t="shared" ca="1" si="21"/>
        <v>330</v>
      </c>
      <c r="AM8" s="290">
        <f t="shared" ca="1" si="16"/>
        <v>0</v>
      </c>
      <c r="AN8" s="291" t="str">
        <f t="shared" ca="1" si="17"/>
        <v/>
      </c>
      <c r="AO8" s="223">
        <f ca="1">+INDIRECT("[EMPINFO.xlsm]"&amp;$O$2&amp;"!t8")</f>
        <v>0</v>
      </c>
      <c r="AP8" s="226">
        <f ca="1">+INDIRECT("[EMPINFO.xlsm]"&amp;$O$2&amp;"!o8")</f>
        <v>0</v>
      </c>
      <c r="AQ8" s="840">
        <f ca="1">+INDIRECT("[EMPINFO.xlsm]"&amp;$O$2&amp;"!p8")</f>
        <v>-440</v>
      </c>
      <c r="AR8" s="226">
        <f ca="1">+INDIRECT("[EMPINFO.xlsm]"&amp;$O$2&amp;"!j8")</f>
        <v>0</v>
      </c>
      <c r="AS8" s="840">
        <f ca="1">+INDIRECT("[EMPINFO.xlsm]"&amp;$O$2&amp;"!k8")</f>
        <v>270.36559139784947</v>
      </c>
      <c r="AT8" s="226">
        <f ca="1">+INDIRECT("[EMPINFO.xlsm]"&amp;$O$2&amp;"!m8")</f>
        <v>0</v>
      </c>
      <c r="AU8" s="844">
        <f ca="1">+INDIRECT("[EMPINFO.xlsm]"&amp;$O$2&amp;"!n8")</f>
        <v>49.677419354838712</v>
      </c>
      <c r="AV8" s="244">
        <f t="shared" si="22"/>
        <v>130</v>
      </c>
      <c r="AW8" s="244">
        <f t="shared" si="23"/>
        <v>200</v>
      </c>
      <c r="AX8" s="840">
        <f ca="1">+INDIRECT("[EMPINFO.xlsm]"&amp;$O$2&amp;"!u8")</f>
        <v>31</v>
      </c>
      <c r="AY8" s="215">
        <f ca="1">+INDIRECT("[EMPINFO.xlsm]"&amp;$O$2&amp;"!v8")</f>
        <v>0</v>
      </c>
      <c r="AZ8" s="797" t="str">
        <f ca="1">+INDIRECT("[EMPINFO.xlsm]"&amp;$O$2&amp;"!x8")</f>
        <v>INACTIVE</v>
      </c>
      <c r="BA8" s="844">
        <f ca="1">+INDIRECT("[EMPINFO.xlsm]"&amp;$O$2&amp;"!w8")</f>
        <v>0</v>
      </c>
      <c r="BB8" s="288">
        <f t="shared" ca="1" si="18"/>
        <v>0</v>
      </c>
      <c r="BC8" s="289">
        <f t="shared" ca="1" si="19"/>
        <v>0</v>
      </c>
      <c r="BD8" s="255"/>
      <c r="BE8" s="206"/>
    </row>
    <row r="9" spans="1:62" ht="15.75" customHeight="1" thickBot="1" x14ac:dyDescent="0.3">
      <c r="A9" s="54"/>
      <c r="B9" s="4" t="s">
        <v>141</v>
      </c>
      <c r="C9" s="921" t="str">
        <f>INDEX([1]!empdata,MATCH(ID,[1]!empid,0),19)</f>
        <v>Triq il-Hagar</v>
      </c>
      <c r="D9" s="922"/>
      <c r="E9" s="922"/>
      <c r="F9" s="886"/>
      <c r="H9" s="312" t="s">
        <v>20</v>
      </c>
      <c r="I9" s="927" t="str">
        <f>INDEX([1]!empdata,MATCH(ID,[1]!empid,0),14)</f>
        <v>A51087352</v>
      </c>
      <c r="J9" s="859"/>
      <c r="K9" s="857"/>
      <c r="L9" s="101"/>
      <c r="M9" s="303"/>
      <c r="N9" s="211">
        <f t="shared" ca="1" si="0"/>
        <v>13.903846153846155</v>
      </c>
      <c r="O9" s="213">
        <f>+DATA!A8</f>
        <v>46174</v>
      </c>
      <c r="P9" s="219">
        <f ca="1">+INDIRECT("[EMPINFO.xlsm]"&amp;$O$2&amp;"!G9")</f>
        <v>0</v>
      </c>
      <c r="Q9" s="215">
        <f ca="1">IF(AZ9="active",INDIRECT("[EMPINFO.xlsm]"&amp;$O$2&amp;"!H9"),0)</f>
        <v>0</v>
      </c>
      <c r="R9" s="239">
        <f t="shared" si="20"/>
        <v>12</v>
      </c>
      <c r="S9" s="216">
        <f t="shared" ca="1" si="1"/>
        <v>0</v>
      </c>
      <c r="T9" s="220">
        <f t="shared" ca="1" si="2"/>
        <v>0</v>
      </c>
      <c r="U9" s="218">
        <f t="shared" ca="1" si="3"/>
        <v>0</v>
      </c>
      <c r="V9" s="220">
        <f>+junoth*junhrrt</f>
        <v>0</v>
      </c>
      <c r="W9" s="202">
        <f ca="1">IF(AZ9&lt;&gt;"active",0,(IF(Timer="PT_casual",(BONUSJUN/1040*(BA9+BA8+BA7+BA6+BA5+BA4)),(BONUSJUN*(SUM(AO4:AO9)/SUM(AX4:AX9))*(SUM(Q4:Q9)/240)))))</f>
        <v>0</v>
      </c>
      <c r="X9" s="218">
        <f t="shared" ca="1" si="4"/>
        <v>130</v>
      </c>
      <c r="Y9" s="803">
        <f t="shared" ca="1" si="5"/>
        <v>200</v>
      </c>
      <c r="Z9" s="218">
        <f t="shared" ca="1" si="6"/>
        <v>330</v>
      </c>
      <c r="AA9" s="803">
        <f t="shared" ca="1" si="7"/>
        <v>0</v>
      </c>
      <c r="AB9" s="218">
        <f ca="1">+INDIRECT("[EMPINFO.xlsm]"&amp;$O$2&amp;"!s9")</f>
        <v>0</v>
      </c>
      <c r="AC9" s="292">
        <v>1.5</v>
      </c>
      <c r="AD9" s="218">
        <f t="shared" ca="1" si="8"/>
        <v>0</v>
      </c>
      <c r="AE9" s="220">
        <f t="shared" ca="1" si="9"/>
        <v>0</v>
      </c>
      <c r="AF9" s="218">
        <f t="shared" ca="1" si="10"/>
        <v>0</v>
      </c>
      <c r="AG9" s="803">
        <f t="shared" ca="1" si="11"/>
        <v>0</v>
      </c>
      <c r="AH9" s="218">
        <f t="shared" ca="1" si="12"/>
        <v>0</v>
      </c>
      <c r="AI9" s="803">
        <f t="shared" ca="1" si="13"/>
        <v>0</v>
      </c>
      <c r="AJ9" s="218">
        <f t="shared" ca="1" si="14"/>
        <v>0</v>
      </c>
      <c r="AK9" s="803">
        <f t="shared" ca="1" si="15"/>
        <v>0</v>
      </c>
      <c r="AL9" s="218">
        <f t="shared" ca="1" si="21"/>
        <v>330</v>
      </c>
      <c r="AM9" s="290">
        <f t="shared" ca="1" si="16"/>
        <v>0</v>
      </c>
      <c r="AN9" s="291" t="str">
        <f t="shared" ca="1" si="17"/>
        <v/>
      </c>
      <c r="AO9" s="223">
        <f ca="1">+INDIRECT("[EMPINFO.xlsm]"&amp;$O$2&amp;"!t9")</f>
        <v>0</v>
      </c>
      <c r="AP9" s="226">
        <f ca="1">+INDIRECT("[EMPINFO.xlsm]"&amp;$O$2&amp;"!o9")</f>
        <v>0</v>
      </c>
      <c r="AQ9" s="840">
        <f ca="1">+INDIRECT("[EMPINFO.xlsm]"&amp;$O$2&amp;"!p9")</f>
        <v>-440</v>
      </c>
      <c r="AR9" s="226">
        <f ca="1">+INDIRECT("[EMPINFO.xlsm]"&amp;$O$2&amp;"!j9")</f>
        <v>0</v>
      </c>
      <c r="AS9" s="840">
        <f ca="1">+INDIRECT("[EMPINFO.xlsm]"&amp;$O$2&amp;"!k9")</f>
        <v>270.36559139784947</v>
      </c>
      <c r="AT9" s="226">
        <f ca="1">+INDIRECT("[EMPINFO.xlsm]"&amp;$O$2&amp;"!m9")</f>
        <v>0</v>
      </c>
      <c r="AU9" s="844">
        <f ca="1">+INDIRECT("[EMPINFO.xlsm]"&amp;$O$2&amp;"!n9")</f>
        <v>49.677419354838712</v>
      </c>
      <c r="AV9" s="244">
        <f t="shared" si="22"/>
        <v>130</v>
      </c>
      <c r="AW9" s="244">
        <f t="shared" si="23"/>
        <v>200</v>
      </c>
      <c r="AX9" s="840">
        <f ca="1">+INDIRECT("[EMPINFO.xlsm]"&amp;$O$2&amp;"!u9")</f>
        <v>30</v>
      </c>
      <c r="AY9" s="215">
        <f ca="1">+INDIRECT("[EMPINFO.xlsm]"&amp;$O$2&amp;"!v9")</f>
        <v>0</v>
      </c>
      <c r="AZ9" s="797" t="str">
        <f ca="1">+INDIRECT("[EMPINFO.xlsm]"&amp;$O$2&amp;"!x9")</f>
        <v>INACTIVE</v>
      </c>
      <c r="BA9" s="844">
        <f ca="1">+INDIRECT("[EMPINFO.xlsm]"&amp;$O$2&amp;"!w9")</f>
        <v>0</v>
      </c>
      <c r="BB9" s="288">
        <f t="shared" ca="1" si="18"/>
        <v>0</v>
      </c>
      <c r="BC9" s="289">
        <f t="shared" ca="1" si="19"/>
        <v>0</v>
      </c>
      <c r="BD9" s="255"/>
      <c r="BE9" s="206"/>
    </row>
    <row r="10" spans="1:62" ht="15.75" customHeight="1" thickBot="1" x14ac:dyDescent="0.3">
      <c r="A10" s="54"/>
      <c r="B10" s="5" t="s">
        <v>142</v>
      </c>
      <c r="C10" s="921" t="str">
        <f>INDEX([1]!empdata,MATCH(ID,[1]!empid,0),20)</f>
        <v>Tarxien</v>
      </c>
      <c r="D10" s="922"/>
      <c r="E10" s="922"/>
      <c r="F10" s="886"/>
      <c r="I10" s="312" t="s">
        <v>143</v>
      </c>
      <c r="L10" s="101"/>
      <c r="M10" s="303"/>
      <c r="N10" s="211">
        <f t="shared" ca="1" si="0"/>
        <v>13.903846153846155</v>
      </c>
      <c r="O10" s="213">
        <f>+DATA!A9</f>
        <v>46204</v>
      </c>
      <c r="P10" s="219">
        <f ca="1">+INDIRECT("[EMPINFO.xlsm]"&amp;$O$2&amp;"!G10")</f>
        <v>0</v>
      </c>
      <c r="Q10" s="215">
        <f ca="1">IF(AZ10="active",INDIRECT("[EMPINFO.xlsm]"&amp;$O$2&amp;"!H10"),0)</f>
        <v>0</v>
      </c>
      <c r="R10" s="239">
        <f t="shared" si="20"/>
        <v>12</v>
      </c>
      <c r="S10" s="216">
        <f t="shared" ca="1" si="1"/>
        <v>0</v>
      </c>
      <c r="T10" s="220">
        <f t="shared" ca="1" si="2"/>
        <v>0</v>
      </c>
      <c r="U10" s="218">
        <f t="shared" ca="1" si="3"/>
        <v>0</v>
      </c>
      <c r="V10" s="220">
        <f>+juloth*julhrrt</f>
        <v>0</v>
      </c>
      <c r="W10" s="201"/>
      <c r="X10" s="218">
        <f t="shared" ca="1" si="4"/>
        <v>130</v>
      </c>
      <c r="Y10" s="803">
        <f t="shared" ca="1" si="5"/>
        <v>200</v>
      </c>
      <c r="Z10" s="218">
        <f t="shared" ca="1" si="6"/>
        <v>330</v>
      </c>
      <c r="AA10" s="803">
        <f t="shared" ca="1" si="7"/>
        <v>0</v>
      </c>
      <c r="AB10" s="218">
        <f ca="1">+INDIRECT("[EMPINFO.xlsm]"&amp;$O$2&amp;"!s10")</f>
        <v>0</v>
      </c>
      <c r="AC10" s="292">
        <v>1.5</v>
      </c>
      <c r="AD10" s="218">
        <f t="shared" ca="1" si="8"/>
        <v>0</v>
      </c>
      <c r="AE10" s="220">
        <f t="shared" ca="1" si="9"/>
        <v>0</v>
      </c>
      <c r="AF10" s="218">
        <f t="shared" ca="1" si="10"/>
        <v>0</v>
      </c>
      <c r="AG10" s="803">
        <f t="shared" ca="1" si="11"/>
        <v>0</v>
      </c>
      <c r="AH10" s="218">
        <f t="shared" ca="1" si="12"/>
        <v>0</v>
      </c>
      <c r="AI10" s="803">
        <f t="shared" ca="1" si="13"/>
        <v>0</v>
      </c>
      <c r="AJ10" s="218">
        <f t="shared" ca="1" si="14"/>
        <v>0</v>
      </c>
      <c r="AK10" s="803">
        <f t="shared" ca="1" si="15"/>
        <v>0</v>
      </c>
      <c r="AL10" s="218">
        <f t="shared" ca="1" si="21"/>
        <v>330</v>
      </c>
      <c r="AM10" s="290">
        <f t="shared" ca="1" si="16"/>
        <v>0</v>
      </c>
      <c r="AN10" s="291" t="str">
        <f t="shared" ca="1" si="17"/>
        <v/>
      </c>
      <c r="AO10" s="223">
        <f ca="1">+INDIRECT("[EMPINFO.xlsm]"&amp;$O$2&amp;"!t10")</f>
        <v>0</v>
      </c>
      <c r="AP10" s="226">
        <f ca="1">+INDIRECT("[EMPINFO.xlsm]"&amp;$O$2&amp;"!o10")</f>
        <v>0</v>
      </c>
      <c r="AQ10" s="840">
        <f ca="1">+INDIRECT("[EMPINFO.xlsm]"&amp;$O$2&amp;"!p10")</f>
        <v>-440</v>
      </c>
      <c r="AR10" s="226">
        <f ca="1">+INDIRECT("[EMPINFO.xlsm]"&amp;$O$2&amp;"!j10")</f>
        <v>0</v>
      </c>
      <c r="AS10" s="840">
        <f ca="1">+INDIRECT("[EMPINFO.xlsm]"&amp;$O$2&amp;"!k10")</f>
        <v>270.36559139784947</v>
      </c>
      <c r="AT10" s="226">
        <f ca="1">+INDIRECT("[EMPINFO.xlsm]"&amp;$O$2&amp;"!m10")</f>
        <v>0</v>
      </c>
      <c r="AU10" s="844">
        <f ca="1">+INDIRECT("[EMPINFO.xlsm]"&amp;$O$2&amp;"!n10")</f>
        <v>49.677419354838712</v>
      </c>
      <c r="AV10" s="244">
        <f t="shared" si="22"/>
        <v>130</v>
      </c>
      <c r="AW10" s="244">
        <f t="shared" si="23"/>
        <v>200</v>
      </c>
      <c r="AX10" s="840">
        <f ca="1">+INDIRECT("[EMPINFO.xlsm]"&amp;$O$2&amp;"!u10")</f>
        <v>31</v>
      </c>
      <c r="AY10" s="215">
        <f ca="1">+INDIRECT("[EMPINFO.xlsm]"&amp;$O$2&amp;"!v10")</f>
        <v>0</v>
      </c>
      <c r="AZ10" s="797" t="str">
        <f ca="1">+INDIRECT("[EMPINFO.xlsm]"&amp;$O$2&amp;"!x10")</f>
        <v>INACTIVE</v>
      </c>
      <c r="BA10" s="844">
        <f ca="1">+INDIRECT("[EMPINFO.xlsm]"&amp;$O$2&amp;"!w10")</f>
        <v>0</v>
      </c>
      <c r="BB10" s="288">
        <f t="shared" ca="1" si="18"/>
        <v>0</v>
      </c>
      <c r="BC10" s="289">
        <f t="shared" ca="1" si="19"/>
        <v>0</v>
      </c>
      <c r="BD10" s="255"/>
      <c r="BE10" s="206"/>
      <c r="BF10" s="32"/>
      <c r="BH10" s="32"/>
      <c r="BI10" s="30"/>
      <c r="BJ10" s="31"/>
    </row>
    <row r="11" spans="1:62" ht="15.75" customHeight="1" thickBot="1" x14ac:dyDescent="0.3">
      <c r="A11" s="54"/>
      <c r="B11" s="6" t="s">
        <v>144</v>
      </c>
      <c r="C11" s="921" t="str">
        <f>INDEX([1]!empdata,MATCH(ID,[1]!empid,0),21)</f>
        <v>TXN1232</v>
      </c>
      <c r="D11" s="922"/>
      <c r="E11" s="922"/>
      <c r="F11" s="886"/>
      <c r="H11" s="312" t="s">
        <v>31</v>
      </c>
      <c r="I11" s="927">
        <f>INDEX([1]!empdata,MATCH(ID,[1]!empid,0),7)</f>
        <v>0</v>
      </c>
      <c r="J11" s="859"/>
      <c r="K11" s="857"/>
      <c r="L11" s="101"/>
      <c r="M11" s="303"/>
      <c r="N11" s="211">
        <f t="shared" ca="1" si="0"/>
        <v>13.903846153846155</v>
      </c>
      <c r="O11" s="213">
        <f>+DATA!A10</f>
        <v>46235</v>
      </c>
      <c r="P11" s="219">
        <f ca="1">+INDIRECT("[EMPINFO.xlsm]"&amp;$O$2&amp;"!G11")</f>
        <v>0</v>
      </c>
      <c r="Q11" s="215">
        <f ca="1">IF(AZ11="active",INDIRECT("[EMPINFO.xlsm]"&amp;$O$2&amp;"!H11"),0)</f>
        <v>0</v>
      </c>
      <c r="R11" s="239">
        <f t="shared" si="20"/>
        <v>12</v>
      </c>
      <c r="S11" s="216">
        <f t="shared" ca="1" si="1"/>
        <v>0</v>
      </c>
      <c r="T11" s="220">
        <f t="shared" ca="1" si="2"/>
        <v>0</v>
      </c>
      <c r="U11" s="218">
        <f t="shared" ca="1" si="3"/>
        <v>0</v>
      </c>
      <c r="V11" s="220">
        <f>+augoth*aughrrt</f>
        <v>0</v>
      </c>
      <c r="W11" s="201"/>
      <c r="X11" s="218">
        <f t="shared" ca="1" si="4"/>
        <v>130</v>
      </c>
      <c r="Y11" s="803">
        <f t="shared" ca="1" si="5"/>
        <v>200</v>
      </c>
      <c r="Z11" s="218">
        <f t="shared" ca="1" si="6"/>
        <v>330</v>
      </c>
      <c r="AA11" s="803">
        <f t="shared" ca="1" si="7"/>
        <v>0</v>
      </c>
      <c r="AB11" s="218">
        <f ca="1">+INDIRECT("[EMPINFO.xlsm]"&amp;$O$2&amp;"!s11")</f>
        <v>0</v>
      </c>
      <c r="AC11" s="292">
        <v>1.5</v>
      </c>
      <c r="AD11" s="218">
        <f t="shared" ca="1" si="8"/>
        <v>0</v>
      </c>
      <c r="AE11" s="220">
        <f t="shared" ca="1" si="9"/>
        <v>0</v>
      </c>
      <c r="AF11" s="218">
        <f t="shared" ca="1" si="10"/>
        <v>0</v>
      </c>
      <c r="AG11" s="803">
        <f t="shared" ca="1" si="11"/>
        <v>0</v>
      </c>
      <c r="AH11" s="218">
        <f t="shared" ca="1" si="12"/>
        <v>0</v>
      </c>
      <c r="AI11" s="803">
        <f t="shared" ca="1" si="13"/>
        <v>0</v>
      </c>
      <c r="AJ11" s="218">
        <f t="shared" ca="1" si="14"/>
        <v>0</v>
      </c>
      <c r="AK11" s="803">
        <f t="shared" ca="1" si="15"/>
        <v>0</v>
      </c>
      <c r="AL11" s="218">
        <f t="shared" ca="1" si="21"/>
        <v>330</v>
      </c>
      <c r="AM11" s="290">
        <f t="shared" ca="1" si="16"/>
        <v>0</v>
      </c>
      <c r="AN11" s="291" t="str">
        <f t="shared" ca="1" si="17"/>
        <v/>
      </c>
      <c r="AO11" s="223">
        <f ca="1">+INDIRECT("[EMPINFO.xlsm]"&amp;$O$2&amp;"!t11")</f>
        <v>0</v>
      </c>
      <c r="AP11" s="226">
        <f ca="1">+INDIRECT("[EMPINFO.xlsm]"&amp;$O$2&amp;"!o11")</f>
        <v>40</v>
      </c>
      <c r="AQ11" s="840">
        <f ca="1">+INDIRECT("[EMPINFO.xlsm]"&amp;$O$2&amp;"!p11")</f>
        <v>-400</v>
      </c>
      <c r="AR11" s="226">
        <f ca="1">+INDIRECT("[EMPINFO.xlsm]"&amp;$O$2&amp;"!j11")</f>
        <v>0</v>
      </c>
      <c r="AS11" s="840">
        <f ca="1">+INDIRECT("[EMPINFO.xlsm]"&amp;$O$2&amp;"!k11")</f>
        <v>270.36559139784947</v>
      </c>
      <c r="AT11" s="226">
        <f ca="1">+INDIRECT("[EMPINFO.xlsm]"&amp;$O$2&amp;"!m11")</f>
        <v>0</v>
      </c>
      <c r="AU11" s="844">
        <f ca="1">+INDIRECT("[EMPINFO.xlsm]"&amp;$O$2&amp;"!n11")</f>
        <v>49.677419354838712</v>
      </c>
      <c r="AV11" s="244">
        <f t="shared" si="22"/>
        <v>130</v>
      </c>
      <c r="AW11" s="244">
        <f t="shared" si="23"/>
        <v>200</v>
      </c>
      <c r="AX11" s="840">
        <f ca="1">+INDIRECT("[EMPINFO.xlsm]"&amp;$O$2&amp;"!u11")</f>
        <v>31</v>
      </c>
      <c r="AY11" s="215">
        <f ca="1">+INDIRECT("[EMPINFO.xlsm]"&amp;$O$2&amp;"!v11")</f>
        <v>0</v>
      </c>
      <c r="AZ11" s="797" t="str">
        <f ca="1">+INDIRECT("[EMPINFO.xlsm]"&amp;$O$2&amp;"!x11")</f>
        <v>INACTIVE</v>
      </c>
      <c r="BA11" s="844">
        <f ca="1">+INDIRECT("[EMPINFO.xlsm]"&amp;$O$2&amp;"!w11")</f>
        <v>0</v>
      </c>
      <c r="BB11" s="288">
        <f t="shared" ca="1" si="18"/>
        <v>0</v>
      </c>
      <c r="BC11" s="289">
        <f t="shared" ca="1" si="19"/>
        <v>0</v>
      </c>
      <c r="BD11" s="255"/>
      <c r="BE11" s="206"/>
      <c r="BF11" s="27"/>
      <c r="BH11" s="27"/>
    </row>
    <row r="12" spans="1:62" ht="17.45" customHeight="1" thickBot="1" x14ac:dyDescent="0.3">
      <c r="A12" s="313"/>
      <c r="B12" s="91" t="s">
        <v>14</v>
      </c>
      <c r="C12" s="945">
        <f>INDEX([1]!empdata,MATCH(ID,[1]!empid,0),10)</f>
        <v>79697405</v>
      </c>
      <c r="D12" s="946"/>
      <c r="E12" s="946"/>
      <c r="F12" s="947"/>
      <c r="G12" s="85"/>
      <c r="H12" s="85"/>
      <c r="I12" s="85"/>
      <c r="J12" s="85"/>
      <c r="K12" s="85"/>
      <c r="L12" s="314"/>
      <c r="M12" s="303"/>
      <c r="N12" s="211">
        <f t="shared" ca="1" si="0"/>
        <v>13.903846153846155</v>
      </c>
      <c r="O12" s="213">
        <f>+DATA!A11</f>
        <v>46266</v>
      </c>
      <c r="P12" s="219">
        <f ca="1">+INDIRECT("[EMPINFO.xlsm]"&amp;$O$2&amp;"!G12")</f>
        <v>0</v>
      </c>
      <c r="Q12" s="215">
        <f ca="1">IF(AZ12="active",INDIRECT("[EMPINFO.xlsm]"&amp;$O$2&amp;"!H12"),0)</f>
        <v>0</v>
      </c>
      <c r="R12" s="239">
        <f t="shared" si="20"/>
        <v>12</v>
      </c>
      <c r="S12" s="216">
        <f t="shared" ca="1" si="1"/>
        <v>0</v>
      </c>
      <c r="T12" s="220">
        <f t="shared" ca="1" si="2"/>
        <v>0</v>
      </c>
      <c r="U12" s="218">
        <f t="shared" ca="1" si="3"/>
        <v>0</v>
      </c>
      <c r="V12" s="220">
        <f>+sepoth*sephrrt</f>
        <v>0</v>
      </c>
      <c r="W12" s="202">
        <f ca="1">IF(AZ12&lt;&gt;"active",0,(IF(Timer="PT_casual",(bonussep/1040*(BA7:BA12)),(bonussep*(SUM(AO7:AO12)/SUM(AX7:AX12))*(SUM(Q7:Q12)/240)))))</f>
        <v>0</v>
      </c>
      <c r="X12" s="218">
        <f t="shared" ca="1" si="4"/>
        <v>130</v>
      </c>
      <c r="Y12" s="803">
        <f t="shared" ca="1" si="5"/>
        <v>200</v>
      </c>
      <c r="Z12" s="218">
        <f t="shared" ca="1" si="6"/>
        <v>330</v>
      </c>
      <c r="AA12" s="803">
        <f t="shared" ca="1" si="7"/>
        <v>0</v>
      </c>
      <c r="AB12" s="218">
        <f ca="1">+INDIRECT("[EMPINFO.xlsm]"&amp;$O$2&amp;"!s12")</f>
        <v>0</v>
      </c>
      <c r="AC12" s="292">
        <v>1.5</v>
      </c>
      <c r="AD12" s="218">
        <f t="shared" ca="1" si="8"/>
        <v>0</v>
      </c>
      <c r="AE12" s="220">
        <f t="shared" ca="1" si="9"/>
        <v>0</v>
      </c>
      <c r="AF12" s="218">
        <f t="shared" ca="1" si="10"/>
        <v>0</v>
      </c>
      <c r="AG12" s="803">
        <f t="shared" ca="1" si="11"/>
        <v>0</v>
      </c>
      <c r="AH12" s="218">
        <f t="shared" ca="1" si="12"/>
        <v>0</v>
      </c>
      <c r="AI12" s="803">
        <f t="shared" ca="1" si="13"/>
        <v>0</v>
      </c>
      <c r="AJ12" s="218">
        <f t="shared" ca="1" si="14"/>
        <v>0</v>
      </c>
      <c r="AK12" s="803">
        <f t="shared" ca="1" si="15"/>
        <v>0</v>
      </c>
      <c r="AL12" s="218">
        <f t="shared" ca="1" si="21"/>
        <v>330</v>
      </c>
      <c r="AM12" s="290">
        <f t="shared" ca="1" si="16"/>
        <v>0</v>
      </c>
      <c r="AN12" s="291" t="str">
        <f t="shared" ca="1" si="17"/>
        <v/>
      </c>
      <c r="AO12" s="223">
        <f ca="1">+INDIRECT("[EMPINFO.xlsm]"&amp;$O$2&amp;"!t12")</f>
        <v>0</v>
      </c>
      <c r="AP12" s="226">
        <f ca="1">+INDIRECT("[EMPINFO.xlsm]"&amp;$O$2&amp;"!o12")</f>
        <v>0</v>
      </c>
      <c r="AQ12" s="840">
        <f ca="1">+INDIRECT("[EMPINFO.xlsm]"&amp;$O$2&amp;"!p12")</f>
        <v>-400</v>
      </c>
      <c r="AR12" s="226">
        <f ca="1">+INDIRECT("[EMPINFO.xlsm]"&amp;$O$2&amp;"!j12")</f>
        <v>0</v>
      </c>
      <c r="AS12" s="840">
        <f ca="1">+INDIRECT("[EMPINFO.xlsm]"&amp;$O$2&amp;"!k12")</f>
        <v>270.36559139784947</v>
      </c>
      <c r="AT12" s="226">
        <f ca="1">+INDIRECT("[EMPINFO.xlsm]"&amp;$O$2&amp;"!m12")</f>
        <v>0</v>
      </c>
      <c r="AU12" s="844">
        <f ca="1">+INDIRECT("[EMPINFO.xlsm]"&amp;$O$2&amp;"!n12")</f>
        <v>49.677419354838712</v>
      </c>
      <c r="AV12" s="244">
        <f t="shared" si="22"/>
        <v>130</v>
      </c>
      <c r="AW12" s="244">
        <f t="shared" si="23"/>
        <v>200</v>
      </c>
      <c r="AX12" s="840">
        <f ca="1">+INDIRECT("[EMPINFO.xlsm]"&amp;$O$2&amp;"!u12")</f>
        <v>30</v>
      </c>
      <c r="AY12" s="215">
        <f ca="1">+INDIRECT("[EMPINFO.xlsm]"&amp;$O$2&amp;"!v12")</f>
        <v>0</v>
      </c>
      <c r="AZ12" s="797" t="str">
        <f ca="1">+INDIRECT("[EMPINFO.xlsm]"&amp;$O$2&amp;"!x12")</f>
        <v>INACTIVE</v>
      </c>
      <c r="BA12" s="844">
        <f ca="1">+INDIRECT("[EMPINFO.xlsm]"&amp;$O$2&amp;"!w12")</f>
        <v>0</v>
      </c>
      <c r="BB12" s="288">
        <f t="shared" ca="1" si="18"/>
        <v>0</v>
      </c>
      <c r="BC12" s="289">
        <f t="shared" ca="1" si="19"/>
        <v>0</v>
      </c>
      <c r="BD12" s="255"/>
      <c r="BE12" s="206"/>
    </row>
    <row r="13" spans="1:62" ht="15.75" customHeight="1" thickBot="1" x14ac:dyDescent="0.3">
      <c r="A13" s="54"/>
      <c r="L13" s="101"/>
      <c r="M13" s="303"/>
      <c r="N13" s="211">
        <f t="shared" ca="1" si="0"/>
        <v>13.903846153846155</v>
      </c>
      <c r="O13" s="213">
        <f>+DATA!A12</f>
        <v>46296</v>
      </c>
      <c r="P13" s="219">
        <f ca="1">+INDIRECT("[EMPINFO.xlsm]"&amp;$O$2&amp;"!G13")</f>
        <v>0</v>
      </c>
      <c r="Q13" s="215">
        <f ca="1">IF(AZ13="active",INDIRECT("[EMPINFO.xlsm]"&amp;$O$2&amp;"!H13"),0)</f>
        <v>0</v>
      </c>
      <c r="R13" s="239">
        <f t="shared" si="20"/>
        <v>12</v>
      </c>
      <c r="S13" s="216">
        <f t="shared" ca="1" si="1"/>
        <v>0</v>
      </c>
      <c r="T13" s="220">
        <f t="shared" ca="1" si="2"/>
        <v>0</v>
      </c>
      <c r="U13" s="218">
        <f t="shared" ca="1" si="3"/>
        <v>0</v>
      </c>
      <c r="V13" s="220">
        <f>+octoth*octhrrt</f>
        <v>0</v>
      </c>
      <c r="W13" s="201"/>
      <c r="X13" s="218">
        <f t="shared" ca="1" si="4"/>
        <v>130</v>
      </c>
      <c r="Y13" s="803">
        <f t="shared" ca="1" si="5"/>
        <v>200</v>
      </c>
      <c r="Z13" s="218">
        <f t="shared" ca="1" si="6"/>
        <v>330</v>
      </c>
      <c r="AA13" s="803">
        <f t="shared" ca="1" si="7"/>
        <v>0</v>
      </c>
      <c r="AB13" s="218">
        <f ca="1">+INDIRECT("[EMPINFO.xlsm]"&amp;$O$2&amp;"!s13")</f>
        <v>0</v>
      </c>
      <c r="AC13" s="292">
        <v>1.5</v>
      </c>
      <c r="AD13" s="218">
        <f t="shared" ca="1" si="8"/>
        <v>0</v>
      </c>
      <c r="AE13" s="220">
        <f t="shared" ca="1" si="9"/>
        <v>0</v>
      </c>
      <c r="AF13" s="218">
        <f t="shared" ca="1" si="10"/>
        <v>0</v>
      </c>
      <c r="AG13" s="803">
        <f t="shared" ca="1" si="11"/>
        <v>0</v>
      </c>
      <c r="AH13" s="218">
        <f t="shared" ca="1" si="12"/>
        <v>0</v>
      </c>
      <c r="AI13" s="803">
        <f t="shared" ca="1" si="13"/>
        <v>0</v>
      </c>
      <c r="AJ13" s="218">
        <f t="shared" ca="1" si="14"/>
        <v>0</v>
      </c>
      <c r="AK13" s="803">
        <f t="shared" ca="1" si="15"/>
        <v>0</v>
      </c>
      <c r="AL13" s="218">
        <f t="shared" ca="1" si="21"/>
        <v>330</v>
      </c>
      <c r="AM13" s="290">
        <f t="shared" ca="1" si="16"/>
        <v>0</v>
      </c>
      <c r="AN13" s="291" t="str">
        <f t="shared" ca="1" si="17"/>
        <v/>
      </c>
      <c r="AO13" s="223">
        <f ca="1">+INDIRECT("[EMPINFO.xlsm]"&amp;$O$2&amp;"!t13")</f>
        <v>0</v>
      </c>
      <c r="AP13" s="226">
        <f ca="1">+INDIRECT("[EMPINFO.xlsm]"&amp;$O$2&amp;"!o13")</f>
        <v>0</v>
      </c>
      <c r="AQ13" s="840">
        <f ca="1">+INDIRECT("[EMPINFO.xlsm]"&amp;$O$2&amp;"!p13")</f>
        <v>-400</v>
      </c>
      <c r="AR13" s="226">
        <f ca="1">+INDIRECT("[EMPINFO.xlsm]"&amp;$O$2&amp;"!j13")</f>
        <v>0</v>
      </c>
      <c r="AS13" s="840">
        <f ca="1">+INDIRECT("[EMPINFO.xlsm]"&amp;$O$2&amp;"!k13")</f>
        <v>270.36559139784947</v>
      </c>
      <c r="AT13" s="226">
        <f ca="1">+INDIRECT("[EMPINFO.xlsm]"&amp;$O$2&amp;"!m13")</f>
        <v>0</v>
      </c>
      <c r="AU13" s="844">
        <f ca="1">+INDIRECT("[EMPINFO.xlsm]"&amp;$O$2&amp;"!n13")</f>
        <v>49.677419354838712</v>
      </c>
      <c r="AV13" s="244">
        <f t="shared" si="22"/>
        <v>130</v>
      </c>
      <c r="AW13" s="244">
        <f t="shared" si="23"/>
        <v>200</v>
      </c>
      <c r="AX13" s="840">
        <f ca="1">+INDIRECT("[EMPINFO.xlsm]"&amp;$O$2&amp;"!u13")</f>
        <v>31</v>
      </c>
      <c r="AY13" s="215">
        <f ca="1">+INDIRECT("[EMPINFO.xlsm]"&amp;$O$2&amp;"!v13")</f>
        <v>0</v>
      </c>
      <c r="AZ13" s="797" t="str">
        <f ca="1">+INDIRECT("[EMPINFO.xlsm]"&amp;$O$2&amp;"!x13")</f>
        <v>INACTIVE</v>
      </c>
      <c r="BA13" s="844">
        <f ca="1">+INDIRECT("[EMPINFO.xlsm]"&amp;$O$2&amp;"!w13")</f>
        <v>0</v>
      </c>
      <c r="BB13" s="288">
        <f t="shared" ca="1" si="18"/>
        <v>0</v>
      </c>
      <c r="BC13" s="289">
        <f t="shared" ca="1" si="19"/>
        <v>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46096</v>
      </c>
      <c r="J14" s="453"/>
      <c r="K14" s="454"/>
      <c r="L14" s="63"/>
      <c r="M14" s="303"/>
      <c r="N14" s="211">
        <f t="shared" ca="1" si="0"/>
        <v>13.903846153846155</v>
      </c>
      <c r="O14" s="213">
        <f>+DATA!A13</f>
        <v>46327</v>
      </c>
      <c r="P14" s="219">
        <f ca="1">+INDIRECT("[EMPINFO.xlsm]"&amp;$O$2&amp;"!G14")</f>
        <v>0</v>
      </c>
      <c r="Q14" s="215">
        <f ca="1">IF(AZ14="active",INDIRECT("[EMPINFO.xlsm]"&amp;$O$2&amp;"!H14"),0)</f>
        <v>0</v>
      </c>
      <c r="R14" s="239">
        <f t="shared" si="20"/>
        <v>12</v>
      </c>
      <c r="S14" s="216">
        <f t="shared" ca="1" si="1"/>
        <v>0</v>
      </c>
      <c r="T14" s="220">
        <f t="shared" ca="1" si="2"/>
        <v>0</v>
      </c>
      <c r="U14" s="218">
        <f t="shared" ca="1" si="3"/>
        <v>0</v>
      </c>
      <c r="V14" s="220">
        <f>+novoth*novhrrt</f>
        <v>0</v>
      </c>
      <c r="W14" s="201"/>
      <c r="X14" s="218">
        <f t="shared" ca="1" si="4"/>
        <v>130</v>
      </c>
      <c r="Y14" s="803">
        <f t="shared" ca="1" si="5"/>
        <v>200</v>
      </c>
      <c r="Z14" s="218">
        <f t="shared" ca="1" si="6"/>
        <v>330</v>
      </c>
      <c r="AA14" s="803">
        <f t="shared" ca="1" si="7"/>
        <v>0</v>
      </c>
      <c r="AB14" s="218">
        <f ca="1">+INDIRECT("[EMPINFO.xlsm]"&amp;$O$2&amp;"!s14")</f>
        <v>0</v>
      </c>
      <c r="AC14" s="292">
        <v>1.5</v>
      </c>
      <c r="AD14" s="218">
        <f t="shared" ca="1" si="8"/>
        <v>0</v>
      </c>
      <c r="AE14" s="220">
        <f t="shared" ca="1" si="9"/>
        <v>0</v>
      </c>
      <c r="AF14" s="218">
        <f t="shared" ca="1" si="10"/>
        <v>0</v>
      </c>
      <c r="AG14" s="803">
        <f t="shared" ca="1" si="11"/>
        <v>0</v>
      </c>
      <c r="AH14" s="218">
        <f t="shared" ca="1" si="12"/>
        <v>0</v>
      </c>
      <c r="AI14" s="803">
        <f t="shared" ca="1" si="13"/>
        <v>0</v>
      </c>
      <c r="AJ14" s="218">
        <f t="shared" ca="1" si="14"/>
        <v>0</v>
      </c>
      <c r="AK14" s="803">
        <f t="shared" ca="1" si="15"/>
        <v>0</v>
      </c>
      <c r="AL14" s="218">
        <f t="shared" ca="1" si="21"/>
        <v>330</v>
      </c>
      <c r="AM14" s="290">
        <f t="shared" ca="1" si="16"/>
        <v>0</v>
      </c>
      <c r="AN14" s="291" t="str">
        <f t="shared" ca="1" si="17"/>
        <v/>
      </c>
      <c r="AO14" s="223">
        <f ca="1">+INDIRECT("[EMPINFO.xlsm]"&amp;$O$2&amp;"!t14")</f>
        <v>0</v>
      </c>
      <c r="AP14" s="226">
        <f ca="1">+INDIRECT("[EMPINFO.xlsm]"&amp;$O$2&amp;"!o14")</f>
        <v>0</v>
      </c>
      <c r="AQ14" s="840">
        <f ca="1">+INDIRECT("[EMPINFO.xlsm]"&amp;$O$2&amp;"!p14")</f>
        <v>-400</v>
      </c>
      <c r="AR14" s="226">
        <f ca="1">+INDIRECT("[EMPINFO.xlsm]"&amp;$O$2&amp;"!j14")</f>
        <v>0</v>
      </c>
      <c r="AS14" s="840">
        <f ca="1">+INDIRECT("[EMPINFO.xlsm]"&amp;$O$2&amp;"!k14")</f>
        <v>270.36559139784947</v>
      </c>
      <c r="AT14" s="226">
        <f ca="1">+INDIRECT("[EMPINFO.xlsm]"&amp;$O$2&amp;"!m14")</f>
        <v>0</v>
      </c>
      <c r="AU14" s="844">
        <f ca="1">+INDIRECT("[EMPINFO.xlsm]"&amp;$O$2&amp;"!n14")</f>
        <v>49.677419354838712</v>
      </c>
      <c r="AV14" s="244">
        <f t="shared" si="22"/>
        <v>130</v>
      </c>
      <c r="AW14" s="244">
        <f t="shared" si="23"/>
        <v>200</v>
      </c>
      <c r="AX14" s="840">
        <f ca="1">+INDIRECT("[EMPINFO.xlsm]"&amp;$O$2&amp;"!u14")</f>
        <v>30</v>
      </c>
      <c r="AY14" s="215">
        <f ca="1">+INDIRECT("[EMPINFO.xlsm]"&amp;$O$2&amp;"!v14")</f>
        <v>0</v>
      </c>
      <c r="AZ14" s="797" t="str">
        <f ca="1">+INDIRECT("[EMPINFO.xlsm]"&amp;$O$2&amp;"!x14")</f>
        <v>INACTIVE</v>
      </c>
      <c r="BA14" s="844">
        <f ca="1">+INDIRECT("[EMPINFO.xlsm]"&amp;$O$2&amp;"!w14")</f>
        <v>0</v>
      </c>
      <c r="BB14" s="288">
        <f t="shared" ca="1" si="18"/>
        <v>0</v>
      </c>
      <c r="BC14" s="289">
        <f t="shared" ca="1" si="19"/>
        <v>0</v>
      </c>
      <c r="BD14" s="255"/>
      <c r="BE14" s="206"/>
      <c r="BF14" s="32"/>
      <c r="BH14" s="32"/>
    </row>
    <row r="15" spans="1:62" ht="15.75" customHeight="1" thickBot="1" x14ac:dyDescent="0.3">
      <c r="A15" s="54"/>
      <c r="L15" s="101"/>
      <c r="M15" s="303"/>
      <c r="N15" s="211">
        <f t="shared" ca="1" si="0"/>
        <v>13.903846153846155</v>
      </c>
      <c r="O15" s="213">
        <f>+DATA!A14</f>
        <v>46357</v>
      </c>
      <c r="P15" s="219">
        <f ca="1">+INDIRECT("[EMPINFO.xlsm]"&amp;$O$2&amp;"!G15")</f>
        <v>0</v>
      </c>
      <c r="Q15" s="215">
        <f ca="1">IF(AZ15="active",INDIRECT("[EMPINFO.xlsm]"&amp;$O$2&amp;"!H15"),0)</f>
        <v>0</v>
      </c>
      <c r="R15" s="239">
        <f t="shared" si="20"/>
        <v>12</v>
      </c>
      <c r="S15" s="216">
        <f t="shared" ca="1" si="1"/>
        <v>0</v>
      </c>
      <c r="T15" s="220">
        <f t="shared" ca="1" si="2"/>
        <v>0</v>
      </c>
      <c r="U15" s="218">
        <f t="shared" ca="1" si="3"/>
        <v>0</v>
      </c>
      <c r="V15" s="220">
        <f>+decoth*dechrrt</f>
        <v>0</v>
      </c>
      <c r="W15" s="202">
        <f ca="1">IF(AZ15&lt;&gt;"active",0,(IF(Timer="PT_casual",(bonusdec/1040*(BA10:BA15)),(bonusdec*(SUM(AO10:AO15)/SUM(AX10:AX15))*(SUM(Q10:Q15)/240)))))</f>
        <v>0</v>
      </c>
      <c r="X15" s="218">
        <f t="shared" ca="1" si="4"/>
        <v>130</v>
      </c>
      <c r="Y15" s="803">
        <f t="shared" ca="1" si="5"/>
        <v>200</v>
      </c>
      <c r="Z15" s="218">
        <f t="shared" ca="1" si="6"/>
        <v>330</v>
      </c>
      <c r="AA15" s="803">
        <f t="shared" ca="1" si="7"/>
        <v>0</v>
      </c>
      <c r="AB15" s="218">
        <f ca="1">+INDIRECT("[EMPINFO.xlsm]"&amp;$O$2&amp;"!s15")</f>
        <v>0</v>
      </c>
      <c r="AC15" s="292">
        <v>1.5</v>
      </c>
      <c r="AD15" s="218">
        <f t="shared" ca="1" si="8"/>
        <v>0</v>
      </c>
      <c r="AE15" s="220">
        <f t="shared" ca="1" si="9"/>
        <v>0</v>
      </c>
      <c r="AF15" s="218">
        <f t="shared" ca="1" si="10"/>
        <v>0</v>
      </c>
      <c r="AG15" s="803">
        <f t="shared" ca="1" si="11"/>
        <v>0</v>
      </c>
      <c r="AH15" s="218">
        <f t="shared" ca="1" si="12"/>
        <v>0</v>
      </c>
      <c r="AI15" s="803">
        <f t="shared" ca="1" si="13"/>
        <v>0</v>
      </c>
      <c r="AJ15" s="218">
        <f t="shared" ca="1" si="14"/>
        <v>0</v>
      </c>
      <c r="AK15" s="803">
        <f t="shared" ca="1" si="15"/>
        <v>0</v>
      </c>
      <c r="AL15" s="218">
        <f t="shared" ca="1" si="21"/>
        <v>330</v>
      </c>
      <c r="AM15" s="290">
        <f t="shared" ca="1" si="16"/>
        <v>0</v>
      </c>
      <c r="AN15" s="291" t="str">
        <f t="shared" ca="1" si="17"/>
        <v/>
      </c>
      <c r="AO15" s="223">
        <f ca="1">+INDIRECT("[EMPINFO.xlsm]"&amp;$O$2&amp;"!t15")</f>
        <v>0</v>
      </c>
      <c r="AP15" s="226">
        <f ca="1">+INDIRECT("[EMPINFO.xlsm]"&amp;$O$2&amp;"!o15")</f>
        <v>0</v>
      </c>
      <c r="AQ15" s="840">
        <f ca="1">+INDIRECT("[EMPINFO.xlsm]"&amp;$O$2&amp;"!p15")</f>
        <v>-400</v>
      </c>
      <c r="AR15" s="226">
        <f ca="1">+INDIRECT("[EMPINFO.xlsm]"&amp;$O$2&amp;"!j15")</f>
        <v>0</v>
      </c>
      <c r="AS15" s="840">
        <f ca="1">+INDIRECT("[EMPINFO.xlsm]"&amp;$O$2&amp;"!k15")</f>
        <v>270.36559139784947</v>
      </c>
      <c r="AT15" s="226">
        <f ca="1">+INDIRECT("[EMPINFO.xlsm]"&amp;$O$2&amp;"!m15")</f>
        <v>0</v>
      </c>
      <c r="AU15" s="844">
        <f ca="1">+INDIRECT("[EMPINFO.xlsm]"&amp;$O$2&amp;"!n15")</f>
        <v>49.677419354838712</v>
      </c>
      <c r="AV15" s="244">
        <f t="shared" si="22"/>
        <v>130</v>
      </c>
      <c r="AW15" s="244">
        <f t="shared" si="23"/>
        <v>200</v>
      </c>
      <c r="AX15" s="838">
        <f ca="1">+INDIRECT("[EMPINFO.xlsm]"&amp;$O$2&amp;"!u15")</f>
        <v>31</v>
      </c>
      <c r="AY15" s="215">
        <f ca="1">+INDIRECT("[EMPINFO.xlsm]"&amp;$O$2&amp;"!v15")</f>
        <v>0</v>
      </c>
      <c r="AZ15" s="797" t="str">
        <f ca="1">+INDIRECT("[EMPINFO.xlsm]"&amp;$O$2&amp;"!x15")</f>
        <v>INACTIVE</v>
      </c>
      <c r="BA15" s="844">
        <f ca="1">+INDIRECT("[EMPINFO.xlsm]"&amp;$O$2&amp;"!w15")</f>
        <v>0</v>
      </c>
      <c r="BB15" s="288">
        <f t="shared" ca="1" si="18"/>
        <v>0</v>
      </c>
      <c r="BC15" s="289">
        <f t="shared" ca="1" si="19"/>
        <v>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239</v>
      </c>
      <c r="N16" s="212"/>
      <c r="O16" s="214" t="s">
        <v>149</v>
      </c>
      <c r="P16" s="279">
        <f ca="1">+INDIRECT("[EMPINFO.xlsm]"&amp;$O$2&amp;"!G16")</f>
        <v>10</v>
      </c>
      <c r="Q16" s="222"/>
      <c r="R16" s="209"/>
      <c r="S16" s="217">
        <f t="shared" ref="S16:AA16" ca="1" si="24">SUM(S4:S15)</f>
        <v>4555.5187096774162</v>
      </c>
      <c r="T16" s="221">
        <f t="shared" ca="1" si="24"/>
        <v>0</v>
      </c>
      <c r="U16" s="217">
        <f t="shared" ca="1" si="24"/>
        <v>0</v>
      </c>
      <c r="V16" s="221">
        <f t="shared" ca="1" si="24"/>
        <v>0</v>
      </c>
      <c r="W16" s="217">
        <f t="shared" ca="1" si="24"/>
        <v>110.50857142857143</v>
      </c>
      <c r="X16" s="217">
        <f t="shared" ca="1" si="24"/>
        <v>1560</v>
      </c>
      <c r="Y16" s="804">
        <f t="shared" ca="1" si="24"/>
        <v>2400</v>
      </c>
      <c r="Z16" s="217">
        <f t="shared" ca="1" si="24"/>
        <v>8626.0272811059876</v>
      </c>
      <c r="AA16" s="804">
        <f t="shared" ca="1" si="24"/>
        <v>563</v>
      </c>
      <c r="AB16" s="217">
        <f ca="1">+INDIRECT("[EMPINFO.xlsm]"&amp;$O$2&amp;"!S16")</f>
        <v>0</v>
      </c>
      <c r="AC16" s="221" t="s">
        <v>150</v>
      </c>
      <c r="AD16" s="217">
        <f ca="1">SUM(AD4:AD15)</f>
        <v>0</v>
      </c>
      <c r="AE16" s="221">
        <f ca="1">SUM(AE4:AE15)</f>
        <v>0</v>
      </c>
      <c r="AF16" s="217">
        <f ca="1">SUM(AF4:AF15)</f>
        <v>563</v>
      </c>
      <c r="AG16" s="221"/>
      <c r="AH16" s="217">
        <f ca="1">SUM(AH4:AH15)</f>
        <v>423.25</v>
      </c>
      <c r="AI16" s="803">
        <f ca="1">SUM(AI4:AI15)</f>
        <v>423.25</v>
      </c>
      <c r="AJ16" s="217">
        <f t="shared" ca="1" si="14"/>
        <v>846.5</v>
      </c>
      <c r="AK16" s="835">
        <f ca="1">SUM(AK4:AK15)</f>
        <v>12.7</v>
      </c>
      <c r="AL16" s="217">
        <f ca="1">+SUM(AL4:AL15)</f>
        <v>9061.9772811059884</v>
      </c>
      <c r="AM16" s="298"/>
      <c r="AN16" s="297"/>
      <c r="AO16" s="224">
        <f ca="1">+INDIRECT("[EMPINFO.xlsm]"&amp;$O$2&amp;"!T16")</f>
        <v>74</v>
      </c>
      <c r="AP16" s="299">
        <f>+[1]RGaldes!O16</f>
        <v>0</v>
      </c>
      <c r="AQ16" s="841">
        <f ca="1">+INDIRECT("[EMPINFO.xlsm]"&amp;$O$2&amp;"!p16")</f>
        <v>-400</v>
      </c>
      <c r="AR16" s="299"/>
      <c r="AS16" s="841">
        <f ca="1">+INDIRECT("[EMPINFO.xlsm]"&amp;$O$2&amp;"!k16")</f>
        <v>270.36559139784947</v>
      </c>
      <c r="AT16" s="299">
        <f ca="1">+INDIRECT("[EMPINFO.xlsm]"&amp;$O$2&amp;"!m16")</f>
        <v>0</v>
      </c>
      <c r="AU16" s="841">
        <f ca="1">+INDIRECT("[EMPINFO.xlsm]"&amp;$O$2&amp;"!n16")</f>
        <v>49.677419354838712</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8626</v>
      </c>
      <c r="I17" s="456"/>
      <c r="K17" s="317" t="s">
        <v>151</v>
      </c>
      <c r="L17" s="101"/>
      <c r="M17" s="256" t="s">
        <v>240</v>
      </c>
      <c r="N17" s="257" t="s">
        <v>152</v>
      </c>
      <c r="O17" s="258">
        <f ca="1">+Med_Tot</f>
        <v>8626.0272811059876</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-400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t="s">
        <v>630</v>
      </c>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Camilleri Michaela</v>
      </c>
      <c r="P19" s="374" t="str">
        <f>+IDCard</f>
        <v>333097M</v>
      </c>
      <c r="Q19" s="375" t="str">
        <f>+designation</f>
        <v>3. OFFICE Manager</v>
      </c>
      <c r="R19" s="376" t="s">
        <v>156</v>
      </c>
      <c r="S19" s="377">
        <f ca="1">+S20+S23+S22+S24+S25+S26+S21</f>
        <v>2164.0399999999991</v>
      </c>
      <c r="T19" s="378" t="str">
        <f>+FS4_Status</f>
        <v>SIN</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1834.0399999999988</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338.6</v>
      </c>
      <c r="U21" s="372">
        <f ca="1">INDEX(PYRL_Summary,MATCH(O21,months,0),22)</f>
        <v>169.3</v>
      </c>
      <c r="V21" s="373">
        <f ca="1">INDEX(PYRL_Summary,MATCH(O21,months,0),23)</f>
        <v>169.3</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5.08</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8626</v>
      </c>
      <c r="I23" s="466"/>
      <c r="J23" s="318" t="s">
        <v>169</v>
      </c>
      <c r="K23" s="916"/>
      <c r="L23" s="917"/>
      <c r="N23" s="420"/>
      <c r="O23" s="344">
        <f>+ID</f>
        <v>2020005</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257</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130</v>
      </c>
      <c r="Q25" s="99" t="str">
        <f ca="1">IF(INDEX(INDAT,MATCH(O21,(INDIRECT(("months"),TRUE)),0),5)&gt;=0.01, "Sup
 Bonus"," ")</f>
        <v>Sup
 Bonus</v>
      </c>
      <c r="R25" s="100">
        <f>IF((INDEX(PYRL_Summary,MATCH(O21,months,0),13)&gt;=0.01),(INDEX(PYRL_Summary,MATCH(O21,months,0),13)),0)</f>
        <v>200</v>
      </c>
      <c r="S25" s="102">
        <f>+P25+R25</f>
        <v>330</v>
      </c>
      <c r="T25" s="889" t="str">
        <f>+IBAN</f>
        <v>MT71VALL22013000000040021666399</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1737.7399999999991</v>
      </c>
      <c r="V26" s="418"/>
      <c r="X26" s="575"/>
    </row>
    <row r="27" spans="1:56" ht="24" customHeight="1" thickBot="1" x14ac:dyDescent="0.3">
      <c r="A27" s="54"/>
      <c r="B27" s="73" t="s">
        <v>52</v>
      </c>
      <c r="G27" s="73" t="s">
        <v>53</v>
      </c>
      <c r="H27" s="8">
        <f ca="1">IF(OR(Timer="PT", Timer="pt_casual"),0,AA16)</f>
        <v>563</v>
      </c>
      <c r="I27" s="319" t="s">
        <v>179</v>
      </c>
      <c r="J27" s="96"/>
      <c r="L27" s="322">
        <v>0</v>
      </c>
      <c r="N27" s="421" t="s">
        <v>180</v>
      </c>
      <c r="O27" s="360" t="s">
        <v>181</v>
      </c>
      <c r="P27" s="361">
        <f>+O21-1</f>
        <v>46022</v>
      </c>
      <c r="Q27" s="362"/>
      <c r="R27" s="363" t="s">
        <v>182</v>
      </c>
      <c r="S27" s="364">
        <f ca="1">(INDEX(PYRL_Summary,MATCH(P27,months,0),33))</f>
        <v>224</v>
      </c>
      <c r="T27" s="544">
        <f>IF(Y27=0, "DO NOT INPUT HERE. USE HIGHLIGHTED ",Y27)</f>
        <v>173403952</v>
      </c>
      <c r="U27" s="545"/>
      <c r="V27" s="546"/>
      <c r="W27" s="73" t="s">
        <v>183</v>
      </c>
      <c r="Y27" s="436">
        <v>173403952</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270.36559139784947</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Camilleri Michaela</v>
      </c>
      <c r="P29" s="394" t="str">
        <f>+IDCard</f>
        <v>333097M</v>
      </c>
      <c r="Q29" s="395" t="str">
        <f>+designation</f>
        <v>3. OFFICE Manager</v>
      </c>
      <c r="R29" s="396" t="s">
        <v>156</v>
      </c>
      <c r="S29" s="397">
        <f ca="1">+S30+S33+S32+S34+S35+S36+S31</f>
        <v>2164.0399999999991</v>
      </c>
      <c r="T29" s="431" t="str">
        <f>+FS4_Status</f>
        <v>SIN</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1834.0399999999988</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563</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338.6</v>
      </c>
      <c r="U31" s="358">
        <f ca="1">INDEX(PYRL_Summary,MATCH(O31,months,0),22)</f>
        <v>169.3</v>
      </c>
      <c r="V31" s="359">
        <f ca="1">INDEX(PYRL_Summary,MATCH(O31,months,0),23)</f>
        <v>169.3</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5.08</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2020005</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257</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130</v>
      </c>
      <c r="Q35" s="99" t="str">
        <f ca="1">IF(INDEX(INDAT,MATCH(O31,(INDIRECT(("months"),TRUE)),0),5)&gt;=0.01, "Sup
 Bonus"," ")</f>
        <v>Sup
 Bonus</v>
      </c>
      <c r="R35" s="100">
        <f ca="1">IF((INDEX(PYRL_Summary,MATCH(O31,months,0),13)&gt;=0.01),(INDEX(PYRL_Summary,MATCH(O31,months,0),13)),0)</f>
        <v>200</v>
      </c>
      <c r="S35" s="102">
        <f ca="1">+P35+R35</f>
        <v>330</v>
      </c>
      <c r="T35" s="889" t="str">
        <f>+IBAN</f>
        <v>MT71VALL22013000000040021666399</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1737.7399999999991</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174692885</v>
      </c>
      <c r="U37" s="545"/>
      <c r="V37" s="546"/>
      <c r="W37" s="73" t="s">
        <v>183</v>
      </c>
      <c r="Y37" s="574" t="s">
        <v>638</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-200</v>
      </c>
      <c r="R38" s="410" t="s">
        <v>188</v>
      </c>
      <c r="S38" s="411">
        <f ca="1">INDEX(PYRL_Summary,MATCH(O31,months,0),33)</f>
        <v>270.36559139784947</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Camilleri Michaela</v>
      </c>
      <c r="P39" s="374" t="str">
        <f>+IDCard</f>
        <v>333097M</v>
      </c>
      <c r="Q39" s="375" t="str">
        <f>+designation</f>
        <v>3. OFFICE Manager</v>
      </c>
      <c r="R39" s="376" t="s">
        <v>156</v>
      </c>
      <c r="S39" s="377">
        <f ca="1">+S40+S43+S42+S44+S45+S46+S41</f>
        <v>1327.9472811059902</v>
      </c>
      <c r="T39" s="378" t="str">
        <f>+FS4_Status</f>
        <v>SIN</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887.43870967741884</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169.3</v>
      </c>
      <c r="U41" s="372">
        <f ca="1">INDEX(PYRL_Summary,MATCH(O41,months,0),22)</f>
        <v>84.65</v>
      </c>
      <c r="V41" s="373">
        <f ca="1">INDEX(PYRL_Summary,MATCH(O41,months,0),23)</f>
        <v>84.65</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46096</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2.54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2020005</v>
      </c>
      <c r="P43" s="365" t="s">
        <v>172</v>
      </c>
      <c r="Q43" s="365"/>
      <c r="R43" s="366"/>
      <c r="S43" s="367">
        <f ca="1">INDEX(PYRL_Summary,MATCH(O41,months,0),11)</f>
        <v>110.50857142857143</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49</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130</v>
      </c>
      <c r="Q45" s="99" t="str">
        <f ca="1">IF(INDEX(INDAT,MATCH(O41,(INDIRECT(("months"),TRUE)),0),5)&gt;=0.01, "Sup
 Bonus"," ")</f>
        <v>Sup
 Bonus</v>
      </c>
      <c r="R45" s="100">
        <f ca="1">IF((INDEX(PYRL_Summary,MATCH(O41,months,0),13)&gt;=0.01),(INDEX(PYRL_Summary,MATCH(O41,months,0),13)),0)</f>
        <v>200</v>
      </c>
      <c r="S45" s="102">
        <f ca="1">+P45+R45</f>
        <v>330</v>
      </c>
      <c r="T45" s="889" t="str">
        <f>+IBAN</f>
        <v>MT71VALL22013000000040021666399</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1194.2972811059901</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2</v>
      </c>
      <c r="O48" s="389" t="s">
        <v>187</v>
      </c>
      <c r="P48" s="390">
        <f>+O31</f>
        <v>46054</v>
      </c>
      <c r="Q48" s="391">
        <f ca="1">INDEX(PYRL_Summary,MATCH(P48,months,0),31)</f>
        <v>-360</v>
      </c>
      <c r="R48" s="392" t="s">
        <v>188</v>
      </c>
      <c r="S48" s="393">
        <f ca="1">INDEX(PYRL_Summary,MATCH(O41,months,0),33)</f>
        <v>270.36559139784947</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0</v>
      </c>
      <c r="O49" s="908" t="str">
        <f>Surname&amp;" "&amp;Name</f>
        <v>Camilleri Michaela</v>
      </c>
      <c r="P49" s="394" t="str">
        <f>+IDCard</f>
        <v>333097M</v>
      </c>
      <c r="Q49" s="395" t="str">
        <f>+designation</f>
        <v>3. OFFICE Manager</v>
      </c>
      <c r="R49" s="396" t="s">
        <v>156</v>
      </c>
      <c r="S49" s="397">
        <f ca="1">+S50+S53+S52+S54+S55+S56+S51</f>
        <v>330</v>
      </c>
      <c r="T49" s="431" t="str">
        <f>+FS4_Status</f>
        <v>SIN</v>
      </c>
      <c r="U49" s="573" t="str">
        <f ca="1">INDEX(INDAT,MATCH(O51,(INDIRECT(("months"),TRUE)),0),26)</f>
        <v/>
      </c>
      <c r="V49" s="432">
        <f ca="1">INDEX(INDAT,MATCH(O51,(INDIRECT(("months"),TRUE)),0),25)</f>
        <v>0</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0</v>
      </c>
      <c r="R50" s="398" t="s">
        <v>94</v>
      </c>
      <c r="S50" s="399">
        <f ca="1">INDEX(PYRL_Summary,MATCH(O51,months,0),7)</f>
        <v>0</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46096</v>
      </c>
      <c r="J51" s="859"/>
      <c r="K51" s="857"/>
      <c r="L51" s="101"/>
      <c r="N51" s="405">
        <f>IF(TERMDATE&lt;O51,0,IF(StartEmp&lt;=O51,O51,(IF(AND(StartEmp&gt;=O51,StartEmp&lt;=O61),StartEmp,0))))</f>
        <v>0</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0</v>
      </c>
      <c r="U51" s="358">
        <f ca="1">INDEX(PYRL_Summary,MATCH(O51,months,0),22)</f>
        <v>0</v>
      </c>
      <c r="V51" s="359">
        <f ca="1">INDEX(PYRL_Summary,MATCH(O51,months,0),23)</f>
        <v>0</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0</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0</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2020005</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INDEX(PYRL_Summary,MATCH(O51,months,0),10)</f>
        <v>0</v>
      </c>
      <c r="T54" s="189" t="s">
        <v>176</v>
      </c>
      <c r="U54" s="190"/>
      <c r="V54" s="350">
        <f ca="1">INDEX(PYRL_Summary,MATCH(O51,months,0),15)</f>
        <v>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130</v>
      </c>
      <c r="Q55" s="99" t="str">
        <f ca="1">IF(INDEX(INDAT,MATCH(O51,(INDIRECT(("months"),TRUE)),0),5)&gt;=0.01, "Sup
 Bonus"," ")</f>
        <v xml:space="preserve"> </v>
      </c>
      <c r="R55" s="100">
        <f ca="1">IF((INDEX(PYRL_Summary,MATCH(O51,months,0),13)&gt;=0.01),(INDEX(PYRL_Summary,MATCH(O51,months,0),13)),0)</f>
        <v>200</v>
      </c>
      <c r="S55" s="102">
        <f ca="1">+P55+R55</f>
        <v>330</v>
      </c>
      <c r="T55" s="889" t="str">
        <f>+IBAN</f>
        <v>MT71VALL22013000000040021666399</v>
      </c>
      <c r="U55" s="890"/>
      <c r="V55" s="891"/>
    </row>
    <row r="56" spans="1:37" ht="16.5" customHeight="1" thickBot="1" x14ac:dyDescent="0.3">
      <c r="E56" s="116" t="s">
        <v>215</v>
      </c>
      <c r="F56" s="115" t="str">
        <f>INDEX([1]!empdata,MATCH(ID,[1]!empid,0),17)</f>
        <v>MT71VALL22013000000040021666399</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330</v>
      </c>
      <c r="V56" s="418"/>
    </row>
    <row r="57" spans="1:37" ht="26.25" customHeight="1" thickBot="1" x14ac:dyDescent="0.3">
      <c r="E57" s="116" t="s">
        <v>216</v>
      </c>
      <c r="F57" s="340" t="str">
        <f>INDEX([1]!empdata,MATCH(ID,[1]!empid,0),12)</f>
        <v>michaela.camilleri@gmail.com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35669</v>
      </c>
      <c r="G58" s="56"/>
      <c r="H58" s="63"/>
      <c r="N58" s="406">
        <f ca="1">INDEX(PYRL_Summary,MATCH(O51,months,0),4)</f>
        <v>0</v>
      </c>
      <c r="O58" s="407" t="s">
        <v>187</v>
      </c>
      <c r="P58" s="408">
        <f>+O41</f>
        <v>46082</v>
      </c>
      <c r="Q58" s="409">
        <f ca="1">INDEX(PYRL_Summary,MATCH(P58,months,0),31)</f>
        <v>-440</v>
      </c>
      <c r="R58" s="410" t="s">
        <v>188</v>
      </c>
      <c r="S58" s="411">
        <f ca="1">INDEX(PYRL_Summary,MATCH(O51,months,0),33)</f>
        <v>270.36559139784947</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44046</v>
      </c>
      <c r="G59" s="56"/>
      <c r="H59" s="63"/>
      <c r="N59" s="386">
        <f ca="1">IF(OR(INDEX(PYRL_Summary,MATCH(O61,months,0),28)="pt",INDEX(PYRL_Summary,MATCH(O61,months,0),28)="pt_casual"),0,IF(N62-N61&gt;=1,1,0))</f>
        <v>0</v>
      </c>
      <c r="O59" s="894" t="str">
        <f>Surname&amp;" "&amp;Name</f>
        <v>Camilleri Michaela</v>
      </c>
      <c r="P59" s="374" t="str">
        <f>+IDCard</f>
        <v>333097M</v>
      </c>
      <c r="Q59" s="375" t="str">
        <f>+designation</f>
        <v>3. OFFICE Manager</v>
      </c>
      <c r="R59" s="376" t="s">
        <v>156</v>
      </c>
      <c r="S59" s="377">
        <f ca="1">+S60+S63+S62+S64+S65+S66+S61</f>
        <v>330</v>
      </c>
      <c r="T59" s="378" t="str">
        <f>+FS4_Status</f>
        <v>SIN</v>
      </c>
      <c r="U59" s="572" t="str">
        <f ca="1">INDEX(INDAT,MATCH(O61,(INDIRECT(("months"),TRUE)),0),26)</f>
        <v/>
      </c>
      <c r="V59" s="379">
        <f ca="1">INDEX(INDAT,MATCH(O61,(INDIRECT(("months"),TRUE)),0),25)</f>
        <v>0</v>
      </c>
      <c r="W59" s="422">
        <f>+$O$8</f>
        <v>46143</v>
      </c>
      <c r="X59" s="423"/>
      <c r="Y59" s="423"/>
      <c r="Z59" s="73"/>
      <c r="AA59" s="73"/>
    </row>
    <row r="60" spans="1:37" ht="20.25" customHeight="1" thickBot="1" x14ac:dyDescent="0.3">
      <c r="E60" s="116" t="s">
        <v>219</v>
      </c>
      <c r="F60" s="115" t="str">
        <f>INDEX([1]!empdata,MATCH(ID,[1]!empid,0),8)</f>
        <v>3. OFFICE Manager</v>
      </c>
      <c r="G60" s="56"/>
      <c r="H60" s="63"/>
      <c r="N60" s="387">
        <f ca="1">IF(AND(OR((INDEX(PYRL_Summary,MATCH(O61,months,0),28))="PT",( INDEX(PYRL_Summary,MATCH(O61,months,0),28))="PT_casual" ),(N62-N61&gt;=1)),1,0)</f>
        <v>0</v>
      </c>
      <c r="O60" s="895"/>
      <c r="P60" s="416" t="s">
        <v>161</v>
      </c>
      <c r="Q60" s="380">
        <f ca="1">INDEX(PYRL_Summary,MATCH(O61,months,0),5)</f>
        <v>0</v>
      </c>
      <c r="R60" s="381" t="s">
        <v>94</v>
      </c>
      <c r="S60" s="382">
        <f ca="1">INDEX(PYRL_Summary,MATCH(O61,months,0),7)</f>
        <v>0</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0</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0</v>
      </c>
      <c r="U61" s="372">
        <f ca="1">INDEX(PYRL_Summary,MATCH(O61,months,0),22)</f>
        <v>0</v>
      </c>
      <c r="V61" s="373">
        <f ca="1">INDEX(PYRL_Summary,MATCH(O61,months,0),23)</f>
        <v>0</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0</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0</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46096</v>
      </c>
      <c r="G63" s="56"/>
      <c r="H63" s="63"/>
      <c r="N63" s="420"/>
      <c r="O63" s="344">
        <f>+ID</f>
        <v>2020005</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INDEX(PYRL_Summary,MATCH(O61,months,0),10)</f>
        <v>0</v>
      </c>
      <c r="T64" s="189" t="s">
        <v>176</v>
      </c>
      <c r="U64" s="190"/>
      <c r="V64" s="350">
        <f ca="1">INDEX(PYRL_Summary,MATCH(O61,months,0),15)</f>
        <v>0</v>
      </c>
      <c r="X64" s="577"/>
    </row>
    <row r="65" spans="5:37" ht="15.75" customHeight="1" thickBot="1" x14ac:dyDescent="0.3">
      <c r="E65" s="925" t="s">
        <v>224</v>
      </c>
      <c r="F65" s="926"/>
      <c r="G65" s="103">
        <f ca="1">+Med_Tot</f>
        <v>8626.0272811059876</v>
      </c>
      <c r="H65" s="113" t="s">
        <v>225</v>
      </c>
      <c r="N65" s="420"/>
      <c r="O65" s="345" t="str">
        <f ca="1">IF(INDEX(INDAT,MATCH(O61,(INDIRECT(("months"),TRUE)),0),4)&gt;=0.01, "Performance Bonus"," ")</f>
        <v>Performance Bonus</v>
      </c>
      <c r="P65" s="100">
        <f ca="1">IF((INDEX(PYRL_Summary,MATCH(O61,months,0),12)&gt;=0.01),(INDEX(PYRL_Summary,MATCH(O61,months,0),12)),0)</f>
        <v>130</v>
      </c>
      <c r="Q65" s="99" t="str">
        <f ca="1">IF(INDEX(INDAT,MATCH(O61,(INDIRECT(("months"),TRUE)),0),5)&gt;=0.01, "Sup
 Bonus"," ")</f>
        <v xml:space="preserve"> </v>
      </c>
      <c r="R65" s="100">
        <f ca="1">IF((INDEX(PYRL_Summary,MATCH(O61,months,0),13)&gt;=0.01),(INDEX(PYRL_Summary,MATCH(O61,months,0),13)),0)</f>
        <v>200</v>
      </c>
      <c r="S65" s="102">
        <f ca="1">+P65+R65</f>
        <v>330</v>
      </c>
      <c r="T65" s="889" t="str">
        <f>+IBAN</f>
        <v>MT71VALL22013000000040021666399</v>
      </c>
      <c r="U65" s="890"/>
      <c r="V65" s="891"/>
    </row>
    <row r="66" spans="5:37" ht="16.5" customHeight="1" thickBot="1" x14ac:dyDescent="0.3">
      <c r="E66" s="952" t="s">
        <v>226</v>
      </c>
      <c r="F66" s="953"/>
      <c r="G66" s="112">
        <f ca="1">+PREVFS3+Med_Tot</f>
        <v>8626.0272811059876</v>
      </c>
      <c r="H66" s="114">
        <f ca="1">IF(grossyearly&lt;F68,1,IF(grossyearly&lt;F69,2,IF(grossyearly&lt;F70,3,IF(grossyearly&lt;F71,4,5))))</f>
        <v>1</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330</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0</v>
      </c>
      <c r="O68" s="389" t="s">
        <v>187</v>
      </c>
      <c r="P68" s="390">
        <f>+O51</f>
        <v>46113</v>
      </c>
      <c r="Q68" s="391">
        <f ca="1">INDEX(PYRL_Summary,MATCH(P68,months,0),31)</f>
        <v>-440</v>
      </c>
      <c r="R68" s="392" t="s">
        <v>188</v>
      </c>
      <c r="S68" s="393">
        <f ca="1">INDEX(PYRL_Summary,MATCH(O61,months,0),33)</f>
        <v>270.36559139784947</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0</v>
      </c>
      <c r="O69" s="908" t="str">
        <f>Surname&amp;" "&amp;Name</f>
        <v>Camilleri Michaela</v>
      </c>
      <c r="P69" s="394" t="str">
        <f>+IDCard</f>
        <v>333097M</v>
      </c>
      <c r="Q69" s="395" t="str">
        <f>+designation</f>
        <v>3. OFFICE Manager</v>
      </c>
      <c r="R69" s="396" t="s">
        <v>156</v>
      </c>
      <c r="S69" s="397">
        <f ca="1">+S70+S73+S72+S74+S75+S76+S71</f>
        <v>330</v>
      </c>
      <c r="T69" s="431" t="str">
        <f>+FS4_Status</f>
        <v>SIN</v>
      </c>
      <c r="U69" s="573" t="str">
        <f ca="1">INDEX(INDAT,MATCH(O71,(INDIRECT(("months"),TRUE)),0),26)</f>
        <v/>
      </c>
      <c r="V69" s="432">
        <f ca="1">INDEX(INDAT,MATCH(O71,(INDIRECT(("months"),TRUE)),0),25)</f>
        <v>0</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0</v>
      </c>
      <c r="R70" s="398" t="s">
        <v>94</v>
      </c>
      <c r="S70" s="399">
        <f ca="1">INDEX(PYRL_Summary,MATCH(O71,months,0),7)</f>
        <v>0</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0</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0</v>
      </c>
      <c r="U71" s="358">
        <f ca="1">INDEX(PYRL_Summary,MATCH(O71,months,0),22)</f>
        <v>0</v>
      </c>
      <c r="V71" s="359">
        <f ca="1">INDEX(PYRL_Summary,MATCH(O71,months,0),23)</f>
        <v>0</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0</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0</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2020005</v>
      </c>
      <c r="P73" s="195" t="s">
        <v>172</v>
      </c>
      <c r="Q73" s="195"/>
      <c r="R73" s="194"/>
      <c r="S73" s="193">
        <f ca="1">INDEX(PYRL_Summary,MATCH(O71,months,0),11)</f>
        <v>0</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INDEX(PYRL_Summary,MATCH(O71,months,0),10)</f>
        <v>0</v>
      </c>
      <c r="T74" s="189" t="s">
        <v>176</v>
      </c>
      <c r="U74" s="190"/>
      <c r="V74" s="350">
        <f ca="1">INDEX(PYRL_Summary,MATCH(O71,months,0),15)</f>
        <v>0</v>
      </c>
      <c r="X74" s="577"/>
    </row>
    <row r="75" spans="5:37" ht="15.75" customHeight="1" thickBot="1" x14ac:dyDescent="0.3">
      <c r="E75" s="293"/>
      <c r="F75" s="294" t="s">
        <v>130</v>
      </c>
      <c r="G75" s="295">
        <f ca="1">IF(AND(Timer="pt",grossyearly&lt;10000),+ptrate,IF(grossyearly&lt;$F$68,$G$68,IF(grossyearly&lt;$F$69,$G$69,IF(grossyearly&lt;$F$70,$G$70,IF(grossyearly&lt;$F$71,$G$71,$G$72)))))</f>
        <v>0</v>
      </c>
      <c r="H75" s="296">
        <f ca="1">IF(grossyearly&lt;$F$68,$H$68,IF(grossyearly&lt;$F$69,$H$69,IF(grossyearly&lt;$F$70,$H$70,IF(grossyearly&lt;$F$71,$H$71,$H$72))))</f>
        <v>0</v>
      </c>
      <c r="N75" s="404"/>
      <c r="O75" s="345" t="str">
        <f ca="1">IF(INDEX(INDAT,MATCH(O71,(INDIRECT(("months"),TRUE)),0),4)&gt;=0.01, "Performance Bonus"," ")</f>
        <v>Performance Bonus</v>
      </c>
      <c r="P75" s="100">
        <f ca="1">IF((INDEX(PYRL_Summary,MATCH(O71,months,0),12)&gt;=0.01),(INDEX(PYRL_Summary,MATCH(O71,months,0),12)),0)</f>
        <v>130</v>
      </c>
      <c r="Q75" s="99" t="str">
        <f ca="1">IF(INDEX(INDAT,MATCH(O71,(INDIRECT(("months"),TRUE)),0),5)&gt;=0.01, "Sup
 Bonus"," ")</f>
        <v xml:space="preserve"> </v>
      </c>
      <c r="R75" s="100">
        <f ca="1">IF((INDEX(PYRL_Summary,MATCH(O71,months,0),13)&gt;=0.01),(INDEX(PYRL_Summary,MATCH(O71,months,0),13)),0)</f>
        <v>200</v>
      </c>
      <c r="S75" s="102">
        <f ca="1">+P75+R75</f>
        <v>330</v>
      </c>
      <c r="T75" s="889" t="str">
        <f>+IBAN</f>
        <v>MT71VALL22013000000040021666399</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330</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0</v>
      </c>
      <c r="O78" s="407" t="s">
        <v>187</v>
      </c>
      <c r="P78" s="408">
        <f>+O61</f>
        <v>46143</v>
      </c>
      <c r="Q78" s="409">
        <f ca="1">INDEX(PYRL_Summary,MATCH(P78,months,0),31)</f>
        <v>-440</v>
      </c>
      <c r="R78" s="410" t="s">
        <v>188</v>
      </c>
      <c r="S78" s="411">
        <f ca="1">INDEX(PYRL_Summary,MATCH(O71,months,0),33)</f>
        <v>270.36559139784947</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0</v>
      </c>
      <c r="O79" s="894" t="str">
        <f>Surname&amp;" "&amp;Name</f>
        <v>Camilleri Michaela</v>
      </c>
      <c r="P79" s="374" t="str">
        <f>+IDCard</f>
        <v>333097M</v>
      </c>
      <c r="Q79" s="375" t="str">
        <f>+designation</f>
        <v>3. OFFICE Manager</v>
      </c>
      <c r="R79" s="376" t="s">
        <v>156</v>
      </c>
      <c r="S79" s="377">
        <f ca="1">+S80+S83+S82+S84+S85+S86+S81</f>
        <v>330</v>
      </c>
      <c r="T79" s="378" t="str">
        <f>+FS4_Status</f>
        <v>SIN</v>
      </c>
      <c r="U79" s="572" t="str">
        <f ca="1">INDEX(INDAT,MATCH(O81,(INDIRECT(("months"),TRUE)),0),26)</f>
        <v/>
      </c>
      <c r="V79" s="379">
        <f ca="1">INDEX(INDAT,MATCH(O81,(INDIRECT(("months"),TRUE)),0),25)</f>
        <v>0</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0</v>
      </c>
      <c r="R80" s="381" t="s">
        <v>94</v>
      </c>
      <c r="S80" s="382">
        <f ca="1">INDEX(PYRL_Summary,MATCH(O81,months,0),7)</f>
        <v>0</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0</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0</v>
      </c>
      <c r="U81" s="372">
        <f ca="1">INDEX(PYRL_Summary,MATCH(O81,months,0),22)</f>
        <v>0</v>
      </c>
      <c r="V81" s="373">
        <f ca="1">INDEX(PYRL_Summary,MATCH(O81,months,0),23)</f>
        <v>0</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0</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0</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2020005</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INDEX(PYRL_Summary,MATCH(O81,months,0),10)</f>
        <v>0</v>
      </c>
      <c r="T84" s="189" t="s">
        <v>176</v>
      </c>
      <c r="U84" s="190"/>
      <c r="V84" s="350">
        <f ca="1">INDEX(PYRL_Summary,MATCH(O81,months,0),15)</f>
        <v>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130</v>
      </c>
      <c r="Q85" s="99" t="str">
        <f ca="1">IF(INDEX(INDAT,MATCH(O81,(INDIRECT(("months"),TRUE)),0),5)&gt;=0.01, "Sup
 Bonus"," ")</f>
        <v xml:space="preserve"> </v>
      </c>
      <c r="R85" s="100">
        <f ca="1">IF((INDEX(PYRL_Summary,MATCH(O81,months,0),13)&gt;=0.01),(INDEX(PYRL_Summary,MATCH(O81,months,0),13)),0)</f>
        <v>200</v>
      </c>
      <c r="S85" s="102">
        <f ca="1">+P85+R85</f>
        <v>330</v>
      </c>
      <c r="T85" s="889" t="str">
        <f>+IBAN</f>
        <v>MT71VALL22013000000040021666399</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330</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0</v>
      </c>
      <c r="O88" s="389" t="s">
        <v>187</v>
      </c>
      <c r="P88" s="390">
        <f>+X82</f>
        <v>0</v>
      </c>
      <c r="Q88" s="391" t="e">
        <f ca="1">INDEX(PYRL_Summary,MATCH(P88,months,0),31)</f>
        <v>#N/A</v>
      </c>
      <c r="R88" s="392" t="s">
        <v>188</v>
      </c>
      <c r="S88" s="393">
        <f ca="1">INDEX(PYRL_Summary,MATCH(O81,months,0),33)</f>
        <v>270.36559139784947</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0</v>
      </c>
      <c r="O89" s="908" t="str">
        <f>Surname&amp;" "&amp;Name</f>
        <v>Camilleri Michaela</v>
      </c>
      <c r="P89" s="394" t="str">
        <f>+IDCard</f>
        <v>333097M</v>
      </c>
      <c r="Q89" s="395" t="str">
        <f>+designation</f>
        <v>3. OFFICE Manager</v>
      </c>
      <c r="R89" s="396" t="s">
        <v>156</v>
      </c>
      <c r="S89" s="397">
        <f ca="1">+S90+S93+S92+S94+S95+S96+S91</f>
        <v>330</v>
      </c>
      <c r="T89" s="431" t="str">
        <f>+FS4_Status</f>
        <v>SIN</v>
      </c>
      <c r="U89" s="573" t="str">
        <f ca="1">INDEX(INDAT,MATCH(O91,(INDIRECT(("months"),TRUE)),0),26)</f>
        <v/>
      </c>
      <c r="V89" s="432">
        <f ca="1">INDEX(INDAT,MATCH(O91,(INDIRECT(("months"),TRUE)),0),25)</f>
        <v>0</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0</v>
      </c>
      <c r="R90" s="398" t="s">
        <v>94</v>
      </c>
      <c r="S90" s="399">
        <f ca="1">INDEX(PYRL_Summary,MATCH(O91,months,0),7)</f>
        <v>0</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0</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0</v>
      </c>
      <c r="U91" s="358">
        <f ca="1">INDEX(PYRL_Summary,MATCH(O91,months,0),22)</f>
        <v>0</v>
      </c>
      <c r="V91" s="359">
        <f ca="1">INDEX(PYRL_Summary,MATCH(O91,months,0),23)</f>
        <v>0</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0</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0</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2020005</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INDEX(PYRL_Summary,MATCH(O91,months,0),10)</f>
        <v>0</v>
      </c>
      <c r="T94" s="189" t="s">
        <v>176</v>
      </c>
      <c r="U94" s="190"/>
      <c r="V94" s="350">
        <f ca="1">INDEX(PYRL_Summary,MATCH(O91,months,0),15)</f>
        <v>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130</v>
      </c>
      <c r="Q95" s="99" t="str">
        <f ca="1">IF(INDEX(INDAT,MATCH(O91,(INDIRECT(("months"),TRUE)),0),5)&gt;=0.01, "Sup
 Bonus"," ")</f>
        <v xml:space="preserve"> </v>
      </c>
      <c r="R95" s="100">
        <f ca="1">IF((INDEX(PYRL_Summary,MATCH(O91,months,0),13)&gt;=0.01),(INDEX(PYRL_Summary,MATCH(O91,months,0),13)),0)</f>
        <v>200</v>
      </c>
      <c r="S95" s="102">
        <f ca="1">+P95+R95</f>
        <v>330</v>
      </c>
      <c r="T95" s="889" t="str">
        <f>+IBAN</f>
        <v>MT71VALL22013000000040021666399</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330</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0</v>
      </c>
      <c r="O98" s="407" t="s">
        <v>187</v>
      </c>
      <c r="P98" s="408">
        <f>+O81</f>
        <v>46204</v>
      </c>
      <c r="Q98" s="409">
        <f ca="1">INDEX(PYRL_Summary,MATCH(P98,months,0),31)</f>
        <v>-440</v>
      </c>
      <c r="R98" s="410" t="s">
        <v>188</v>
      </c>
      <c r="S98" s="411">
        <f ca="1">INDEX(PYRL_Summary,MATCH(O91,months,0),33)</f>
        <v>270.36559139784947</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0</v>
      </c>
      <c r="O99" s="894" t="str">
        <f>Surname&amp;" "&amp;Name</f>
        <v>Camilleri Michaela</v>
      </c>
      <c r="P99" s="374" t="str">
        <f>+IDCard</f>
        <v>333097M</v>
      </c>
      <c r="Q99" s="375" t="str">
        <f>+designation</f>
        <v>3. OFFICE Manager</v>
      </c>
      <c r="R99" s="376" t="s">
        <v>156</v>
      </c>
      <c r="S99" s="377">
        <f ca="1">+S100+S103+S102+S104+S105+S106+S101</f>
        <v>330</v>
      </c>
      <c r="T99" s="378" t="str">
        <f>+FS4_Status</f>
        <v>SIN</v>
      </c>
      <c r="U99" s="572" t="str">
        <f ca="1">INDEX(INDAT,MATCH(O101,(INDIRECT(("months"),TRUE)),0),26)</f>
        <v/>
      </c>
      <c r="V99" s="379">
        <f ca="1">INDEX(INDAT,MATCH(O101,(INDIRECT(("months"),TRUE)),0),25)</f>
        <v>0</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0</v>
      </c>
      <c r="R100" s="381" t="s">
        <v>94</v>
      </c>
      <c r="S100" s="382">
        <f ca="1">INDEX(PYRL_Summary,MATCH(O101,months,0),7)</f>
        <v>0</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0</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0</v>
      </c>
      <c r="U101" s="372">
        <f ca="1">INDEX(PYRL_Summary,MATCH(O101,months,0),22)</f>
        <v>0</v>
      </c>
      <c r="V101" s="373">
        <f ca="1">INDEX(PYRL_Summary,MATCH(O101,months,0),23)</f>
        <v>0</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0</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0</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2020005</v>
      </c>
      <c r="P103" s="365" t="s">
        <v>172</v>
      </c>
      <c r="Q103" s="365"/>
      <c r="R103" s="366"/>
      <c r="S103" s="367">
        <f ca="1">INDEX(PYRL_Summary,MATCH(O101,months,0),11)</f>
        <v>0</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INDEX(PYRL_Summary,MATCH(O101,months,0),10)</f>
        <v>0</v>
      </c>
      <c r="T104" s="189" t="s">
        <v>176</v>
      </c>
      <c r="U104" s="190"/>
      <c r="V104" s="350">
        <f ca="1">INDEX(PYRL_Summary,MATCH(O101,months,0),15)</f>
        <v>0</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130</v>
      </c>
      <c r="Q105" s="99" t="str">
        <f ca="1">IF(INDEX(INDAT,MATCH(O101,(INDIRECT(("months"),TRUE)),0),5)&gt;=0.01, "Sup
 Bonus"," ")</f>
        <v xml:space="preserve"> </v>
      </c>
      <c r="R105" s="100">
        <f ca="1">IF((INDEX(PYRL_Summary,MATCH(O101,months,0),13)&gt;=0.01),(INDEX(PYRL_Summary,MATCH(O101,months,0),13)),0)</f>
        <v>200</v>
      </c>
      <c r="S105" s="102">
        <f ca="1">+P105+R105</f>
        <v>330</v>
      </c>
      <c r="T105" s="889" t="str">
        <f>+IBAN</f>
        <v>MT71VALL22013000000040021666399</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330</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0</v>
      </c>
      <c r="O108" s="389" t="s">
        <v>187</v>
      </c>
      <c r="P108" s="390">
        <f>+O91</f>
        <v>46235</v>
      </c>
      <c r="Q108" s="391">
        <f ca="1">INDEX(PYRL_Summary,MATCH(P108,months,0),31)</f>
        <v>-400</v>
      </c>
      <c r="R108" s="392" t="s">
        <v>188</v>
      </c>
      <c r="S108" s="393">
        <f ca="1">INDEX(PYRL_Summary,MATCH(O101,months,0),33)</f>
        <v>270.36559139784947</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0</v>
      </c>
      <c r="O109" s="908" t="str">
        <f>Surname&amp;" "&amp;Name</f>
        <v>Camilleri Michaela</v>
      </c>
      <c r="P109" s="394" t="str">
        <f>+IDCard</f>
        <v>333097M</v>
      </c>
      <c r="Q109" s="395" t="str">
        <f>+designation</f>
        <v>3. OFFICE Manager</v>
      </c>
      <c r="R109" s="396" t="s">
        <v>156</v>
      </c>
      <c r="S109" s="397">
        <f ca="1">+S110+S113+S112+S114+S115+S116+S111</f>
        <v>330</v>
      </c>
      <c r="T109" s="431" t="str">
        <f>+FS4_Status</f>
        <v>SIN</v>
      </c>
      <c r="U109" s="573" t="str">
        <f ca="1">INDEX(INDAT,MATCH(W109,(INDIRECT(("months"),TRUE)),0),26)</f>
        <v/>
      </c>
      <c r="V109" s="432">
        <f ca="1">INDEX(INDAT,MATCH(W109,(INDIRECT(("months"),TRUE)),0),25)</f>
        <v>0</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0</v>
      </c>
      <c r="R110" s="398" t="s">
        <v>94</v>
      </c>
      <c r="S110" s="399">
        <f ca="1">INDEX(PYRL_Summary,MATCH(W109,months,0),7)</f>
        <v>0</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0</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0</v>
      </c>
      <c r="U111" s="358">
        <f ca="1">INDEX(PYRL_Summary,MATCH(W109,months,0),22)</f>
        <v>0</v>
      </c>
      <c r="V111" s="359">
        <f ca="1">INDEX(PYRL_Summary,MATCH(W109,months,0),23)</f>
        <v>0</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0</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0</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2020005</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INDEX(PYRL_Summary,MATCH(W109,months,0),10)</f>
        <v>0</v>
      </c>
      <c r="T114" s="189" t="s">
        <v>176</v>
      </c>
      <c r="U114" s="190"/>
      <c r="V114" s="350">
        <f ca="1">INDEX(PYRL_Summary,MATCH(W109,months,0),15)</f>
        <v>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130</v>
      </c>
      <c r="Q115" s="99" t="str">
        <f ca="1">IF(INDEX(INDAT,MATCH(W109,(INDIRECT(("months"),TRUE)),0),5)&gt;=0.01, "Sup
 Bonus"," ")</f>
        <v xml:space="preserve"> </v>
      </c>
      <c r="R115" s="100">
        <f ca="1">IF((INDEX(PYRL_Summary,MATCH(W109,months,0),13)&gt;=0.01),(INDEX(PYRL_Summary,MATCH(W109,months,0),13)),0)</f>
        <v>200</v>
      </c>
      <c r="S115" s="102">
        <f ca="1">+P115+R115</f>
        <v>330</v>
      </c>
      <c r="T115" s="889" t="str">
        <f>+IBAN</f>
        <v>MT71VALL22013000000040021666399</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330</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0</v>
      </c>
      <c r="O118" s="407" t="s">
        <v>187</v>
      </c>
      <c r="P118" s="408">
        <f>+O101</f>
        <v>46266</v>
      </c>
      <c r="Q118" s="409">
        <f ca="1">INDEX(PYRL_Summary,MATCH(P118,months,0),31)</f>
        <v>-400</v>
      </c>
      <c r="R118" s="410" t="s">
        <v>188</v>
      </c>
      <c r="S118" s="411">
        <f ca="1">INDEX(PYRL_Summary,MATCH(W109,months,0),33)</f>
        <v>270.36559139784947</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0</v>
      </c>
      <c r="O119" s="894" t="str">
        <f>Surname&amp;" "&amp;Name</f>
        <v>Camilleri Michaela</v>
      </c>
      <c r="P119" s="374" t="str">
        <f>+IDCard</f>
        <v>333097M</v>
      </c>
      <c r="Q119" s="375" t="str">
        <f>+designation</f>
        <v>3. OFFICE Manager</v>
      </c>
      <c r="R119" s="376" t="s">
        <v>156</v>
      </c>
      <c r="S119" s="377">
        <f ca="1">+S120+S123+S122+S124+S125+S126+S121</f>
        <v>330</v>
      </c>
      <c r="T119" s="378" t="str">
        <f>+FS4_Status</f>
        <v>SIN</v>
      </c>
      <c r="U119" s="572" t="str">
        <f ca="1">INDEX(INDAT,MATCH(W119,(INDIRECT(("months"),TRUE)),0),26)</f>
        <v/>
      </c>
      <c r="V119" s="379">
        <f ca="1">INDEX(INDAT,MATCH(W119,(INDIRECT(("months"),TRUE)),0),25)</f>
        <v>0</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0</v>
      </c>
      <c r="R120" s="381" t="s">
        <v>94</v>
      </c>
      <c r="S120" s="382">
        <f ca="1">INDEX(PYRL_Summary,MATCH(W119,months,0),7)</f>
        <v>0</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0</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0</v>
      </c>
      <c r="U121" s="372">
        <f ca="1">INDEX(PYRL_Summary,MATCH(W119,months,0),22)</f>
        <v>0</v>
      </c>
      <c r="V121" s="373">
        <f ca="1">INDEX(PYRL_Summary,MATCH(W119,months,0),23)</f>
        <v>0</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0</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0</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2020005</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INDEX(PYRL_Summary,MATCH(W119,months,0),10)</f>
        <v>0</v>
      </c>
      <c r="T124" s="189" t="s">
        <v>176</v>
      </c>
      <c r="U124" s="190"/>
      <c r="V124" s="350">
        <f ca="1">INDEX(PYRL_Summary,MATCH(W119,months,0),15)</f>
        <v>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130</v>
      </c>
      <c r="Q125" s="99" t="str">
        <f ca="1">IF(INDEX(INDAT,MATCH(W119,(INDIRECT(("months"),TRUE)),0),5)&gt;=0.01, "Sup
 Bonus"," ")</f>
        <v xml:space="preserve"> </v>
      </c>
      <c r="R125" s="100">
        <f ca="1">IF((INDEX(PYRL_Summary,MATCH(W119,months,0),13)&gt;=0.01),(INDEX(PYRL_Summary,MATCH(W119,months,0),13)),0)</f>
        <v>200</v>
      </c>
      <c r="S125" s="102">
        <f ca="1">+P125+R125</f>
        <v>330</v>
      </c>
      <c r="T125" s="889" t="str">
        <f>+IBAN</f>
        <v>MT71VALL22013000000040021666399</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330</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0</v>
      </c>
      <c r="O128" s="389" t="s">
        <v>187</v>
      </c>
      <c r="P128" s="390">
        <f>+W109</f>
        <v>46296</v>
      </c>
      <c r="Q128" s="391">
        <f ca="1">INDEX(PYRL_Summary,MATCH(P128,months,0),31)</f>
        <v>-400</v>
      </c>
      <c r="R128" s="392" t="s">
        <v>188</v>
      </c>
      <c r="S128" s="393">
        <f ca="1">INDEX(PYRL_Summary,MATCH(W119,months,0),33)</f>
        <v>270.36559139784947</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0</v>
      </c>
      <c r="O129" s="908" t="str">
        <f>Surname&amp;" "&amp;Name</f>
        <v>Camilleri Michaela</v>
      </c>
      <c r="P129" s="394" t="str">
        <f>+IDCard</f>
        <v>333097M</v>
      </c>
      <c r="Q129" s="395" t="str">
        <f>+designation</f>
        <v>3. OFFICE Manager</v>
      </c>
      <c r="R129" s="396" t="s">
        <v>156</v>
      </c>
      <c r="S129" s="397">
        <f ca="1">+S130+S133+S132+S134+S135+S136+S131</f>
        <v>330</v>
      </c>
      <c r="T129" s="431" t="str">
        <f>+FS4_Status</f>
        <v>SIN</v>
      </c>
      <c r="U129" s="573" t="str">
        <f ca="1">INDEX(INDAT,MATCH(W129,(INDIRECT(("months"),TRUE)),0),26)</f>
        <v/>
      </c>
      <c r="V129" s="432">
        <f ca="1">INDEX(INDAT,MATCH(W129,(INDIRECT(("months"),TRUE)),0),25)</f>
        <v>0</v>
      </c>
      <c r="W129" s="412">
        <f>+$O$131</f>
        <v>46357</v>
      </c>
      <c r="X129" s="424"/>
      <c r="Y129" s="424"/>
      <c r="Z129" s="73"/>
      <c r="AA129" s="73"/>
    </row>
    <row r="130" spans="14:37" ht="20.25" customHeight="1" thickBot="1" x14ac:dyDescent="0.3">
      <c r="N130" s="404"/>
      <c r="O130" s="909"/>
      <c r="P130" s="415" t="s">
        <v>161</v>
      </c>
      <c r="Q130" s="414">
        <f ca="1">INDEX(PYRL_Summary,MATCH(W129,months,0),5)</f>
        <v>0</v>
      </c>
      <c r="R130" s="398" t="s">
        <v>94</v>
      </c>
      <c r="S130" s="399">
        <f ca="1">INDEX(PYRL_Summary,MATCH(W129,months,0),7)</f>
        <v>0</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0</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0</v>
      </c>
      <c r="U131" s="358">
        <f ca="1">INDEX(PYRL_Summary,MATCH(W129,months,0),22)</f>
        <v>0</v>
      </c>
      <c r="V131" s="359">
        <f ca="1">INDEX(PYRL_Summary,MATCH(W129,months,0),23)</f>
        <v>0</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0</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0</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2020005</v>
      </c>
      <c r="P133" s="195" t="s">
        <v>172</v>
      </c>
      <c r="Q133" s="195"/>
      <c r="R133" s="194"/>
      <c r="S133" s="193">
        <f ca="1">INDEX(PYRL_Summary,MATCH(W129,months,0),11)</f>
        <v>0</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INDEX(PYRL_Summary,MATCH(W129,months,0),10)</f>
        <v>0</v>
      </c>
      <c r="T134" s="189" t="s">
        <v>176</v>
      </c>
      <c r="U134" s="190"/>
      <c r="V134" s="350">
        <f ca="1">INDEX(PYRL_Summary,MATCH(W129,months,0),15)</f>
        <v>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130</v>
      </c>
      <c r="Q135" s="99" t="str">
        <f ca="1">IF(INDEX(INDAT,MATCH(W129,(INDIRECT(("months"),TRUE)),0),5)&gt;=0.01, "Sup
 Bonus"," ")</f>
        <v xml:space="preserve"> </v>
      </c>
      <c r="R135" s="100">
        <f ca="1">IF((INDEX(PYRL_Summary,MATCH(W129,months,0),13)&gt;=0.01),(INDEX(PYRL_Summary,MATCH(W129,months,0),13)),0)</f>
        <v>200</v>
      </c>
      <c r="S135" s="102">
        <f ca="1">+P135+R135</f>
        <v>330</v>
      </c>
      <c r="T135" s="889" t="str">
        <f>+IBAN</f>
        <v>MT71VALL22013000000040021666399</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330</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0</v>
      </c>
      <c r="O138" s="407" t="s">
        <v>187</v>
      </c>
      <c r="P138" s="408">
        <f>+W119</f>
        <v>46327</v>
      </c>
      <c r="Q138" s="409">
        <f ca="1">INDEX(PYRL_Summary,MATCH(P138,months,0),31)</f>
        <v>-400</v>
      </c>
      <c r="R138" s="410" t="s">
        <v>188</v>
      </c>
      <c r="S138" s="411">
        <f ca="1">INDEX(PYRL_Summary,MATCH(W129,months,0),33)</f>
        <v>270.36559139784947</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464" priority="29">
      <formula>$P25=0</formula>
    </cfRule>
  </conditionalFormatting>
  <conditionalFormatting sqref="Q25:R25">
    <cfRule type="expression" dxfId="463" priority="28">
      <formula>$R25=0</formula>
    </cfRule>
  </conditionalFormatting>
  <conditionalFormatting sqref="S25">
    <cfRule type="expression" dxfId="462" priority="27">
      <formula>$S25=0</formula>
    </cfRule>
  </conditionalFormatting>
  <conditionalFormatting sqref="S26">
    <cfRule type="expression" dxfId="461" priority="25">
      <formula>$S$46&gt;0.01</formula>
    </cfRule>
    <cfRule type="expression" dxfId="460" priority="26">
      <formula>$S$46=0</formula>
    </cfRule>
  </conditionalFormatting>
  <conditionalFormatting sqref="T23 T33 T43 T53 T63 T73 T83 T93 T103 T113 T123 T133">
    <cfRule type="expression" dxfId="459" priority="24" stopIfTrue="1">
      <formula>"$R$23=0"""</formula>
    </cfRule>
  </conditionalFormatting>
  <conditionalFormatting sqref="O26:Q26">
    <cfRule type="expression" dxfId="458" priority="23">
      <formula>$Q$26=0</formula>
    </cfRule>
  </conditionalFormatting>
  <conditionalFormatting sqref="V23">
    <cfRule type="expression" dxfId="457" priority="22">
      <formula>$V$23=0</formula>
    </cfRule>
  </conditionalFormatting>
  <conditionalFormatting sqref="O35:P35">
    <cfRule type="expression" dxfId="456" priority="21">
      <formula>$P35=0</formula>
    </cfRule>
  </conditionalFormatting>
  <conditionalFormatting sqref="Q35:R35">
    <cfRule type="expression" dxfId="455" priority="20">
      <formula>$R35=0</formula>
    </cfRule>
  </conditionalFormatting>
  <conditionalFormatting sqref="S35">
    <cfRule type="expression" dxfId="454" priority="19">
      <formula>$S35=0</formula>
    </cfRule>
  </conditionalFormatting>
  <conditionalFormatting sqref="S36">
    <cfRule type="expression" dxfId="453" priority="17">
      <formula>$S$46&gt;0.01</formula>
    </cfRule>
    <cfRule type="expression" dxfId="452" priority="18">
      <formula>$S$46=0</formula>
    </cfRule>
  </conditionalFormatting>
  <conditionalFormatting sqref="O36:Q36">
    <cfRule type="expression" dxfId="451" priority="16">
      <formula>$Q$26=0</formula>
    </cfRule>
  </conditionalFormatting>
  <conditionalFormatting sqref="V33">
    <cfRule type="expression" dxfId="450" priority="15">
      <formula>$V$23=0</formula>
    </cfRule>
  </conditionalFormatting>
  <conditionalFormatting sqref="O45:P45 O65:P65 O85:P85 O105:P105 O125:P125">
    <cfRule type="expression" dxfId="449" priority="14">
      <formula>$P45=0</formula>
    </cfRule>
  </conditionalFormatting>
  <conditionalFormatting sqref="Q45:R45 Q65:R65 Q85:R85 Q105:R105 Q125:R125">
    <cfRule type="expression" dxfId="448" priority="13">
      <formula>$R45=0</formula>
    </cfRule>
  </conditionalFormatting>
  <conditionalFormatting sqref="S45 S65 S85 S105 S125">
    <cfRule type="expression" dxfId="447" priority="12">
      <formula>$S45=0</formula>
    </cfRule>
  </conditionalFormatting>
  <conditionalFormatting sqref="S46 S66 S86 S106 S126">
    <cfRule type="expression" dxfId="446" priority="10">
      <formula>$S$46&gt;0.01</formula>
    </cfRule>
    <cfRule type="expression" dxfId="445" priority="11">
      <formula>$S$46=0</formula>
    </cfRule>
  </conditionalFormatting>
  <conditionalFormatting sqref="O46:Q46 O66:Q66 O86:Q86 O106:Q106 O126:Q126">
    <cfRule type="expression" dxfId="444" priority="9">
      <formula>$Q$26=0</formula>
    </cfRule>
  </conditionalFormatting>
  <conditionalFormatting sqref="V43 V63 V83 V103 V123">
    <cfRule type="expression" dxfId="443" priority="8">
      <formula>$V$23=0</formula>
    </cfRule>
  </conditionalFormatting>
  <conditionalFormatting sqref="O55:P55 O75:P75 O95:P95 O115:P115 O135:P135">
    <cfRule type="expression" dxfId="442" priority="7">
      <formula>$P55=0</formula>
    </cfRule>
  </conditionalFormatting>
  <conditionalFormatting sqref="Q55:R55 Q75:R75 Q95:R95 Q115:R115 Q135:R135">
    <cfRule type="expression" dxfId="441" priority="6">
      <formula>$R55=0</formula>
    </cfRule>
  </conditionalFormatting>
  <conditionalFormatting sqref="S55 S75 S95 S115 S135">
    <cfRule type="expression" dxfId="440" priority="5">
      <formula>$S55=0</formula>
    </cfRule>
  </conditionalFormatting>
  <conditionalFormatting sqref="S56 S76 S96 S116 S136">
    <cfRule type="expression" dxfId="439" priority="3">
      <formula>$S$46&gt;0.01</formula>
    </cfRule>
    <cfRule type="expression" dxfId="438" priority="4">
      <formula>$S$46=0</formula>
    </cfRule>
  </conditionalFormatting>
  <conditionalFormatting sqref="O56:Q56 O76:Q76 O96:Q96 O116:Q116 O136:Q136">
    <cfRule type="expression" dxfId="437" priority="2">
      <formula>$Q$26=0</formula>
    </cfRule>
  </conditionalFormatting>
  <conditionalFormatting sqref="V53 V73 V93 V113 V133">
    <cfRule type="expression" dxfId="436" priority="1">
      <formula>$V$23=0</formula>
    </cfRule>
  </conditionalFormatting>
  <hyperlinks>
    <hyperlink ref="F57" r:id="rId1" display="drchrisgauci@gmail.com" xr:uid="{00000000-0004-0000-09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4609"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4610"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4611"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4612"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4613"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4614"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4615"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4616"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4617"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4618"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4619"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4620"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4621"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7">
    <tabColor rgb="FF548235"/>
  </sheetPr>
  <dimension ref="A1:BJ149"/>
  <sheetViews>
    <sheetView topLeftCell="I16" workbookViewId="0">
      <selection activeCell="X36" sqref="X36"/>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LBonnici</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2018004</v>
      </c>
      <c r="O2" s="810" t="str">
        <f>CONCATENATE(LEFT(Name,1),Surname)</f>
        <v>LBonnici</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9.0500000000000007</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24.5</v>
      </c>
      <c r="AR3" s="792"/>
      <c r="AS3" s="251">
        <f ca="1">+INDIRECT("[EMPINFO.xlsm]"&amp;$O$2&amp;"!k3")</f>
        <v>0</v>
      </c>
      <c r="AT3" s="792"/>
      <c r="AU3" s="793"/>
      <c r="AV3" s="845">
        <v>120</v>
      </c>
      <c r="AW3" s="846">
        <v>180</v>
      </c>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10.911769230769233</v>
      </c>
      <c r="O4" s="213">
        <f>+DATA!A3</f>
        <v>46023</v>
      </c>
      <c r="P4" s="219">
        <f ca="1">+INDIRECT("[EMPINFO.xlsm]"&amp;$O$2&amp;"!G4")</f>
        <v>4</v>
      </c>
      <c r="Q4" s="215">
        <f ca="1">IF(AZ4="active",INDIRECT("[EMPINFO.xlsm]"&amp;$O$2&amp;"!H4"),0)</f>
        <v>40</v>
      </c>
      <c r="R4" s="239">
        <f ca="1">IF(AZ4&lt;&gt;"active",0,N3+COLA)</f>
        <v>9.1810000000000009</v>
      </c>
      <c r="S4" s="216">
        <f t="shared" ref="S4:S15" ca="1" si="1">+Q4*R4*4.33333333333333*AO4/AX4</f>
        <v>1591.3733333333323</v>
      </c>
      <c r="T4" s="220">
        <f t="shared" ref="T4:T15" ca="1" si="2">+BA4*R4</f>
        <v>0</v>
      </c>
      <c r="U4" s="218">
        <f t="shared" ref="U4:U15" ca="1" si="3">-AY4*R4</f>
        <v>0</v>
      </c>
      <c r="V4" s="220">
        <f ca="1">+janoth*janhrrt</f>
        <v>0</v>
      </c>
      <c r="W4" s="201"/>
      <c r="X4" s="218">
        <f t="shared" ref="X4:X15" si="4">IF((AT3=0),AV3,(AV3-(AV3/(Q3*P3)*AT3)))</f>
        <v>120</v>
      </c>
      <c r="Y4" s="803">
        <f t="shared" ref="Y4:Y15" si="5">IF((AT3=0),AW3,(AW3-(AW3/(Q3*P3)*AT3*1.5)))</f>
        <v>180</v>
      </c>
      <c r="Z4" s="218">
        <f t="shared" ref="Z4:Z15" ca="1" si="6">+SUM(S4:Y4)</f>
        <v>1891.3733333333323</v>
      </c>
      <c r="AA4" s="803">
        <f t="shared" ref="AA4:AA15" ca="1" si="7">IF(OR(AN4="PT",AN4="PT_Casual"),TRUNC((Z4*PT_Rate),0),(TRUNC((Z4*BB4)-(BC4/12),0)))</f>
        <v>52</v>
      </c>
      <c r="AB4" s="218">
        <f ca="1">+INDIRECT("[EMPINFO.xlsm]"&amp;$O$2&amp;"!s4")</f>
        <v>0</v>
      </c>
      <c r="AC4" s="292">
        <v>1.5</v>
      </c>
      <c r="AD4" s="218">
        <f t="shared" ref="AD4:AD15" ca="1" si="8">+AB4*(R4*AC4)</f>
        <v>0</v>
      </c>
      <c r="AE4" s="220">
        <f t="shared" ref="AE4:AE15" ca="1" si="9">+TRUNC((AD4*0.15),0)</f>
        <v>0</v>
      </c>
      <c r="AF4" s="218">
        <f t="shared" ref="AF4:AF15" ca="1" si="10">+AA4+AE4</f>
        <v>52</v>
      </c>
      <c r="AG4" s="803">
        <f t="shared" ref="AG4:AG15" ca="1" si="11">+R4*Q4</f>
        <v>367.24</v>
      </c>
      <c r="AH4" s="218">
        <f t="shared" ref="AH4:AH15" ca="1" si="12">ROUND(IF(AN4="",0,IF(OR(AN4="PT",AN4="PT_Casual"),0,IF(AM4="B",ROUND(SSCBemployermultiplier*P4,2),IF(AM4="c",SOCSECCRATE*AG4*P4,IF(AM4="D",ROUND(socsecrateD*P4,2)))))),2)</f>
        <v>146.9</v>
      </c>
      <c r="AI4" s="803">
        <f t="shared" ref="AI4:AI15" ca="1" si="13">ROUND(IF(AN4="",0,IF(OR(AN4="PT",AN4="PT_Casual"),0,IF(AM4="B",ROUND(SSCBemployermultiplier*P4,2),IF(AM4="c",SOCSECCRATE*AG4*P4,IF(AM4="D",ROUND(socsecrateD*P4,2)))))),2)</f>
        <v>146.9</v>
      </c>
      <c r="AJ4" s="218">
        <f t="shared" ref="AJ4:AJ16" ca="1" si="14">+AH4+AI4</f>
        <v>293.8</v>
      </c>
      <c r="AK4" s="803">
        <f t="shared" ref="AK4:AK15" ca="1" si="15">ROUND(IF(AN4="",0,IF(OR(AN4="PT",AN4="PT_Casual"),0,IF(AM4="B",SSCBmlfmultiplier*P4,IF(AM4="c",SSCCmlfmultiplier*P4*AG4,IF(AM4="D",SSCDmlfmultiplier*P4))))),2)</f>
        <v>4.41</v>
      </c>
      <c r="AL4" s="218">
        <f ca="1">+Z4+AH4+AK4</f>
        <v>2042.6833333333325</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0.24000000000000909</v>
      </c>
      <c r="AQ4" s="840">
        <f ca="1">+INDIRECT("[EMPINFO.xlsm]"&amp;$O$2&amp;"!p4")</f>
        <v>24.740000000000009</v>
      </c>
      <c r="AR4" s="226">
        <f ca="1">+INDIRECT("[EMPINFO.xlsm]"&amp;$O$2&amp;"!j4")</f>
        <v>45</v>
      </c>
      <c r="AS4" s="840">
        <f ca="1">+INDIRECT("[EMPINFO.xlsm]"&amp;$O$2&amp;"!k4")</f>
        <v>178.99999999999997</v>
      </c>
      <c r="AT4" s="226">
        <f ca="1">+INDIRECT("[EMPINFO.xlsm]"&amp;$O$2&amp;"!m4")</f>
        <v>0</v>
      </c>
      <c r="AU4" s="844">
        <f ca="1">+INDIRECT("[EMPINFO.xlsm]"&amp;$O$2&amp;"!n4")</f>
        <v>240</v>
      </c>
      <c r="AV4" s="244">
        <v>120</v>
      </c>
      <c r="AW4" s="244">
        <v>180</v>
      </c>
      <c r="AX4" s="840">
        <f ca="1">+INDIRECT("[EMPINFO.xlsm]"&amp;$O$2&amp;"!u4")</f>
        <v>31</v>
      </c>
      <c r="AY4" s="215">
        <f ca="1">+INDIRECT("[EMPINFO.xlsm]"&amp;$O$2&amp;"!v4")</f>
        <v>0</v>
      </c>
      <c r="AZ4" s="797" t="str">
        <f ca="1">+INDIRECT("[EMPINFO.xlsm]"&amp;$O$2&amp;"!x4")</f>
        <v>ACTIVE</v>
      </c>
      <c r="BA4" s="844">
        <f ca="1">+INDIRECT("[EMPINFO.xlsm]"&amp;$O$2&amp;"!w4")</f>
        <v>0</v>
      </c>
      <c r="BB4" s="288">
        <f t="shared" ref="BB4:BB15" ca="1" si="18">IF(AND(Timer="pt",(Z4*12)&lt;10000),+ptrate,IF((Z4*12)&lt;$F$68,$G$68,IF((Z4*12)&lt;$F$69,$G$69,IF((Z4*12)&lt;$F$70,$G$70,IF((Z4*12)&lt;$F$71,$G$71,$G$72)))))</f>
        <v>0.15</v>
      </c>
      <c r="BC4" s="289">
        <f t="shared" ref="BC4:BC15" ca="1" si="19">IF((Z4*12)&lt;$F$68,$H$68,IF((Z4*12)&lt;$F$69,$H$69,IF((Z4*12)&lt;$F$70,$H$70,IF((Z4*12)&lt;$F$71,$H$71,$H$72))))</f>
        <v>2775</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10.911769230769233</v>
      </c>
      <c r="O5" s="213">
        <f>+DATA!A4</f>
        <v>46054</v>
      </c>
      <c r="P5" s="219">
        <f ca="1">+INDIRECT("[EMPINFO.xlsm]"&amp;$O$2&amp;"!G5")</f>
        <v>4</v>
      </c>
      <c r="Q5" s="215">
        <f ca="1">IF(AZ5="active",INDIRECT("[EMPINFO.xlsm]"&amp;$O$2&amp;"!H5"),0)</f>
        <v>40</v>
      </c>
      <c r="R5" s="239">
        <f t="shared" ref="R5:R15" ca="1" si="20">+R4</f>
        <v>9.1810000000000009</v>
      </c>
      <c r="S5" s="216">
        <f t="shared" ca="1" si="1"/>
        <v>1591.3733333333323</v>
      </c>
      <c r="T5" s="220">
        <f t="shared" ca="1" si="2"/>
        <v>0</v>
      </c>
      <c r="U5" s="218">
        <f t="shared" ca="1" si="3"/>
        <v>0</v>
      </c>
      <c r="V5" s="220">
        <f ca="1">+feboth*febhrrt</f>
        <v>0</v>
      </c>
      <c r="W5" s="201"/>
      <c r="X5" s="218">
        <f t="shared" ca="1" si="4"/>
        <v>120</v>
      </c>
      <c r="Y5" s="803">
        <f t="shared" ca="1" si="5"/>
        <v>180</v>
      </c>
      <c r="Z5" s="218">
        <f t="shared" ca="1" si="6"/>
        <v>1891.3733333333323</v>
      </c>
      <c r="AA5" s="803">
        <f t="shared" ca="1" si="7"/>
        <v>52</v>
      </c>
      <c r="AB5" s="218">
        <f ca="1">+INDIRECT("[EMPINFO.xlsm]"&amp;$O$2&amp;"!s5")</f>
        <v>0</v>
      </c>
      <c r="AC5" s="292">
        <v>1.5</v>
      </c>
      <c r="AD5" s="218">
        <f t="shared" ca="1" si="8"/>
        <v>0</v>
      </c>
      <c r="AE5" s="220">
        <f t="shared" ca="1" si="9"/>
        <v>0</v>
      </c>
      <c r="AF5" s="218">
        <f t="shared" ca="1" si="10"/>
        <v>52</v>
      </c>
      <c r="AG5" s="803">
        <f t="shared" ca="1" si="11"/>
        <v>367.24</v>
      </c>
      <c r="AH5" s="218">
        <f t="shared" ca="1" si="12"/>
        <v>146.9</v>
      </c>
      <c r="AI5" s="803">
        <f t="shared" ca="1" si="13"/>
        <v>146.9</v>
      </c>
      <c r="AJ5" s="218">
        <f t="shared" ca="1" si="14"/>
        <v>293.8</v>
      </c>
      <c r="AK5" s="803">
        <f t="shared" ca="1" si="15"/>
        <v>4.41</v>
      </c>
      <c r="AL5" s="218">
        <f t="shared" ref="AL5:AL15" ca="1" si="21">+Z5+AI5+AK5</f>
        <v>2042.6833333333325</v>
      </c>
      <c r="AM5" s="290" t="str">
        <f t="shared" ca="1" si="16"/>
        <v>C</v>
      </c>
      <c r="AN5" s="291" t="str">
        <f t="shared" ca="1" si="17"/>
        <v>FT</v>
      </c>
      <c r="AO5" s="223">
        <f ca="1">+INDIRECT("[EMPINFO.xlsm]"&amp;$O$2&amp;"!t5")</f>
        <v>28</v>
      </c>
      <c r="AP5" s="226">
        <f ca="1">+INDIRECT("[EMPINFO.xlsm]"&amp;$O$2&amp;"!o5")</f>
        <v>0.80000000000001137</v>
      </c>
      <c r="AQ5" s="840">
        <f ca="1">+INDIRECT("[EMPINFO.xlsm]"&amp;$O$2&amp;"!p5")</f>
        <v>25.54000000000002</v>
      </c>
      <c r="AR5" s="226">
        <f ca="1">+INDIRECT("[EMPINFO.xlsm]"&amp;$O$2&amp;"!j5")</f>
        <v>14</v>
      </c>
      <c r="AS5" s="840">
        <f ca="1">+INDIRECT("[EMPINFO.xlsm]"&amp;$O$2&amp;"!k5")</f>
        <v>164.99999999999997</v>
      </c>
      <c r="AT5" s="226">
        <f ca="1">+INDIRECT("[EMPINFO.xlsm]"&amp;$O$2&amp;"!m5")</f>
        <v>0</v>
      </c>
      <c r="AU5" s="844">
        <f ca="1">+INDIRECT("[EMPINFO.xlsm]"&amp;$O$2&amp;"!n5")</f>
        <v>240</v>
      </c>
      <c r="AV5" s="244">
        <f t="shared" ref="AV5:AV15" si="22">+AV4</f>
        <v>120</v>
      </c>
      <c r="AW5" s="244">
        <f t="shared" ref="AW5:AW15" si="23">+AW4</f>
        <v>180</v>
      </c>
      <c r="AX5" s="840">
        <f ca="1">+INDIRECT("[EMPINFO.xlsm]"&amp;$O$2&amp;"!u5")</f>
        <v>28</v>
      </c>
      <c r="AY5" s="215">
        <f ca="1">+INDIRECT("[EMPINFO.xlsm]"&amp;$O$2&amp;"!v5")</f>
        <v>0</v>
      </c>
      <c r="AZ5" s="797" t="str">
        <f ca="1">+INDIRECT("[EMPINFO.xlsm]"&amp;$O$2&amp;"!x5")</f>
        <v>ACTIVE</v>
      </c>
      <c r="BA5" s="844">
        <f ca="1">+INDIRECT("[EMPINFO.xlsm]"&amp;$O$2&amp;"!w5")</f>
        <v>0</v>
      </c>
      <c r="BB5" s="288">
        <f t="shared" ca="1" si="18"/>
        <v>0.15</v>
      </c>
      <c r="BC5" s="289">
        <f t="shared" ca="1" si="19"/>
        <v>2775</v>
      </c>
      <c r="BD5" s="255"/>
      <c r="BE5" s="205"/>
      <c r="BG5" s="27"/>
      <c r="BH5" s="28"/>
    </row>
    <row r="6" spans="1:62" ht="15.75" customHeight="1" thickBot="1" x14ac:dyDescent="0.3">
      <c r="A6" s="54"/>
      <c r="B6" s="2" t="s">
        <v>135</v>
      </c>
      <c r="C6" s="921" t="str">
        <f>INDEX([1]!empdata,MATCH(ID,[1]!empid,0),3)</f>
        <v>Bonnici</v>
      </c>
      <c r="D6" s="922"/>
      <c r="E6" s="922"/>
      <c r="F6" s="886"/>
      <c r="I6" s="312" t="s">
        <v>136</v>
      </c>
      <c r="L6" s="101"/>
      <c r="M6" s="303"/>
      <c r="N6" s="211">
        <f t="shared" ca="1" si="0"/>
        <v>10.911769230769233</v>
      </c>
      <c r="O6" s="213">
        <f>+DATA!A5</f>
        <v>46082</v>
      </c>
      <c r="P6" s="219">
        <f ca="1">+INDIRECT("[EMPINFO.xlsm]"&amp;$O$2&amp;"!G6")</f>
        <v>5</v>
      </c>
      <c r="Q6" s="215">
        <f ca="1">IF(AZ6="active",INDIRECT("[EMPINFO.xlsm]"&amp;$O$2&amp;"!H6"),0)</f>
        <v>40</v>
      </c>
      <c r="R6" s="239">
        <f t="shared" ca="1" si="20"/>
        <v>9.1810000000000009</v>
      </c>
      <c r="S6" s="216">
        <f t="shared" ca="1" si="1"/>
        <v>1591.3733333333323</v>
      </c>
      <c r="T6" s="220">
        <f t="shared" ca="1" si="2"/>
        <v>0</v>
      </c>
      <c r="U6" s="218">
        <f t="shared" ca="1" si="3"/>
        <v>0</v>
      </c>
      <c r="V6" s="220">
        <f ca="1">+maroth*marhrrt</f>
        <v>0</v>
      </c>
      <c r="W6" s="202">
        <f ca="1">+IF(AZ6&lt;&gt;"active",0,(IF(Timer="PT_casual",(bonusmar/1040*(BA6+BA5+BA4)),(bonusmar/182*(AO6+AO5+AO4+AO3)*(Q6+Q5+Q4)/120))))</f>
        <v>121.16</v>
      </c>
      <c r="X6" s="218">
        <f t="shared" ca="1" si="4"/>
        <v>120</v>
      </c>
      <c r="Y6" s="803">
        <f t="shared" ca="1" si="5"/>
        <v>180</v>
      </c>
      <c r="Z6" s="218">
        <f t="shared" ca="1" si="6"/>
        <v>2012.5333333333324</v>
      </c>
      <c r="AA6" s="803">
        <f t="shared" ca="1" si="7"/>
        <v>70</v>
      </c>
      <c r="AB6" s="218">
        <f ca="1">+INDIRECT("[EMPINFO.xlsm]"&amp;$O$2&amp;"!s6")</f>
        <v>0</v>
      </c>
      <c r="AC6" s="292">
        <v>1.5</v>
      </c>
      <c r="AD6" s="218">
        <f t="shared" ca="1" si="8"/>
        <v>0</v>
      </c>
      <c r="AE6" s="220">
        <f t="shared" ca="1" si="9"/>
        <v>0</v>
      </c>
      <c r="AF6" s="218">
        <f t="shared" ca="1" si="10"/>
        <v>70</v>
      </c>
      <c r="AG6" s="803">
        <f t="shared" ca="1" si="11"/>
        <v>367.24</v>
      </c>
      <c r="AH6" s="218">
        <f t="shared" ca="1" si="12"/>
        <v>183.62</v>
      </c>
      <c r="AI6" s="803">
        <f t="shared" ca="1" si="13"/>
        <v>183.62</v>
      </c>
      <c r="AJ6" s="218">
        <f t="shared" ca="1" si="14"/>
        <v>367.24</v>
      </c>
      <c r="AK6" s="803">
        <f t="shared" ca="1" si="15"/>
        <v>5.51</v>
      </c>
      <c r="AL6" s="218">
        <f t="shared" ca="1" si="21"/>
        <v>2201.6633333333325</v>
      </c>
      <c r="AM6" s="290" t="str">
        <f t="shared" ca="1" si="16"/>
        <v>C</v>
      </c>
      <c r="AN6" s="291" t="str">
        <f t="shared" ca="1" si="17"/>
        <v>FT</v>
      </c>
      <c r="AO6" s="223">
        <f ca="1">+INDIRECT("[EMPINFO.xlsm]"&amp;$O$2&amp;"!t6")</f>
        <v>31</v>
      </c>
      <c r="AP6" s="226">
        <f ca="1">+INDIRECT("[EMPINFO.xlsm]"&amp;$O$2&amp;"!o6")</f>
        <v>-160</v>
      </c>
      <c r="AQ6" s="840">
        <f ca="1">+INDIRECT("[EMPINFO.xlsm]"&amp;$O$2&amp;"!p6")</f>
        <v>-134.45999999999998</v>
      </c>
      <c r="AR6" s="226">
        <f ca="1">+INDIRECT("[EMPINFO.xlsm]"&amp;$O$2&amp;"!j6")</f>
        <v>0</v>
      </c>
      <c r="AS6" s="840">
        <f ca="1">+INDIRECT("[EMPINFO.xlsm]"&amp;$O$2&amp;"!k6")</f>
        <v>164.99999999999997</v>
      </c>
      <c r="AT6" s="226">
        <f ca="1">+INDIRECT("[EMPINFO.xlsm]"&amp;$O$2&amp;"!m6")</f>
        <v>0</v>
      </c>
      <c r="AU6" s="844">
        <f ca="1">+INDIRECT("[EMPINFO.xlsm]"&amp;$O$2&amp;"!n6")</f>
        <v>240</v>
      </c>
      <c r="AV6" s="244">
        <f t="shared" si="22"/>
        <v>120</v>
      </c>
      <c r="AW6" s="244">
        <f t="shared" si="23"/>
        <v>180</v>
      </c>
      <c r="AX6" s="840">
        <f ca="1">+INDIRECT("[EMPINFO.xlsm]"&amp;$O$2&amp;"!u6")</f>
        <v>31</v>
      </c>
      <c r="AY6" s="215">
        <f ca="1">+INDIRECT("[EMPINFO.xlsm]"&amp;$O$2&amp;"!v6")</f>
        <v>0</v>
      </c>
      <c r="AZ6" s="797" t="str">
        <f ca="1">+INDIRECT("[EMPINFO.xlsm]"&amp;$O$2&amp;"!x6")</f>
        <v>ACTIVE</v>
      </c>
      <c r="BA6" s="844">
        <f ca="1">+INDIRECT("[EMPINFO.xlsm]"&amp;$O$2&amp;"!w6")</f>
        <v>0</v>
      </c>
      <c r="BB6" s="288">
        <f t="shared" ca="1" si="18"/>
        <v>0.15</v>
      </c>
      <c r="BC6" s="289">
        <f t="shared" ca="1" si="19"/>
        <v>2775</v>
      </c>
      <c r="BD6" s="255"/>
      <c r="BE6" s="206"/>
    </row>
    <row r="7" spans="1:62" ht="15.75" customHeight="1" thickBot="1" x14ac:dyDescent="0.3">
      <c r="A7" s="54"/>
      <c r="B7" s="3" t="s">
        <v>137</v>
      </c>
      <c r="C7" s="921" t="str">
        <f>INDEX([1]!empdata,MATCH(ID,[1]!empid,0),4)</f>
        <v>Louana</v>
      </c>
      <c r="D7" s="922"/>
      <c r="E7" s="922"/>
      <c r="F7" s="886"/>
      <c r="H7" s="312" t="s">
        <v>138</v>
      </c>
      <c r="I7" s="927" t="str">
        <f>INDEX([1]!empdata,MATCH(ID,[1]!empid,0),6)</f>
        <v>182694M</v>
      </c>
      <c r="J7" s="859"/>
      <c r="K7" s="857"/>
      <c r="L7" s="101"/>
      <c r="M7" s="303"/>
      <c r="N7" s="211">
        <f t="shared" ca="1" si="0"/>
        <v>11.960769230769232</v>
      </c>
      <c r="O7" s="213">
        <f>+DATA!A6</f>
        <v>46113</v>
      </c>
      <c r="P7" s="219">
        <f ca="1">+INDIRECT("[EMPINFO.xlsm]"&amp;$O$2&amp;"!G7")</f>
        <v>4</v>
      </c>
      <c r="Q7" s="215">
        <f ca="1">IF(AZ7="active",INDIRECT("[EMPINFO.xlsm]"&amp;$O$2&amp;"!H7"),0)</f>
        <v>40</v>
      </c>
      <c r="R7" s="239">
        <v>10.23</v>
      </c>
      <c r="S7" s="216">
        <f t="shared" ca="1" si="1"/>
        <v>1773.1999999999991</v>
      </c>
      <c r="T7" s="220">
        <f t="shared" ca="1" si="2"/>
        <v>0</v>
      </c>
      <c r="U7" s="218">
        <f t="shared" ca="1" si="3"/>
        <v>0</v>
      </c>
      <c r="V7" s="220">
        <f>+aproth*aprhrrt</f>
        <v>0</v>
      </c>
      <c r="W7" s="201"/>
      <c r="X7" s="218">
        <f t="shared" ca="1" si="4"/>
        <v>120</v>
      </c>
      <c r="Y7" s="803">
        <f t="shared" ca="1" si="5"/>
        <v>180</v>
      </c>
      <c r="Z7" s="218">
        <f t="shared" ca="1" si="6"/>
        <v>2073.1999999999989</v>
      </c>
      <c r="AA7" s="803">
        <f t="shared" ca="1" si="7"/>
        <v>79</v>
      </c>
      <c r="AB7" s="218">
        <f ca="1">+INDIRECT("[EMPINFO.xlsm]"&amp;$O$2&amp;"!s7")</f>
        <v>0</v>
      </c>
      <c r="AC7" s="292">
        <v>1.5</v>
      </c>
      <c r="AD7" s="218">
        <f t="shared" ca="1" si="8"/>
        <v>0</v>
      </c>
      <c r="AE7" s="220">
        <f t="shared" ca="1" si="9"/>
        <v>0</v>
      </c>
      <c r="AF7" s="218">
        <f t="shared" ca="1" si="10"/>
        <v>79</v>
      </c>
      <c r="AG7" s="803">
        <f t="shared" ca="1" si="11"/>
        <v>409.20000000000005</v>
      </c>
      <c r="AH7" s="218">
        <f t="shared" ca="1" si="12"/>
        <v>163.68</v>
      </c>
      <c r="AI7" s="803">
        <f t="shared" ca="1" si="13"/>
        <v>163.68</v>
      </c>
      <c r="AJ7" s="218">
        <f t="shared" ca="1" si="14"/>
        <v>327.36</v>
      </c>
      <c r="AK7" s="803">
        <f t="shared" ca="1" si="15"/>
        <v>4.91</v>
      </c>
      <c r="AL7" s="218">
        <f t="shared" ca="1" si="21"/>
        <v>2241.7899999999986</v>
      </c>
      <c r="AM7" s="290" t="str">
        <f t="shared" ca="1" si="16"/>
        <v>C</v>
      </c>
      <c r="AN7" s="291" t="str">
        <f t="shared" ca="1" si="17"/>
        <v>FT</v>
      </c>
      <c r="AO7" s="223">
        <f ca="1">+INDIRECT("[EMPINFO.xlsm]"&amp;$O$2&amp;"!t7")</f>
        <v>30</v>
      </c>
      <c r="AP7" s="226">
        <f ca="1">+INDIRECT("[EMPINFO.xlsm]"&amp;$O$2&amp;"!o7")</f>
        <v>-160</v>
      </c>
      <c r="AQ7" s="840">
        <f ca="1">+INDIRECT("[EMPINFO.xlsm]"&amp;$O$2&amp;"!p7")</f>
        <v>-294.45999999999998</v>
      </c>
      <c r="AR7" s="226">
        <f ca="1">+INDIRECT("[EMPINFO.xlsm]"&amp;$O$2&amp;"!j7")</f>
        <v>0</v>
      </c>
      <c r="AS7" s="840">
        <f ca="1">+INDIRECT("[EMPINFO.xlsm]"&amp;$O$2&amp;"!k7")</f>
        <v>164.99999999999997</v>
      </c>
      <c r="AT7" s="226">
        <f ca="1">+INDIRECT("[EMPINFO.xlsm]"&amp;$O$2&amp;"!m7")</f>
        <v>0</v>
      </c>
      <c r="AU7" s="844">
        <f ca="1">+INDIRECT("[EMPINFO.xlsm]"&amp;$O$2&amp;"!n7")</f>
        <v>240</v>
      </c>
      <c r="AV7" s="244">
        <f t="shared" si="22"/>
        <v>120</v>
      </c>
      <c r="AW7" s="244">
        <f t="shared" si="23"/>
        <v>180</v>
      </c>
      <c r="AX7" s="840">
        <f ca="1">+INDIRECT("[EMPINFO.xlsm]"&amp;$O$2&amp;"!u7")</f>
        <v>30</v>
      </c>
      <c r="AY7" s="215">
        <f ca="1">+INDIRECT("[EMPINFO.xlsm]"&amp;$O$2&amp;"!v7")</f>
        <v>0</v>
      </c>
      <c r="AZ7" s="797" t="str">
        <f ca="1">+INDIRECT("[EMPINFO.xlsm]"&amp;$O$2&amp;"!x7")</f>
        <v>ACTIVE</v>
      </c>
      <c r="BA7" s="844">
        <f ca="1">+INDIRECT("[EMPINFO.xlsm]"&amp;$O$2&amp;"!w7")</f>
        <v>0</v>
      </c>
      <c r="BB7" s="288">
        <f t="shared" ca="1" si="18"/>
        <v>0.15</v>
      </c>
      <c r="BC7" s="289">
        <f t="shared" ca="1" si="19"/>
        <v>2775</v>
      </c>
      <c r="BD7" s="255"/>
      <c r="BE7" s="206"/>
    </row>
    <row r="8" spans="1:62" ht="15.75" customHeight="1" thickBot="1" x14ac:dyDescent="0.3">
      <c r="A8" s="54"/>
      <c r="B8" s="3" t="s">
        <v>139</v>
      </c>
      <c r="C8" s="921">
        <f>INDEX([1]!empdata,MATCH(ID,[1]!empid,0),18)</f>
        <v>45</v>
      </c>
      <c r="D8" s="922"/>
      <c r="E8" s="922"/>
      <c r="F8" s="886"/>
      <c r="I8" s="312" t="s">
        <v>140</v>
      </c>
      <c r="L8" s="101"/>
      <c r="M8" s="303"/>
      <c r="N8" s="211">
        <f t="shared" ca="1" si="0"/>
        <v>11.960769230769232</v>
      </c>
      <c r="O8" s="213">
        <f>+DATA!A7</f>
        <v>46143</v>
      </c>
      <c r="P8" s="219">
        <f ca="1">+INDIRECT("[EMPINFO.xlsm]"&amp;$O$2&amp;"!G8")</f>
        <v>4</v>
      </c>
      <c r="Q8" s="215">
        <f ca="1">IF(AZ8="active",INDIRECT("[EMPINFO.xlsm]"&amp;$O$2&amp;"!H8"),0)</f>
        <v>40</v>
      </c>
      <c r="R8" s="239">
        <f t="shared" si="20"/>
        <v>10.23</v>
      </c>
      <c r="S8" s="216">
        <f t="shared" ca="1" si="1"/>
        <v>1773.1999999999989</v>
      </c>
      <c r="T8" s="220">
        <f t="shared" ca="1" si="2"/>
        <v>0</v>
      </c>
      <c r="U8" s="218">
        <f t="shared" ca="1" si="3"/>
        <v>0</v>
      </c>
      <c r="V8" s="220">
        <f>+mayoth*mayhrrt</f>
        <v>0</v>
      </c>
      <c r="W8" s="201"/>
      <c r="X8" s="218">
        <f t="shared" ca="1" si="4"/>
        <v>120</v>
      </c>
      <c r="Y8" s="803">
        <f t="shared" ca="1" si="5"/>
        <v>180</v>
      </c>
      <c r="Z8" s="218">
        <f t="shared" ca="1" si="6"/>
        <v>2073.1999999999989</v>
      </c>
      <c r="AA8" s="803">
        <f t="shared" ca="1" si="7"/>
        <v>79</v>
      </c>
      <c r="AB8" s="218">
        <f ca="1">+INDIRECT("[EMPINFO.xlsm]"&amp;$O$2&amp;"!s8")</f>
        <v>0</v>
      </c>
      <c r="AC8" s="292">
        <v>1.5</v>
      </c>
      <c r="AD8" s="218">
        <f t="shared" ca="1" si="8"/>
        <v>0</v>
      </c>
      <c r="AE8" s="220">
        <f t="shared" ca="1" si="9"/>
        <v>0</v>
      </c>
      <c r="AF8" s="218">
        <f t="shared" ca="1" si="10"/>
        <v>79</v>
      </c>
      <c r="AG8" s="803">
        <f t="shared" ca="1" si="11"/>
        <v>409.20000000000005</v>
      </c>
      <c r="AH8" s="218">
        <f t="shared" ca="1" si="12"/>
        <v>163.68</v>
      </c>
      <c r="AI8" s="803">
        <f t="shared" ca="1" si="13"/>
        <v>163.68</v>
      </c>
      <c r="AJ8" s="218">
        <f t="shared" ca="1" si="14"/>
        <v>327.36</v>
      </c>
      <c r="AK8" s="803">
        <f t="shared" ca="1" si="15"/>
        <v>4.91</v>
      </c>
      <c r="AL8" s="218">
        <f t="shared" ca="1" si="21"/>
        <v>2241.7899999999986</v>
      </c>
      <c r="AM8" s="290" t="str">
        <f t="shared" ca="1" si="16"/>
        <v>C</v>
      </c>
      <c r="AN8" s="291" t="str">
        <f t="shared" ca="1" si="17"/>
        <v>FT</v>
      </c>
      <c r="AO8" s="223">
        <f ca="1">+INDIRECT("[EMPINFO.xlsm]"&amp;$O$2&amp;"!t8")</f>
        <v>31</v>
      </c>
      <c r="AP8" s="226">
        <f ca="1">+INDIRECT("[EMPINFO.xlsm]"&amp;$O$2&amp;"!o8")</f>
        <v>-200</v>
      </c>
      <c r="AQ8" s="840">
        <f ca="1">+INDIRECT("[EMPINFO.xlsm]"&amp;$O$2&amp;"!p8")</f>
        <v>-494.46</v>
      </c>
      <c r="AR8" s="226">
        <f ca="1">+INDIRECT("[EMPINFO.xlsm]"&amp;$O$2&amp;"!j8")</f>
        <v>0</v>
      </c>
      <c r="AS8" s="840">
        <f ca="1">+INDIRECT("[EMPINFO.xlsm]"&amp;$O$2&amp;"!k8")</f>
        <v>164.99999999999997</v>
      </c>
      <c r="AT8" s="226">
        <f ca="1">+INDIRECT("[EMPINFO.xlsm]"&amp;$O$2&amp;"!m8")</f>
        <v>0</v>
      </c>
      <c r="AU8" s="844">
        <f ca="1">+INDIRECT("[EMPINFO.xlsm]"&amp;$O$2&amp;"!n8")</f>
        <v>240</v>
      </c>
      <c r="AV8" s="244">
        <f t="shared" si="22"/>
        <v>120</v>
      </c>
      <c r="AW8" s="244">
        <f t="shared" si="23"/>
        <v>180</v>
      </c>
      <c r="AX8" s="840">
        <f ca="1">+INDIRECT("[EMPINFO.xlsm]"&amp;$O$2&amp;"!u8")</f>
        <v>31</v>
      </c>
      <c r="AY8" s="215">
        <f ca="1">+INDIRECT("[EMPINFO.xlsm]"&amp;$O$2&amp;"!v8")</f>
        <v>0</v>
      </c>
      <c r="AZ8" s="797" t="str">
        <f ca="1">+INDIRECT("[EMPINFO.xlsm]"&amp;$O$2&amp;"!x8")</f>
        <v>ACTIVE</v>
      </c>
      <c r="BA8" s="844">
        <f ca="1">+INDIRECT("[EMPINFO.xlsm]"&amp;$O$2&amp;"!w8")</f>
        <v>0</v>
      </c>
      <c r="BB8" s="288">
        <f t="shared" ca="1" si="18"/>
        <v>0.15</v>
      </c>
      <c r="BC8" s="289">
        <f t="shared" ca="1" si="19"/>
        <v>2775</v>
      </c>
      <c r="BD8" s="255"/>
      <c r="BE8" s="206"/>
    </row>
    <row r="9" spans="1:62" ht="15.75" customHeight="1" thickBot="1" x14ac:dyDescent="0.3">
      <c r="A9" s="54"/>
      <c r="B9" s="4" t="s">
        <v>141</v>
      </c>
      <c r="C9" s="921" t="str">
        <f>INDEX([1]!empdata,MATCH(ID,[1]!empid,0),19)</f>
        <v>Sqaq Lajri</v>
      </c>
      <c r="D9" s="922"/>
      <c r="E9" s="922"/>
      <c r="F9" s="886"/>
      <c r="H9" s="312" t="s">
        <v>20</v>
      </c>
      <c r="I9" s="927" t="str">
        <f>INDEX([1]!empdata,MATCH(ID,[1]!empid,0),14)</f>
        <v>C48636387</v>
      </c>
      <c r="J9" s="859"/>
      <c r="K9" s="857"/>
      <c r="L9" s="101"/>
      <c r="M9" s="303"/>
      <c r="N9" s="211">
        <f t="shared" ca="1" si="0"/>
        <v>11.960769230769232</v>
      </c>
      <c r="O9" s="213">
        <f>+DATA!A8</f>
        <v>46174</v>
      </c>
      <c r="P9" s="219">
        <f ca="1">+INDIRECT("[EMPINFO.xlsm]"&amp;$O$2&amp;"!G9")</f>
        <v>5</v>
      </c>
      <c r="Q9" s="215">
        <f ca="1">IF(AZ9="active",INDIRECT("[EMPINFO.xlsm]"&amp;$O$2&amp;"!H9"),0)</f>
        <v>40</v>
      </c>
      <c r="R9" s="239">
        <f t="shared" si="20"/>
        <v>10.23</v>
      </c>
      <c r="S9" s="216">
        <f t="shared" ca="1" si="1"/>
        <v>1773.1999999999991</v>
      </c>
      <c r="T9" s="220">
        <f t="shared" ca="1" si="2"/>
        <v>0</v>
      </c>
      <c r="U9" s="218">
        <f t="shared" ca="1" si="3"/>
        <v>0</v>
      </c>
      <c r="V9" s="220">
        <f>+junoth*junhrrt</f>
        <v>0</v>
      </c>
      <c r="W9" s="202">
        <f ca="1">IF(AZ9&lt;&gt;"active",0,(IF(Timer="PT_casual",(BONUSJUN/1040*(BA9+BA8+BA7+BA6+BA5+BA4)),(BONUSJUN*(SUM(AO4:AO9)/SUM(AX4:AX9))*(SUM(Q4:Q9)/240)))))</f>
        <v>135.1</v>
      </c>
      <c r="X9" s="218">
        <f t="shared" ca="1" si="4"/>
        <v>120</v>
      </c>
      <c r="Y9" s="803">
        <f t="shared" ca="1" si="5"/>
        <v>180</v>
      </c>
      <c r="Z9" s="218">
        <f t="shared" ca="1" si="6"/>
        <v>2208.2999999999993</v>
      </c>
      <c r="AA9" s="803">
        <f t="shared" ca="1" si="7"/>
        <v>108</v>
      </c>
      <c r="AB9" s="218">
        <f ca="1">+INDIRECT("[EMPINFO.xlsm]"&amp;$O$2&amp;"!s9")</f>
        <v>0</v>
      </c>
      <c r="AC9" s="292">
        <v>1.5</v>
      </c>
      <c r="AD9" s="218">
        <f t="shared" ca="1" si="8"/>
        <v>0</v>
      </c>
      <c r="AE9" s="220">
        <f t="shared" ca="1" si="9"/>
        <v>0</v>
      </c>
      <c r="AF9" s="218">
        <f t="shared" ca="1" si="10"/>
        <v>108</v>
      </c>
      <c r="AG9" s="803">
        <f t="shared" ca="1" si="11"/>
        <v>409.20000000000005</v>
      </c>
      <c r="AH9" s="218">
        <f t="shared" ca="1" si="12"/>
        <v>204.6</v>
      </c>
      <c r="AI9" s="803">
        <f t="shared" ca="1" si="13"/>
        <v>204.6</v>
      </c>
      <c r="AJ9" s="218">
        <f t="shared" ca="1" si="14"/>
        <v>409.2</v>
      </c>
      <c r="AK9" s="803">
        <f t="shared" ca="1" si="15"/>
        <v>6.14</v>
      </c>
      <c r="AL9" s="218">
        <f t="shared" ca="1" si="21"/>
        <v>2419.0399999999991</v>
      </c>
      <c r="AM9" s="290" t="str">
        <f t="shared" ca="1" si="16"/>
        <v>C</v>
      </c>
      <c r="AN9" s="291" t="str">
        <f t="shared" ca="1" si="17"/>
        <v>FT</v>
      </c>
      <c r="AO9" s="223">
        <f ca="1">+INDIRECT("[EMPINFO.xlsm]"&amp;$O$2&amp;"!t9")</f>
        <v>30</v>
      </c>
      <c r="AP9" s="226">
        <f ca="1">+INDIRECT("[EMPINFO.xlsm]"&amp;$O$2&amp;"!o9")</f>
        <v>-160</v>
      </c>
      <c r="AQ9" s="840">
        <f ca="1">+INDIRECT("[EMPINFO.xlsm]"&amp;$O$2&amp;"!p9")</f>
        <v>-654.46</v>
      </c>
      <c r="AR9" s="226">
        <f ca="1">+INDIRECT("[EMPINFO.xlsm]"&amp;$O$2&amp;"!j9")</f>
        <v>0</v>
      </c>
      <c r="AS9" s="840">
        <f ca="1">+INDIRECT("[EMPINFO.xlsm]"&amp;$O$2&amp;"!k9")</f>
        <v>164.99999999999997</v>
      </c>
      <c r="AT9" s="226">
        <f ca="1">+INDIRECT("[EMPINFO.xlsm]"&amp;$O$2&amp;"!m9")</f>
        <v>0</v>
      </c>
      <c r="AU9" s="844">
        <f ca="1">+INDIRECT("[EMPINFO.xlsm]"&amp;$O$2&amp;"!n9")</f>
        <v>240</v>
      </c>
      <c r="AV9" s="244">
        <f t="shared" si="22"/>
        <v>120</v>
      </c>
      <c r="AW9" s="244">
        <f t="shared" si="23"/>
        <v>180</v>
      </c>
      <c r="AX9" s="840">
        <f ca="1">+INDIRECT("[EMPINFO.xlsm]"&amp;$O$2&amp;"!u9")</f>
        <v>30</v>
      </c>
      <c r="AY9" s="215">
        <f ca="1">+INDIRECT("[EMPINFO.xlsm]"&amp;$O$2&amp;"!v9")</f>
        <v>0</v>
      </c>
      <c r="AZ9" s="797" t="str">
        <f ca="1">+INDIRECT("[EMPINFO.xlsm]"&amp;$O$2&amp;"!x9")</f>
        <v>ACTIVE</v>
      </c>
      <c r="BA9" s="844">
        <f ca="1">+INDIRECT("[EMPINFO.xlsm]"&amp;$O$2&amp;"!w9")</f>
        <v>0</v>
      </c>
      <c r="BB9" s="288">
        <f t="shared" ca="1" si="18"/>
        <v>0.25</v>
      </c>
      <c r="BC9" s="289">
        <f t="shared" ca="1" si="19"/>
        <v>5325</v>
      </c>
      <c r="BD9" s="255"/>
      <c r="BE9" s="206"/>
    </row>
    <row r="10" spans="1:62" ht="15.75" customHeight="1" thickBot="1" x14ac:dyDescent="0.3">
      <c r="A10" s="54"/>
      <c r="B10" s="5" t="s">
        <v>142</v>
      </c>
      <c r="C10" s="921" t="str">
        <f>INDEX([1]!empdata,MATCH(ID,[1]!empid,0),20)</f>
        <v>Zabbar</v>
      </c>
      <c r="D10" s="922"/>
      <c r="E10" s="922"/>
      <c r="F10" s="886"/>
      <c r="I10" s="312" t="s">
        <v>143</v>
      </c>
      <c r="L10" s="101"/>
      <c r="M10" s="303"/>
      <c r="N10" s="211">
        <f t="shared" ca="1" si="0"/>
        <v>11.960769230769232</v>
      </c>
      <c r="O10" s="213">
        <f>+DATA!A9</f>
        <v>46204</v>
      </c>
      <c r="P10" s="219">
        <f ca="1">+INDIRECT("[EMPINFO.xlsm]"&amp;$O$2&amp;"!G10")</f>
        <v>4</v>
      </c>
      <c r="Q10" s="215">
        <f ca="1">IF(AZ10="active",INDIRECT("[EMPINFO.xlsm]"&amp;$O$2&amp;"!H10"),0)</f>
        <v>40</v>
      </c>
      <c r="R10" s="239">
        <f t="shared" si="20"/>
        <v>10.23</v>
      </c>
      <c r="S10" s="216">
        <f t="shared" ca="1" si="1"/>
        <v>1773.1999999999989</v>
      </c>
      <c r="T10" s="220">
        <f t="shared" ca="1" si="2"/>
        <v>0</v>
      </c>
      <c r="U10" s="218">
        <f t="shared" ca="1" si="3"/>
        <v>0</v>
      </c>
      <c r="V10" s="220">
        <f>+juloth*julhrrt</f>
        <v>0</v>
      </c>
      <c r="W10" s="201"/>
      <c r="X10" s="218">
        <f t="shared" ca="1" si="4"/>
        <v>120</v>
      </c>
      <c r="Y10" s="803">
        <f t="shared" ca="1" si="5"/>
        <v>180</v>
      </c>
      <c r="Z10" s="218">
        <f t="shared" ca="1" si="6"/>
        <v>2073.1999999999989</v>
      </c>
      <c r="AA10" s="803">
        <f t="shared" ca="1" si="7"/>
        <v>79</v>
      </c>
      <c r="AB10" s="218">
        <f ca="1">+INDIRECT("[EMPINFO.xlsm]"&amp;$O$2&amp;"!s10")</f>
        <v>0</v>
      </c>
      <c r="AC10" s="292">
        <v>1.5</v>
      </c>
      <c r="AD10" s="218">
        <f t="shared" ca="1" si="8"/>
        <v>0</v>
      </c>
      <c r="AE10" s="220">
        <f t="shared" ca="1" si="9"/>
        <v>0</v>
      </c>
      <c r="AF10" s="218">
        <f t="shared" ca="1" si="10"/>
        <v>79</v>
      </c>
      <c r="AG10" s="803">
        <f t="shared" ca="1" si="11"/>
        <v>409.20000000000005</v>
      </c>
      <c r="AH10" s="218">
        <f t="shared" ca="1" si="12"/>
        <v>163.68</v>
      </c>
      <c r="AI10" s="803">
        <f t="shared" ca="1" si="13"/>
        <v>163.68</v>
      </c>
      <c r="AJ10" s="218">
        <f t="shared" ca="1" si="14"/>
        <v>327.36</v>
      </c>
      <c r="AK10" s="803">
        <f t="shared" ca="1" si="15"/>
        <v>4.91</v>
      </c>
      <c r="AL10" s="218">
        <f t="shared" ca="1" si="21"/>
        <v>2241.7899999999986</v>
      </c>
      <c r="AM10" s="290" t="str">
        <f t="shared" ca="1" si="16"/>
        <v>C</v>
      </c>
      <c r="AN10" s="291" t="str">
        <f t="shared" ca="1" si="17"/>
        <v>FT</v>
      </c>
      <c r="AO10" s="223">
        <f ca="1">+INDIRECT("[EMPINFO.xlsm]"&amp;$O$2&amp;"!t10")</f>
        <v>31</v>
      </c>
      <c r="AP10" s="226">
        <f ca="1">+INDIRECT("[EMPINFO.xlsm]"&amp;$O$2&amp;"!o10")</f>
        <v>-160</v>
      </c>
      <c r="AQ10" s="840">
        <f ca="1">+INDIRECT("[EMPINFO.xlsm]"&amp;$O$2&amp;"!p10")</f>
        <v>-814.46</v>
      </c>
      <c r="AR10" s="226">
        <f ca="1">+INDIRECT("[EMPINFO.xlsm]"&amp;$O$2&amp;"!j10")</f>
        <v>0</v>
      </c>
      <c r="AS10" s="840">
        <f ca="1">+INDIRECT("[EMPINFO.xlsm]"&amp;$O$2&amp;"!k10")</f>
        <v>164.99999999999997</v>
      </c>
      <c r="AT10" s="226">
        <f ca="1">+INDIRECT("[EMPINFO.xlsm]"&amp;$O$2&amp;"!m10")</f>
        <v>0</v>
      </c>
      <c r="AU10" s="844">
        <f ca="1">+INDIRECT("[EMPINFO.xlsm]"&amp;$O$2&amp;"!n10")</f>
        <v>240</v>
      </c>
      <c r="AV10" s="244">
        <f t="shared" si="22"/>
        <v>120</v>
      </c>
      <c r="AW10" s="244">
        <f t="shared" si="23"/>
        <v>180</v>
      </c>
      <c r="AX10" s="840">
        <f ca="1">+INDIRECT("[EMPINFO.xlsm]"&amp;$O$2&amp;"!u10")</f>
        <v>31</v>
      </c>
      <c r="AY10" s="215">
        <f ca="1">+INDIRECT("[EMPINFO.xlsm]"&amp;$O$2&amp;"!v10")</f>
        <v>0</v>
      </c>
      <c r="AZ10" s="797" t="str">
        <f ca="1">+INDIRECT("[EMPINFO.xlsm]"&amp;$O$2&amp;"!x10")</f>
        <v>ACTIVE</v>
      </c>
      <c r="BA10" s="844">
        <f ca="1">+INDIRECT("[EMPINFO.xlsm]"&amp;$O$2&amp;"!w10")</f>
        <v>0</v>
      </c>
      <c r="BB10" s="288">
        <f t="shared" ca="1" si="18"/>
        <v>0.15</v>
      </c>
      <c r="BC10" s="289">
        <f t="shared" ca="1" si="19"/>
        <v>2775</v>
      </c>
      <c r="BD10" s="255"/>
      <c r="BE10" s="206"/>
      <c r="BF10" s="32"/>
      <c r="BH10" s="32"/>
      <c r="BI10" s="30"/>
      <c r="BJ10" s="31"/>
    </row>
    <row r="11" spans="1:62" ht="15.75" customHeight="1" thickBot="1" x14ac:dyDescent="0.3">
      <c r="A11" s="54"/>
      <c r="B11" s="6" t="s">
        <v>144</v>
      </c>
      <c r="C11" s="921">
        <f>INDEX([1]!empdata,MATCH(ID,[1]!empid,0),21)</f>
        <v>0</v>
      </c>
      <c r="D11" s="922"/>
      <c r="E11" s="922"/>
      <c r="F11" s="886"/>
      <c r="H11" s="312" t="s">
        <v>31</v>
      </c>
      <c r="I11" s="927">
        <f>INDEX([1]!empdata,MATCH(ID,[1]!empid,0),7)</f>
        <v>0</v>
      </c>
      <c r="J11" s="859"/>
      <c r="K11" s="857"/>
      <c r="L11" s="101"/>
      <c r="M11" s="303"/>
      <c r="N11" s="211">
        <f t="shared" ca="1" si="0"/>
        <v>11.960769230769232</v>
      </c>
      <c r="O11" s="213">
        <f>+DATA!A10</f>
        <v>46235</v>
      </c>
      <c r="P11" s="219">
        <f ca="1">+INDIRECT("[EMPINFO.xlsm]"&amp;$O$2&amp;"!G11")</f>
        <v>5</v>
      </c>
      <c r="Q11" s="215">
        <f ca="1">IF(AZ11="active",INDIRECT("[EMPINFO.xlsm]"&amp;$O$2&amp;"!H11"),0)</f>
        <v>40</v>
      </c>
      <c r="R11" s="239">
        <f t="shared" si="20"/>
        <v>10.23</v>
      </c>
      <c r="S11" s="216">
        <f t="shared" ca="1" si="1"/>
        <v>1773.1999999999989</v>
      </c>
      <c r="T11" s="220">
        <f t="shared" ca="1" si="2"/>
        <v>0</v>
      </c>
      <c r="U11" s="218">
        <f t="shared" ca="1" si="3"/>
        <v>0</v>
      </c>
      <c r="V11" s="220">
        <f>+augoth*aughrrt</f>
        <v>0</v>
      </c>
      <c r="W11" s="201"/>
      <c r="X11" s="218">
        <f t="shared" ca="1" si="4"/>
        <v>120</v>
      </c>
      <c r="Y11" s="803">
        <f t="shared" ca="1" si="5"/>
        <v>180</v>
      </c>
      <c r="Z11" s="218">
        <f t="shared" ca="1" si="6"/>
        <v>2073.1999999999989</v>
      </c>
      <c r="AA11" s="803">
        <f t="shared" ca="1" si="7"/>
        <v>79</v>
      </c>
      <c r="AB11" s="218">
        <f ca="1">+INDIRECT("[EMPINFO.xlsm]"&amp;$O$2&amp;"!s11")</f>
        <v>0</v>
      </c>
      <c r="AC11" s="292">
        <v>1.5</v>
      </c>
      <c r="AD11" s="218">
        <f t="shared" ca="1" si="8"/>
        <v>0</v>
      </c>
      <c r="AE11" s="220">
        <f t="shared" ca="1" si="9"/>
        <v>0</v>
      </c>
      <c r="AF11" s="218">
        <f t="shared" ca="1" si="10"/>
        <v>79</v>
      </c>
      <c r="AG11" s="803">
        <f t="shared" ca="1" si="11"/>
        <v>409.20000000000005</v>
      </c>
      <c r="AH11" s="218">
        <f t="shared" ca="1" si="12"/>
        <v>204.6</v>
      </c>
      <c r="AI11" s="803">
        <f t="shared" ca="1" si="13"/>
        <v>204.6</v>
      </c>
      <c r="AJ11" s="218">
        <f t="shared" ca="1" si="14"/>
        <v>409.2</v>
      </c>
      <c r="AK11" s="803">
        <f t="shared" ca="1" si="15"/>
        <v>6.14</v>
      </c>
      <c r="AL11" s="218">
        <f t="shared" ca="1" si="21"/>
        <v>2283.9399999999987</v>
      </c>
      <c r="AM11" s="290" t="str">
        <f t="shared" ca="1" si="16"/>
        <v>C</v>
      </c>
      <c r="AN11" s="291" t="str">
        <f t="shared" ca="1" si="17"/>
        <v>FT</v>
      </c>
      <c r="AO11" s="223">
        <f ca="1">+INDIRECT("[EMPINFO.xlsm]"&amp;$O$2&amp;"!t11")</f>
        <v>31</v>
      </c>
      <c r="AP11" s="226">
        <f ca="1">+INDIRECT("[EMPINFO.xlsm]"&amp;$O$2&amp;"!o11")</f>
        <v>-160</v>
      </c>
      <c r="AQ11" s="840">
        <f ca="1">+INDIRECT("[EMPINFO.xlsm]"&amp;$O$2&amp;"!p11")</f>
        <v>-974.46</v>
      </c>
      <c r="AR11" s="226">
        <f ca="1">+INDIRECT("[EMPINFO.xlsm]"&amp;$O$2&amp;"!j11")</f>
        <v>0</v>
      </c>
      <c r="AS11" s="840">
        <f ca="1">+INDIRECT("[EMPINFO.xlsm]"&amp;$O$2&amp;"!k11")</f>
        <v>164.99999999999997</v>
      </c>
      <c r="AT11" s="226">
        <f ca="1">+INDIRECT("[EMPINFO.xlsm]"&amp;$O$2&amp;"!m11")</f>
        <v>0</v>
      </c>
      <c r="AU11" s="844">
        <f ca="1">+INDIRECT("[EMPINFO.xlsm]"&amp;$O$2&amp;"!n11")</f>
        <v>240</v>
      </c>
      <c r="AV11" s="244">
        <f t="shared" si="22"/>
        <v>120</v>
      </c>
      <c r="AW11" s="244">
        <f t="shared" si="23"/>
        <v>180</v>
      </c>
      <c r="AX11" s="840">
        <f ca="1">+INDIRECT("[EMPINFO.xlsm]"&amp;$O$2&amp;"!u11")</f>
        <v>31</v>
      </c>
      <c r="AY11" s="215">
        <f ca="1">+INDIRECT("[EMPINFO.xlsm]"&amp;$O$2&amp;"!v11")</f>
        <v>0</v>
      </c>
      <c r="AZ11" s="797" t="str">
        <f ca="1">+INDIRECT("[EMPINFO.xlsm]"&amp;$O$2&amp;"!x11")</f>
        <v>ACTIVE</v>
      </c>
      <c r="BA11" s="844">
        <f ca="1">+INDIRECT("[EMPINFO.xlsm]"&amp;$O$2&amp;"!w11")</f>
        <v>0</v>
      </c>
      <c r="BB11" s="288">
        <f t="shared" ca="1" si="18"/>
        <v>0.15</v>
      </c>
      <c r="BC11" s="289">
        <f t="shared" ca="1" si="19"/>
        <v>2775</v>
      </c>
      <c r="BD11" s="255"/>
      <c r="BE11" s="206"/>
      <c r="BF11" s="27"/>
      <c r="BH11" s="27"/>
    </row>
    <row r="12" spans="1:62" ht="17.45" customHeight="1" thickBot="1" x14ac:dyDescent="0.3">
      <c r="A12" s="313"/>
      <c r="B12" s="91" t="s">
        <v>14</v>
      </c>
      <c r="C12" s="945">
        <f>INDEX([1]!empdata,MATCH(ID,[1]!empid,0),10)</f>
        <v>99550271</v>
      </c>
      <c r="D12" s="946"/>
      <c r="E12" s="946"/>
      <c r="F12" s="947"/>
      <c r="G12" s="85"/>
      <c r="H12" s="85"/>
      <c r="I12" s="85"/>
      <c r="J12" s="85"/>
      <c r="K12" s="85"/>
      <c r="L12" s="314"/>
      <c r="M12" s="303"/>
      <c r="N12" s="211">
        <f t="shared" ca="1" si="0"/>
        <v>11.960769230769232</v>
      </c>
      <c r="O12" s="213">
        <f>+DATA!A11</f>
        <v>46266</v>
      </c>
      <c r="P12" s="219">
        <f ca="1">+INDIRECT("[EMPINFO.xlsm]"&amp;$O$2&amp;"!G12")</f>
        <v>4</v>
      </c>
      <c r="Q12" s="215">
        <f ca="1">IF(AZ12="active",INDIRECT("[EMPINFO.xlsm]"&amp;$O$2&amp;"!H12"),0)</f>
        <v>40</v>
      </c>
      <c r="R12" s="239">
        <f t="shared" si="20"/>
        <v>10.23</v>
      </c>
      <c r="S12" s="216">
        <f t="shared" ca="1" si="1"/>
        <v>1773.1999999999991</v>
      </c>
      <c r="T12" s="220">
        <f t="shared" ca="1" si="2"/>
        <v>0</v>
      </c>
      <c r="U12" s="218">
        <f t="shared" ca="1" si="3"/>
        <v>0</v>
      </c>
      <c r="V12" s="220">
        <f>+sepoth*sephrrt</f>
        <v>0</v>
      </c>
      <c r="W12" s="202">
        <f ca="1">IF(AZ12&lt;&gt;"active",0,(IF(Timer="PT_casual",(bonussep/1040*(BA7:BA12)),(bonussep*(SUM(AO7:AO12)/SUM(AX7:AX12))*(SUM(Q7:Q12)/240)))))</f>
        <v>121.16</v>
      </c>
      <c r="X12" s="218">
        <f t="shared" ca="1" si="4"/>
        <v>120</v>
      </c>
      <c r="Y12" s="803">
        <f t="shared" ca="1" si="5"/>
        <v>180</v>
      </c>
      <c r="Z12" s="218">
        <f t="shared" ca="1" si="6"/>
        <v>2194.3599999999992</v>
      </c>
      <c r="AA12" s="803">
        <f t="shared" ca="1" si="7"/>
        <v>104</v>
      </c>
      <c r="AB12" s="218">
        <f ca="1">+INDIRECT("[EMPINFO.xlsm]"&amp;$O$2&amp;"!s12")</f>
        <v>0</v>
      </c>
      <c r="AC12" s="292">
        <v>1.5</v>
      </c>
      <c r="AD12" s="218">
        <f t="shared" ca="1" si="8"/>
        <v>0</v>
      </c>
      <c r="AE12" s="220">
        <f t="shared" ca="1" si="9"/>
        <v>0</v>
      </c>
      <c r="AF12" s="218">
        <f t="shared" ca="1" si="10"/>
        <v>104</v>
      </c>
      <c r="AG12" s="803">
        <f t="shared" ca="1" si="11"/>
        <v>409.20000000000005</v>
      </c>
      <c r="AH12" s="218">
        <f t="shared" ca="1" si="12"/>
        <v>163.68</v>
      </c>
      <c r="AI12" s="803">
        <f t="shared" ca="1" si="13"/>
        <v>163.68</v>
      </c>
      <c r="AJ12" s="218">
        <f t="shared" ca="1" si="14"/>
        <v>327.36</v>
      </c>
      <c r="AK12" s="803">
        <f t="shared" ca="1" si="15"/>
        <v>4.91</v>
      </c>
      <c r="AL12" s="218">
        <f t="shared" ca="1" si="21"/>
        <v>2362.9499999999989</v>
      </c>
      <c r="AM12" s="290" t="str">
        <f t="shared" ca="1" si="16"/>
        <v>C</v>
      </c>
      <c r="AN12" s="291" t="str">
        <f t="shared" ca="1" si="17"/>
        <v>FT</v>
      </c>
      <c r="AO12" s="223">
        <f ca="1">+INDIRECT("[EMPINFO.xlsm]"&amp;$O$2&amp;"!t12")</f>
        <v>30</v>
      </c>
      <c r="AP12" s="226">
        <f ca="1">+INDIRECT("[EMPINFO.xlsm]"&amp;$O$2&amp;"!o12")</f>
        <v>-160</v>
      </c>
      <c r="AQ12" s="840">
        <f ca="1">+INDIRECT("[EMPINFO.xlsm]"&amp;$O$2&amp;"!p12")</f>
        <v>-1134.46</v>
      </c>
      <c r="AR12" s="226">
        <f ca="1">+INDIRECT("[EMPINFO.xlsm]"&amp;$O$2&amp;"!j12")</f>
        <v>0</v>
      </c>
      <c r="AS12" s="840">
        <f ca="1">+INDIRECT("[EMPINFO.xlsm]"&amp;$O$2&amp;"!k12")</f>
        <v>164.99999999999997</v>
      </c>
      <c r="AT12" s="226">
        <f ca="1">+INDIRECT("[EMPINFO.xlsm]"&amp;$O$2&amp;"!m12")</f>
        <v>0</v>
      </c>
      <c r="AU12" s="844">
        <f ca="1">+INDIRECT("[EMPINFO.xlsm]"&amp;$O$2&amp;"!n12")</f>
        <v>240</v>
      </c>
      <c r="AV12" s="244">
        <f t="shared" si="22"/>
        <v>120</v>
      </c>
      <c r="AW12" s="244">
        <f t="shared" si="23"/>
        <v>180</v>
      </c>
      <c r="AX12" s="840">
        <f ca="1">+INDIRECT("[EMPINFO.xlsm]"&amp;$O$2&amp;"!u12")</f>
        <v>30</v>
      </c>
      <c r="AY12" s="215">
        <f ca="1">+INDIRECT("[EMPINFO.xlsm]"&amp;$O$2&amp;"!v12")</f>
        <v>0</v>
      </c>
      <c r="AZ12" s="797" t="str">
        <f ca="1">+INDIRECT("[EMPINFO.xlsm]"&amp;$O$2&amp;"!x12")</f>
        <v>ACTIVE</v>
      </c>
      <c r="BA12" s="844">
        <f ca="1">+INDIRECT("[EMPINFO.xlsm]"&amp;$O$2&amp;"!w12")</f>
        <v>0</v>
      </c>
      <c r="BB12" s="288">
        <f t="shared" ca="1" si="18"/>
        <v>0.25</v>
      </c>
      <c r="BC12" s="289">
        <f t="shared" ca="1" si="19"/>
        <v>5325</v>
      </c>
      <c r="BD12" s="255"/>
      <c r="BE12" s="206"/>
    </row>
    <row r="13" spans="1:62" ht="15.75" customHeight="1" thickBot="1" x14ac:dyDescent="0.3">
      <c r="A13" s="54"/>
      <c r="L13" s="101"/>
      <c r="M13" s="303"/>
      <c r="N13" s="211">
        <f t="shared" ca="1" si="0"/>
        <v>11.960769230769232</v>
      </c>
      <c r="O13" s="213">
        <f>+DATA!A12</f>
        <v>46296</v>
      </c>
      <c r="P13" s="219">
        <f ca="1">+INDIRECT("[EMPINFO.xlsm]"&amp;$O$2&amp;"!G13")</f>
        <v>4</v>
      </c>
      <c r="Q13" s="215">
        <f ca="1">IF(AZ13="active",INDIRECT("[EMPINFO.xlsm]"&amp;$O$2&amp;"!H13"),0)</f>
        <v>40</v>
      </c>
      <c r="R13" s="239">
        <f t="shared" si="20"/>
        <v>10.23</v>
      </c>
      <c r="S13" s="216">
        <f t="shared" ca="1" si="1"/>
        <v>1773.1999999999989</v>
      </c>
      <c r="T13" s="220">
        <f t="shared" ca="1" si="2"/>
        <v>0</v>
      </c>
      <c r="U13" s="218">
        <f t="shared" ca="1" si="3"/>
        <v>0</v>
      </c>
      <c r="V13" s="220">
        <f>+octoth*octhrrt</f>
        <v>0</v>
      </c>
      <c r="W13" s="201"/>
      <c r="X13" s="218">
        <f t="shared" ca="1" si="4"/>
        <v>120</v>
      </c>
      <c r="Y13" s="803">
        <f t="shared" ca="1" si="5"/>
        <v>180</v>
      </c>
      <c r="Z13" s="218">
        <f t="shared" ca="1" si="6"/>
        <v>2073.1999999999989</v>
      </c>
      <c r="AA13" s="803">
        <f t="shared" ca="1" si="7"/>
        <v>79</v>
      </c>
      <c r="AB13" s="218">
        <f ca="1">+INDIRECT("[EMPINFO.xlsm]"&amp;$O$2&amp;"!s13")</f>
        <v>0</v>
      </c>
      <c r="AC13" s="292">
        <v>1.5</v>
      </c>
      <c r="AD13" s="218">
        <f t="shared" ca="1" si="8"/>
        <v>0</v>
      </c>
      <c r="AE13" s="220">
        <f t="shared" ca="1" si="9"/>
        <v>0</v>
      </c>
      <c r="AF13" s="218">
        <f t="shared" ca="1" si="10"/>
        <v>79</v>
      </c>
      <c r="AG13" s="803">
        <f t="shared" ca="1" si="11"/>
        <v>409.20000000000005</v>
      </c>
      <c r="AH13" s="218">
        <f t="shared" ca="1" si="12"/>
        <v>163.68</v>
      </c>
      <c r="AI13" s="803">
        <f t="shared" ca="1" si="13"/>
        <v>163.68</v>
      </c>
      <c r="AJ13" s="218">
        <f t="shared" ca="1" si="14"/>
        <v>327.36</v>
      </c>
      <c r="AK13" s="803">
        <f t="shared" ca="1" si="15"/>
        <v>4.91</v>
      </c>
      <c r="AL13" s="218">
        <f t="shared" ca="1" si="21"/>
        <v>2241.7899999999986</v>
      </c>
      <c r="AM13" s="290" t="str">
        <f t="shared" ca="1" si="16"/>
        <v>C</v>
      </c>
      <c r="AN13" s="291" t="str">
        <f t="shared" ca="1" si="17"/>
        <v>FT</v>
      </c>
      <c r="AO13" s="223">
        <f ca="1">+INDIRECT("[EMPINFO.xlsm]"&amp;$O$2&amp;"!t13")</f>
        <v>31</v>
      </c>
      <c r="AP13" s="226">
        <f ca="1">+INDIRECT("[EMPINFO.xlsm]"&amp;$O$2&amp;"!o13")</f>
        <v>-200</v>
      </c>
      <c r="AQ13" s="840">
        <f ca="1">+INDIRECT("[EMPINFO.xlsm]"&amp;$O$2&amp;"!p13")</f>
        <v>-1334.46</v>
      </c>
      <c r="AR13" s="226">
        <f ca="1">+INDIRECT("[EMPINFO.xlsm]"&amp;$O$2&amp;"!j13")</f>
        <v>0</v>
      </c>
      <c r="AS13" s="840">
        <f ca="1">+INDIRECT("[EMPINFO.xlsm]"&amp;$O$2&amp;"!k13")</f>
        <v>164.99999999999997</v>
      </c>
      <c r="AT13" s="226">
        <f ca="1">+INDIRECT("[EMPINFO.xlsm]"&amp;$O$2&amp;"!m13")</f>
        <v>0</v>
      </c>
      <c r="AU13" s="844">
        <f ca="1">+INDIRECT("[EMPINFO.xlsm]"&amp;$O$2&amp;"!n13")</f>
        <v>240</v>
      </c>
      <c r="AV13" s="244">
        <f t="shared" si="22"/>
        <v>120</v>
      </c>
      <c r="AW13" s="244">
        <f t="shared" si="23"/>
        <v>180</v>
      </c>
      <c r="AX13" s="840">
        <f ca="1">+INDIRECT("[EMPINFO.xlsm]"&amp;$O$2&amp;"!u13")</f>
        <v>31</v>
      </c>
      <c r="AY13" s="215">
        <f ca="1">+INDIRECT("[EMPINFO.xlsm]"&amp;$O$2&amp;"!v13")</f>
        <v>0</v>
      </c>
      <c r="AZ13" s="797" t="str">
        <f ca="1">+INDIRECT("[EMPINFO.xlsm]"&amp;$O$2&amp;"!x13")</f>
        <v>ACTIVE</v>
      </c>
      <c r="BA13" s="844">
        <f ca="1">+INDIRECT("[EMPINFO.xlsm]"&amp;$O$2&amp;"!w13")</f>
        <v>0</v>
      </c>
      <c r="BB13" s="288">
        <f t="shared" ca="1" si="18"/>
        <v>0.15</v>
      </c>
      <c r="BC13" s="289">
        <f t="shared" ca="1" si="19"/>
        <v>2775</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11.960769230769232</v>
      </c>
      <c r="O14" s="213">
        <f>+DATA!A13</f>
        <v>46327</v>
      </c>
      <c r="P14" s="219">
        <f ca="1">+INDIRECT("[EMPINFO.xlsm]"&amp;$O$2&amp;"!G14")</f>
        <v>5</v>
      </c>
      <c r="Q14" s="215">
        <f ca="1">IF(AZ14="active",INDIRECT("[EMPINFO.xlsm]"&amp;$O$2&amp;"!H14"),0)</f>
        <v>40</v>
      </c>
      <c r="R14" s="239">
        <f t="shared" si="20"/>
        <v>10.23</v>
      </c>
      <c r="S14" s="216">
        <f t="shared" ca="1" si="1"/>
        <v>1773.1999999999991</v>
      </c>
      <c r="T14" s="220">
        <f t="shared" ca="1" si="2"/>
        <v>0</v>
      </c>
      <c r="U14" s="218">
        <f t="shared" ca="1" si="3"/>
        <v>0</v>
      </c>
      <c r="V14" s="220">
        <f>+novoth*novhrrt</f>
        <v>0</v>
      </c>
      <c r="W14" s="201"/>
      <c r="X14" s="218">
        <f t="shared" ca="1" si="4"/>
        <v>120</v>
      </c>
      <c r="Y14" s="803">
        <f t="shared" ca="1" si="5"/>
        <v>180</v>
      </c>
      <c r="Z14" s="218">
        <f t="shared" ca="1" si="6"/>
        <v>2073.1999999999989</v>
      </c>
      <c r="AA14" s="803">
        <f t="shared" ca="1" si="7"/>
        <v>79</v>
      </c>
      <c r="AB14" s="218">
        <f ca="1">+INDIRECT("[EMPINFO.xlsm]"&amp;$O$2&amp;"!s14")</f>
        <v>0</v>
      </c>
      <c r="AC14" s="292">
        <v>1.5</v>
      </c>
      <c r="AD14" s="218">
        <f t="shared" ca="1" si="8"/>
        <v>0</v>
      </c>
      <c r="AE14" s="220">
        <f t="shared" ca="1" si="9"/>
        <v>0</v>
      </c>
      <c r="AF14" s="218">
        <f t="shared" ca="1" si="10"/>
        <v>79</v>
      </c>
      <c r="AG14" s="803">
        <f t="shared" ca="1" si="11"/>
        <v>409.20000000000005</v>
      </c>
      <c r="AH14" s="218">
        <f t="shared" ca="1" si="12"/>
        <v>204.6</v>
      </c>
      <c r="AI14" s="803">
        <f t="shared" ca="1" si="13"/>
        <v>204.6</v>
      </c>
      <c r="AJ14" s="218">
        <f t="shared" ca="1" si="14"/>
        <v>409.2</v>
      </c>
      <c r="AK14" s="803">
        <f t="shared" ca="1" si="15"/>
        <v>6.14</v>
      </c>
      <c r="AL14" s="218">
        <f t="shared" ca="1" si="21"/>
        <v>2283.9399999999987</v>
      </c>
      <c r="AM14" s="290" t="str">
        <f t="shared" ca="1" si="16"/>
        <v>C</v>
      </c>
      <c r="AN14" s="291" t="str">
        <f t="shared" ca="1" si="17"/>
        <v>FT</v>
      </c>
      <c r="AO14" s="223">
        <f ca="1">+INDIRECT("[EMPINFO.xlsm]"&amp;$O$2&amp;"!t14")</f>
        <v>30</v>
      </c>
      <c r="AP14" s="226">
        <f ca="1">+INDIRECT("[EMPINFO.xlsm]"&amp;$O$2&amp;"!o14")</f>
        <v>-160</v>
      </c>
      <c r="AQ14" s="840">
        <f ca="1">+INDIRECT("[EMPINFO.xlsm]"&amp;$O$2&amp;"!p14")</f>
        <v>-1494.46</v>
      </c>
      <c r="AR14" s="226">
        <f ca="1">+INDIRECT("[EMPINFO.xlsm]"&amp;$O$2&amp;"!j14")</f>
        <v>0</v>
      </c>
      <c r="AS14" s="840">
        <f ca="1">+INDIRECT("[EMPINFO.xlsm]"&amp;$O$2&amp;"!k14")</f>
        <v>164.99999999999997</v>
      </c>
      <c r="AT14" s="226">
        <f ca="1">+INDIRECT("[EMPINFO.xlsm]"&amp;$O$2&amp;"!m14")</f>
        <v>0</v>
      </c>
      <c r="AU14" s="844">
        <f ca="1">+INDIRECT("[EMPINFO.xlsm]"&amp;$O$2&amp;"!n14")</f>
        <v>240</v>
      </c>
      <c r="AV14" s="244">
        <f t="shared" si="22"/>
        <v>120</v>
      </c>
      <c r="AW14" s="244">
        <f t="shared" si="23"/>
        <v>180</v>
      </c>
      <c r="AX14" s="840">
        <f ca="1">+INDIRECT("[EMPINFO.xlsm]"&amp;$O$2&amp;"!u14")</f>
        <v>30</v>
      </c>
      <c r="AY14" s="215">
        <f ca="1">+INDIRECT("[EMPINFO.xlsm]"&amp;$O$2&amp;"!v14")</f>
        <v>0</v>
      </c>
      <c r="AZ14" s="797" t="str">
        <f ca="1">+INDIRECT("[EMPINFO.xlsm]"&amp;$O$2&amp;"!x14")</f>
        <v>ACTIVE</v>
      </c>
      <c r="BA14" s="844">
        <f ca="1">+INDIRECT("[EMPINFO.xlsm]"&amp;$O$2&amp;"!w14")</f>
        <v>0</v>
      </c>
      <c r="BB14" s="288">
        <f t="shared" ca="1" si="18"/>
        <v>0.15</v>
      </c>
      <c r="BC14" s="289">
        <f t="shared" ca="1" si="19"/>
        <v>2775</v>
      </c>
      <c r="BD14" s="255"/>
      <c r="BE14" s="206"/>
      <c r="BF14" s="32"/>
      <c r="BH14" s="32"/>
    </row>
    <row r="15" spans="1:62" ht="15.75" customHeight="1" thickBot="1" x14ac:dyDescent="0.3">
      <c r="A15" s="54"/>
      <c r="L15" s="101"/>
      <c r="M15" s="303"/>
      <c r="N15" s="211">
        <f t="shared" ca="1" si="0"/>
        <v>11.960769230769232</v>
      </c>
      <c r="O15" s="213">
        <f>+DATA!A14</f>
        <v>46357</v>
      </c>
      <c r="P15" s="219">
        <f ca="1">+INDIRECT("[EMPINFO.xlsm]"&amp;$O$2&amp;"!G15")</f>
        <v>4</v>
      </c>
      <c r="Q15" s="215">
        <f ca="1">IF(AZ15="active",INDIRECT("[EMPINFO.xlsm]"&amp;$O$2&amp;"!H15"),0)</f>
        <v>40</v>
      </c>
      <c r="R15" s="239">
        <f t="shared" si="20"/>
        <v>10.23</v>
      </c>
      <c r="S15" s="216">
        <f t="shared" ca="1" si="1"/>
        <v>1773.1999999999989</v>
      </c>
      <c r="T15" s="220">
        <f t="shared" ca="1" si="2"/>
        <v>0</v>
      </c>
      <c r="U15" s="218">
        <f t="shared" ca="1" si="3"/>
        <v>0</v>
      </c>
      <c r="V15" s="220">
        <f>+decoth*dechrrt</f>
        <v>0</v>
      </c>
      <c r="W15" s="202">
        <f ca="1">IF(AZ15&lt;&gt;"active",0,(IF(Timer="PT_casual",(bonusdec/1040*(BA10:BA15)),(bonusdec*(SUM(AO10:AO15)/SUM(AX10:AX15))*(SUM(Q10:Q15)/240)))))</f>
        <v>135.1</v>
      </c>
      <c r="X15" s="218">
        <f t="shared" ca="1" si="4"/>
        <v>120</v>
      </c>
      <c r="Y15" s="803">
        <f t="shared" ca="1" si="5"/>
        <v>180</v>
      </c>
      <c r="Z15" s="218">
        <f t="shared" ca="1" si="6"/>
        <v>2208.2999999999988</v>
      </c>
      <c r="AA15" s="803">
        <f t="shared" ca="1" si="7"/>
        <v>108</v>
      </c>
      <c r="AB15" s="218">
        <f ca="1">+INDIRECT("[EMPINFO.xlsm]"&amp;$O$2&amp;"!s15")</f>
        <v>0</v>
      </c>
      <c r="AC15" s="292">
        <v>1.5</v>
      </c>
      <c r="AD15" s="218">
        <f t="shared" ca="1" si="8"/>
        <v>0</v>
      </c>
      <c r="AE15" s="220">
        <f t="shared" ca="1" si="9"/>
        <v>0</v>
      </c>
      <c r="AF15" s="218">
        <f t="shared" ca="1" si="10"/>
        <v>108</v>
      </c>
      <c r="AG15" s="803">
        <f t="shared" ca="1" si="11"/>
        <v>409.20000000000005</v>
      </c>
      <c r="AH15" s="218">
        <f t="shared" ca="1" si="12"/>
        <v>163.68</v>
      </c>
      <c r="AI15" s="803">
        <f t="shared" ca="1" si="13"/>
        <v>163.68</v>
      </c>
      <c r="AJ15" s="218">
        <f t="shared" ca="1" si="14"/>
        <v>327.36</v>
      </c>
      <c r="AK15" s="803">
        <f t="shared" ca="1" si="15"/>
        <v>4.91</v>
      </c>
      <c r="AL15" s="218">
        <f t="shared" ca="1" si="21"/>
        <v>2376.8899999999985</v>
      </c>
      <c r="AM15" s="290" t="str">
        <f t="shared" ca="1" si="16"/>
        <v>C</v>
      </c>
      <c r="AN15" s="291" t="str">
        <f t="shared" ca="1" si="17"/>
        <v>FT</v>
      </c>
      <c r="AO15" s="223">
        <f ca="1">+INDIRECT("[EMPINFO.xlsm]"&amp;$O$2&amp;"!t15")</f>
        <v>31</v>
      </c>
      <c r="AP15" s="226">
        <f ca="1">+INDIRECT("[EMPINFO.xlsm]"&amp;$O$2&amp;"!o15")</f>
        <v>-160</v>
      </c>
      <c r="AQ15" s="840">
        <f ca="1">+INDIRECT("[EMPINFO.xlsm]"&amp;$O$2&amp;"!p15")</f>
        <v>-1654.46</v>
      </c>
      <c r="AR15" s="226">
        <f ca="1">+INDIRECT("[EMPINFO.xlsm]"&amp;$O$2&amp;"!j15")</f>
        <v>0</v>
      </c>
      <c r="AS15" s="840">
        <f ca="1">+INDIRECT("[EMPINFO.xlsm]"&amp;$O$2&amp;"!k15")</f>
        <v>164.99999999999997</v>
      </c>
      <c r="AT15" s="226">
        <f ca="1">+INDIRECT("[EMPINFO.xlsm]"&amp;$O$2&amp;"!m15")</f>
        <v>0</v>
      </c>
      <c r="AU15" s="844">
        <f ca="1">+INDIRECT("[EMPINFO.xlsm]"&amp;$O$2&amp;"!n15")</f>
        <v>240</v>
      </c>
      <c r="AV15" s="244">
        <f t="shared" si="22"/>
        <v>120</v>
      </c>
      <c r="AW15" s="244">
        <f t="shared" si="23"/>
        <v>180</v>
      </c>
      <c r="AX15" s="838">
        <f ca="1">+INDIRECT("[EMPINFO.xlsm]"&amp;$O$2&amp;"!u15")</f>
        <v>31</v>
      </c>
      <c r="AY15" s="215">
        <f ca="1">+INDIRECT("[EMPINFO.xlsm]"&amp;$O$2&amp;"!v15")</f>
        <v>0</v>
      </c>
      <c r="AZ15" s="797" t="str">
        <f ca="1">+INDIRECT("[EMPINFO.xlsm]"&amp;$O$2&amp;"!x15")</f>
        <v>ACTIVE</v>
      </c>
      <c r="BA15" s="844">
        <f ca="1">+INDIRECT("[EMPINFO.xlsm]"&amp;$O$2&amp;"!w15")</f>
        <v>0</v>
      </c>
      <c r="BB15" s="288">
        <f t="shared" ca="1" si="18"/>
        <v>0.25</v>
      </c>
      <c r="BC15" s="289">
        <f t="shared" ca="1" si="19"/>
        <v>5325</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20732.919999999991</v>
      </c>
      <c r="T16" s="221">
        <f t="shared" ca="1" si="24"/>
        <v>0</v>
      </c>
      <c r="U16" s="217">
        <f t="shared" ca="1" si="24"/>
        <v>0</v>
      </c>
      <c r="V16" s="221">
        <f t="shared" ca="1" si="24"/>
        <v>0</v>
      </c>
      <c r="W16" s="217">
        <f t="shared" ca="1" si="24"/>
        <v>512.52</v>
      </c>
      <c r="X16" s="217">
        <f t="shared" ca="1" si="24"/>
        <v>1440</v>
      </c>
      <c r="Y16" s="804">
        <f t="shared" ca="1" si="24"/>
        <v>2160</v>
      </c>
      <c r="Z16" s="217">
        <f t="shared" ca="1" si="24"/>
        <v>24845.439999999984</v>
      </c>
      <c r="AA16" s="804">
        <f t="shared" ca="1" si="24"/>
        <v>968</v>
      </c>
      <c r="AB16" s="217">
        <f ca="1">+INDIRECT("[EMPINFO.xlsm]"&amp;$O$2&amp;"!S16")</f>
        <v>0</v>
      </c>
      <c r="AC16" s="221" t="s">
        <v>150</v>
      </c>
      <c r="AD16" s="217">
        <f ca="1">SUM(AD4:AD15)</f>
        <v>0</v>
      </c>
      <c r="AE16" s="221">
        <f ca="1">SUM(AE4:AE15)</f>
        <v>0</v>
      </c>
      <c r="AF16" s="217">
        <f ca="1">SUM(AF4:AF15)</f>
        <v>968</v>
      </c>
      <c r="AG16" s="221"/>
      <c r="AH16" s="217">
        <f ca="1">SUM(AH4:AH15)</f>
        <v>2073.2999999999997</v>
      </c>
      <c r="AI16" s="803">
        <f ca="1">SUM(AI4:AI15)</f>
        <v>2073.2999999999997</v>
      </c>
      <c r="AJ16" s="217">
        <f t="shared" ca="1" si="14"/>
        <v>4146.5999999999995</v>
      </c>
      <c r="AK16" s="835">
        <f ca="1">SUM(AK4:AK15)</f>
        <v>62.209999999999994</v>
      </c>
      <c r="AL16" s="217">
        <f ca="1">+SUM(AL4:AL15)</f>
        <v>26980.949999999983</v>
      </c>
      <c r="AM16" s="298"/>
      <c r="AN16" s="297"/>
      <c r="AO16" s="224">
        <f ca="1">+INDIRECT("[EMPINFO.xlsm]"&amp;$O$2&amp;"!T16")</f>
        <v>365</v>
      </c>
      <c r="AP16" s="299">
        <f>+[1]RGaldes!O16</f>
        <v>0</v>
      </c>
      <c r="AQ16" s="841">
        <f ca="1">+INDIRECT("[EMPINFO.xlsm]"&amp;$O$2&amp;"!p16")</f>
        <v>-1654.46</v>
      </c>
      <c r="AR16" s="299"/>
      <c r="AS16" s="841">
        <f ca="1">+INDIRECT("[EMPINFO.xlsm]"&amp;$O$2&amp;"!k16")</f>
        <v>164.99999999999997</v>
      </c>
      <c r="AT16" s="299">
        <f ca="1">+INDIRECT("[EMPINFO.xlsm]"&amp;$O$2&amp;"!m16")</f>
        <v>0</v>
      </c>
      <c r="AU16" s="841">
        <f ca="1">+INDIRECT("[EMPINFO.xlsm]"&amp;$O$2&amp;"!n16")</f>
        <v>240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24845</v>
      </c>
      <c r="I17" s="456"/>
      <c r="K17" s="317" t="s">
        <v>151</v>
      </c>
      <c r="L17" s="101"/>
      <c r="M17" s="256" t="s">
        <v>241</v>
      </c>
      <c r="N17" s="257" t="s">
        <v>152</v>
      </c>
      <c r="O17" s="258">
        <f ca="1">+Med_Tot</f>
        <v>24845.439999999984</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-1654.46</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Bonnici Louana</v>
      </c>
      <c r="P19" s="374" t="str">
        <f>+IDCard</f>
        <v>182694M</v>
      </c>
      <c r="Q19" s="375" t="str">
        <f>+designation</f>
        <v>4. CLINICAL Manager</v>
      </c>
      <c r="R19" s="376" t="s">
        <v>156</v>
      </c>
      <c r="S19" s="377">
        <f ca="1">+S20+S23+S22+S24+S25+S26+S21</f>
        <v>1891.3733333333323</v>
      </c>
      <c r="T19" s="378" t="str">
        <f>+FS4_Status</f>
        <v>PAR2</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1591.3733333333323</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293.8</v>
      </c>
      <c r="U21" s="372">
        <f ca="1">INDEX(PYRL_Summary,MATCH(O21,months,0),22)</f>
        <v>146.9</v>
      </c>
      <c r="V21" s="373">
        <f ca="1">INDEX(PYRL_Summary,MATCH(O21,months,0),23)</f>
        <v>146.9</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4.41</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24845</v>
      </c>
      <c r="I23" s="466"/>
      <c r="J23" s="318" t="s">
        <v>169</v>
      </c>
      <c r="K23" s="916"/>
      <c r="L23" s="917"/>
      <c r="N23" s="420"/>
      <c r="O23" s="344">
        <f>+ID</f>
        <v>2018004</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52</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120</v>
      </c>
      <c r="Q25" s="99" t="str">
        <f ca="1">IF(INDEX(INDAT,MATCH(O21,(INDIRECT(("months"),TRUE)),0),5)&gt;=0.01, "Sup
 Bonus"," ")</f>
        <v>Sup
 Bonus</v>
      </c>
      <c r="R25" s="100">
        <f>IF((INDEX(PYRL_Summary,MATCH(O21,months,0),13)&gt;=0.01),(INDEX(PYRL_Summary,MATCH(O21,months,0),13)),0)</f>
        <v>180</v>
      </c>
      <c r="S25" s="102">
        <f>+P25+R25</f>
        <v>300</v>
      </c>
      <c r="T25" s="889">
        <f>+IBAN</f>
        <v>0</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1692.4733333333322</v>
      </c>
      <c r="V26" s="418"/>
      <c r="X26" s="575"/>
    </row>
    <row r="27" spans="1:56" ht="24" customHeight="1" thickBot="1" x14ac:dyDescent="0.3">
      <c r="A27" s="54"/>
      <c r="B27" s="73" t="s">
        <v>52</v>
      </c>
      <c r="G27" s="73" t="s">
        <v>53</v>
      </c>
      <c r="H27" s="8">
        <f ca="1">IF(OR(Timer="PT", Timer="pt_casual"),0,AA16)</f>
        <v>968</v>
      </c>
      <c r="I27" s="319" t="s">
        <v>179</v>
      </c>
      <c r="J27" s="96"/>
      <c r="L27" s="322">
        <v>0</v>
      </c>
      <c r="N27" s="421" t="s">
        <v>180</v>
      </c>
      <c r="O27" s="360" t="s">
        <v>181</v>
      </c>
      <c r="P27" s="361">
        <f>+O21-1</f>
        <v>46022</v>
      </c>
      <c r="Q27" s="362"/>
      <c r="R27" s="363" t="s">
        <v>182</v>
      </c>
      <c r="S27" s="364">
        <f ca="1">(INDEX(PYRL_Summary,MATCH(P27,months,0),33))</f>
        <v>0</v>
      </c>
      <c r="T27" s="544" t="str">
        <f>IF(Y27=0, "DO NOT INPUT HERE. USE HIGHLIGHTED ",Y27)</f>
        <v>revolut</v>
      </c>
      <c r="U27" s="545"/>
      <c r="V27" s="546"/>
      <c r="W27" s="73" t="s">
        <v>183</v>
      </c>
      <c r="Y27" s="436" t="s">
        <v>631</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24.5</v>
      </c>
      <c r="R28" s="392" t="s">
        <v>188</v>
      </c>
      <c r="S28" s="393">
        <f ca="1">INDEX(PYRL_Summary,MATCH(O21,months,0),33)</f>
        <v>178.99999999999997</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Bonnici Louana</v>
      </c>
      <c r="P29" s="394" t="str">
        <f>+IDCard</f>
        <v>182694M</v>
      </c>
      <c r="Q29" s="395" t="str">
        <f>+designation</f>
        <v>4. CLINICAL Manager</v>
      </c>
      <c r="R29" s="396" t="s">
        <v>156</v>
      </c>
      <c r="S29" s="397">
        <f ca="1">+S30+S33+S32+S34+S35+S36+S31</f>
        <v>1891.3733333333323</v>
      </c>
      <c r="T29" s="431" t="str">
        <f>+FS4_Status</f>
        <v>PAR2</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1591.3733333333323</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968</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293.8</v>
      </c>
      <c r="U31" s="358">
        <f ca="1">INDEX(PYRL_Summary,MATCH(O31,months,0),22)</f>
        <v>146.9</v>
      </c>
      <c r="V31" s="359">
        <f ca="1">INDEX(PYRL_Summary,MATCH(O31,months,0),23)</f>
        <v>146.9</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4.41</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2018004</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52</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120</v>
      </c>
      <c r="Q35" s="99" t="str">
        <f ca="1">IF(INDEX(INDAT,MATCH(O31,(INDIRECT(("months"),TRUE)),0),5)&gt;=0.01, "Sup
 Bonus"," ")</f>
        <v>Sup
 Bonus</v>
      </c>
      <c r="R35" s="100">
        <f ca="1">IF((INDEX(PYRL_Summary,MATCH(O31,months,0),13)&gt;=0.01),(INDEX(PYRL_Summary,MATCH(O31,months,0),13)),0)</f>
        <v>180</v>
      </c>
      <c r="S35" s="102">
        <f ca="1">+P35+R35</f>
        <v>300</v>
      </c>
      <c r="T35" s="889">
        <f>+IBAN</f>
        <v>0</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1692.4733333333322</v>
      </c>
      <c r="V36" s="418"/>
      <c r="W36" s="66">
        <f ca="1">+U36+U26-1875.67</f>
        <v>1509.2766666666644</v>
      </c>
      <c r="X36" s="73" t="s">
        <v>647</v>
      </c>
    </row>
    <row r="37" spans="1:37" ht="25.5" customHeight="1" thickBot="1" x14ac:dyDescent="0.3">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45</v>
      </c>
      <c r="R37" s="354"/>
      <c r="S37" s="356"/>
      <c r="T37" s="544" t="str">
        <f>IF(Y37=0, "DO NOT INPUT HERE. USE HIGHLIGHTED ",Y37)</f>
        <v>revolut</v>
      </c>
      <c r="U37" s="545"/>
      <c r="V37" s="546"/>
      <c r="W37" s="73" t="s">
        <v>183</v>
      </c>
      <c r="Y37" s="436" t="s">
        <v>631</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24.740000000000009</v>
      </c>
      <c r="R38" s="410" t="s">
        <v>188</v>
      </c>
      <c r="S38" s="411">
        <f ca="1">INDEX(PYRL_Summary,MATCH(O31,months,0),33)</f>
        <v>164.99999999999997</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Bonnici Louana</v>
      </c>
      <c r="P39" s="374" t="str">
        <f>+IDCard</f>
        <v>182694M</v>
      </c>
      <c r="Q39" s="375" t="str">
        <f>+designation</f>
        <v>4. CLINICAL Manager</v>
      </c>
      <c r="R39" s="376" t="s">
        <v>156</v>
      </c>
      <c r="S39" s="377">
        <f ca="1">+S40+S43+S42+S44+S45+S46+S41</f>
        <v>2012.5333333333324</v>
      </c>
      <c r="T39" s="378" t="str">
        <f>+FS4_Status</f>
        <v>PAR2</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1591.3733333333323</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367.24</v>
      </c>
      <c r="U41" s="372">
        <f ca="1">INDEX(PYRL_Summary,MATCH(O41,months,0),22)</f>
        <v>183.62</v>
      </c>
      <c r="V41" s="373">
        <f ca="1">INDEX(PYRL_Summary,MATCH(O41,months,0),23)</f>
        <v>183.62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5.51</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2018004</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70</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120</v>
      </c>
      <c r="Q45" s="99" t="str">
        <f ca="1">IF(INDEX(INDAT,MATCH(O41,(INDIRECT(("months"),TRUE)),0),5)&gt;=0.01, "Sup
 Bonus"," ")</f>
        <v>Sup
 Bonus</v>
      </c>
      <c r="R45" s="100">
        <f ca="1">IF((INDEX(PYRL_Summary,MATCH(O41,months,0),13)&gt;=0.01),(INDEX(PYRL_Summary,MATCH(O41,months,0),13)),0)</f>
        <v>180</v>
      </c>
      <c r="S45" s="102">
        <f ca="1">+P45+R45</f>
        <v>300</v>
      </c>
      <c r="T45" s="889">
        <f>+IBAN</f>
        <v>0</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1758.9133333333325</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14</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25.54000000000002</v>
      </c>
      <c r="R48" s="392" t="s">
        <v>188</v>
      </c>
      <c r="S48" s="393">
        <f ca="1">INDEX(PYRL_Summary,MATCH(O41,months,0),33)</f>
        <v>164.99999999999997</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Bonnici Louana</v>
      </c>
      <c r="P49" s="394" t="str">
        <f>+IDCard</f>
        <v>182694M</v>
      </c>
      <c r="Q49" s="395" t="str">
        <f>+designation</f>
        <v>4. CLINICAL Manager</v>
      </c>
      <c r="R49" s="396" t="s">
        <v>156</v>
      </c>
      <c r="S49" s="397">
        <f ca="1">+S50+S53+S52+S54+S55+S56+S51</f>
        <v>2073.1999999999989</v>
      </c>
      <c r="T49" s="431" t="str">
        <f>+FS4_Status</f>
        <v>PAR2</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1773.1999999999991</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327.36</v>
      </c>
      <c r="U51" s="358">
        <f ca="1">INDEX(PYRL_Summary,MATCH(O51,months,0),22)</f>
        <v>163.68</v>
      </c>
      <c r="V51" s="359">
        <f ca="1">INDEX(PYRL_Summary,MATCH(O51,months,0),23)</f>
        <v>163.68</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4.91</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2018004</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INDEX(PYRL_Summary,MATCH(O51,months,0),10)</f>
        <v>0</v>
      </c>
      <c r="T54" s="189" t="s">
        <v>176</v>
      </c>
      <c r="U54" s="190"/>
      <c r="V54" s="350">
        <f ca="1">INDEX(PYRL_Summary,MATCH(O51,months,0),15)</f>
        <v>79</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120</v>
      </c>
      <c r="Q55" s="99" t="str">
        <f ca="1">IF(INDEX(INDAT,MATCH(O51,(INDIRECT(("months"),TRUE)),0),5)&gt;=0.01, "Sup
 Bonus"," ")</f>
        <v>Sup
 Bonus</v>
      </c>
      <c r="R55" s="100">
        <f ca="1">IF((INDEX(PYRL_Summary,MATCH(O51,months,0),13)&gt;=0.01),(INDEX(PYRL_Summary,MATCH(O51,months,0),13)),0)</f>
        <v>180</v>
      </c>
      <c r="S55" s="102">
        <f ca="1">+P55+R55</f>
        <v>300</v>
      </c>
      <c r="T55" s="889">
        <f>+IBAN</f>
        <v>0</v>
      </c>
      <c r="U55" s="890"/>
      <c r="V55" s="891"/>
    </row>
    <row r="56" spans="1:37" ht="16.5" customHeight="1" thickBot="1" x14ac:dyDescent="0.3">
      <c r="E56" s="116" t="s">
        <v>215</v>
      </c>
      <c r="F56" s="115">
        <f>INDEX([1]!empdata,MATCH(ID,[1]!empid,0),17)</f>
        <v>0</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1830.5199999999988</v>
      </c>
      <c r="V56" s="418"/>
    </row>
    <row r="57" spans="1:37" ht="26.25" customHeight="1" thickBot="1" x14ac:dyDescent="0.3">
      <c r="E57" s="116" t="s">
        <v>216</v>
      </c>
      <c r="F57" s="340" t="str">
        <f>INDEX([1]!empdata,MATCH(ID,[1]!empid,0),12)</f>
        <v>luana_bonnici@hotmail.com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34446</v>
      </c>
      <c r="G58" s="56"/>
      <c r="H58" s="63"/>
      <c r="N58" s="406">
        <f ca="1">INDEX(PYRL_Summary,MATCH(O51,months,0),4)</f>
        <v>4</v>
      </c>
      <c r="O58" s="407" t="s">
        <v>187</v>
      </c>
      <c r="P58" s="408">
        <f>+O41</f>
        <v>46082</v>
      </c>
      <c r="Q58" s="409">
        <f ca="1">INDEX(PYRL_Summary,MATCH(P58,months,0),31)</f>
        <v>-134.45999999999998</v>
      </c>
      <c r="R58" s="410" t="s">
        <v>188</v>
      </c>
      <c r="S58" s="411">
        <f ca="1">INDEX(PYRL_Summary,MATCH(O51,months,0),33)</f>
        <v>164.99999999999997</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42260</v>
      </c>
      <c r="G59" s="56"/>
      <c r="H59" s="63"/>
      <c r="N59" s="386">
        <f ca="1">IF(OR(INDEX(PYRL_Summary,MATCH(O61,months,0),28)="pt",INDEX(PYRL_Summary,MATCH(O61,months,0),28)="pt_casual"),0,IF(N62-N61&gt;=1,1,0))</f>
        <v>1</v>
      </c>
      <c r="O59" s="894" t="str">
        <f>Surname&amp;" "&amp;Name</f>
        <v>Bonnici Louana</v>
      </c>
      <c r="P59" s="374" t="str">
        <f>+IDCard</f>
        <v>182694M</v>
      </c>
      <c r="Q59" s="375" t="str">
        <f>+designation</f>
        <v>4. CLINICAL Manager</v>
      </c>
      <c r="R59" s="376" t="s">
        <v>156</v>
      </c>
      <c r="S59" s="377">
        <f ca="1">+S60+S63+S62+S64+S65+S66+S61</f>
        <v>2073.1999999999989</v>
      </c>
      <c r="T59" s="378" t="str">
        <f>+FS4_Status</f>
        <v>PAR2</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4. CLINICAL Manager</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1773.1999999999989</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327.36</v>
      </c>
      <c r="U61" s="372">
        <f ca="1">INDEX(PYRL_Summary,MATCH(O61,months,0),22)</f>
        <v>163.68</v>
      </c>
      <c r="V61" s="373">
        <f ca="1">INDEX(PYRL_Summary,MATCH(O61,months,0),23)</f>
        <v>163.68</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PAR2</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4.91</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2018004</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INDEX(PYRL_Summary,MATCH(O61,months,0),10)</f>
        <v>0</v>
      </c>
      <c r="T64" s="189" t="s">
        <v>176</v>
      </c>
      <c r="U64" s="190"/>
      <c r="V64" s="350">
        <f ca="1">INDEX(PYRL_Summary,MATCH(O61,months,0),15)</f>
        <v>79</v>
      </c>
      <c r="X64" s="577"/>
    </row>
    <row r="65" spans="5:37" ht="15.75" customHeight="1" thickBot="1" x14ac:dyDescent="0.3">
      <c r="E65" s="925" t="s">
        <v>224</v>
      </c>
      <c r="F65" s="926"/>
      <c r="G65" s="103">
        <f ca="1">+Med_Tot</f>
        <v>24845.439999999984</v>
      </c>
      <c r="H65" s="113" t="s">
        <v>225</v>
      </c>
      <c r="N65" s="420"/>
      <c r="O65" s="345" t="str">
        <f ca="1">IF(INDEX(INDAT,MATCH(O61,(INDIRECT(("months"),TRUE)),0),4)&gt;=0.01, "Performance Bonus"," ")</f>
        <v>Performance Bonus</v>
      </c>
      <c r="P65" s="100">
        <f ca="1">IF((INDEX(PYRL_Summary,MATCH(O61,months,0),12)&gt;=0.01),(INDEX(PYRL_Summary,MATCH(O61,months,0),12)),0)</f>
        <v>120</v>
      </c>
      <c r="Q65" s="99" t="str">
        <f ca="1">IF(INDEX(INDAT,MATCH(O61,(INDIRECT(("months"),TRUE)),0),5)&gt;=0.01, "Sup
 Bonus"," ")</f>
        <v>Sup
 Bonus</v>
      </c>
      <c r="R65" s="100">
        <f ca="1">IF((INDEX(PYRL_Summary,MATCH(O61,months,0),13)&gt;=0.01),(INDEX(PYRL_Summary,MATCH(O61,months,0),13)),0)</f>
        <v>180</v>
      </c>
      <c r="S65" s="102">
        <f ca="1">+P65+R65</f>
        <v>300</v>
      </c>
      <c r="T65" s="889">
        <f>+IBAN</f>
        <v>0</v>
      </c>
      <c r="U65" s="890"/>
      <c r="V65" s="891"/>
    </row>
    <row r="66" spans="5:37" ht="16.5" customHeight="1" thickBot="1" x14ac:dyDescent="0.3">
      <c r="E66" s="952" t="s">
        <v>226</v>
      </c>
      <c r="F66" s="953"/>
      <c r="G66" s="112">
        <f ca="1">+PREVFS3+Med_Tot</f>
        <v>24845.439999999984</v>
      </c>
      <c r="H66" s="114">
        <f ca="1">IF(grossyearly&lt;F68,1,IF(grossyearly&lt;F69,2,IF(grossyearly&lt;F70,3,IF(grossyearly&lt;F71,4,5))))</f>
        <v>2</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1830.5199999999988</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PAR2max1</v>
      </c>
      <c r="F68" s="66">
        <f>+VLOOKUP(E68,SStable,4,)</f>
        <v>18500</v>
      </c>
      <c r="G68" s="109">
        <f>+VLOOKUP(E68,SStable,5,)</f>
        <v>0</v>
      </c>
      <c r="H68" s="104">
        <f>+VLOOKUP(E68,SStable,6,)</f>
        <v>0</v>
      </c>
      <c r="N68" s="388">
        <f ca="1">INDEX(PYRL_Summary,MATCH(O61,months,0),4)</f>
        <v>4</v>
      </c>
      <c r="O68" s="389" t="s">
        <v>187</v>
      </c>
      <c r="P68" s="390">
        <f>+O51</f>
        <v>46113</v>
      </c>
      <c r="Q68" s="391">
        <f ca="1">INDEX(PYRL_Summary,MATCH(P68,months,0),31)</f>
        <v>-294.45999999999998</v>
      </c>
      <c r="R68" s="392" t="s">
        <v>188</v>
      </c>
      <c r="S68" s="393">
        <f ca="1">INDEX(PYRL_Summary,MATCH(O61,months,0),33)</f>
        <v>164.99999999999997</v>
      </c>
      <c r="T68" s="425" t="str">
        <f>+Clinic_add</f>
        <v>7,  Mediatrix, Sanctuary Str. Zabbar ZBR1010
8, Mediatrix, Guze Duca Str., Qormi QRM9088</v>
      </c>
      <c r="U68" s="426"/>
      <c r="V68" s="427" t="s">
        <v>189</v>
      </c>
    </row>
    <row r="69" spans="5:37" ht="27" customHeight="1" thickBot="1" x14ac:dyDescent="0.3">
      <c r="E69" s="80" t="str">
        <f>CONCATENATE(FS4_Status,"max",2)</f>
        <v>PAR2max2</v>
      </c>
      <c r="F69" s="66">
        <f>+VLOOKUP(E69,SStable,4,)</f>
        <v>25500</v>
      </c>
      <c r="G69" s="109">
        <f>+VLOOKUP(E69,SStable,5,)</f>
        <v>0.15</v>
      </c>
      <c r="H69" s="104">
        <f>+VLOOKUP(E69,SStable,6,)</f>
        <v>2775</v>
      </c>
      <c r="N69" s="403">
        <f ca="1">IF(OR(INDEX(PYRL_Summary,MATCH(O71,months,0),28)="pt",INDEX(PYRL_Summary,MATCH(O71,months,0),28)="pt_casual"),0,IF(N72-N71&gt;=1,1,0))</f>
        <v>1</v>
      </c>
      <c r="O69" s="908" t="str">
        <f>Surname&amp;" "&amp;Name</f>
        <v>Bonnici Louana</v>
      </c>
      <c r="P69" s="394" t="str">
        <f>+IDCard</f>
        <v>182694M</v>
      </c>
      <c r="Q69" s="395" t="str">
        <f>+designation</f>
        <v>4. CLINICAL Manager</v>
      </c>
      <c r="R69" s="396" t="s">
        <v>156</v>
      </c>
      <c r="S69" s="397">
        <f ca="1">+S70+S73+S72+S74+S75+S76+S71</f>
        <v>2208.2999999999993</v>
      </c>
      <c r="T69" s="431" t="str">
        <f>+FS4_Status</f>
        <v>PAR2</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PAR2max3</v>
      </c>
      <c r="F70" s="66">
        <f>+VLOOKUP(E70,SStable,4,)</f>
        <v>60000</v>
      </c>
      <c r="G70" s="109">
        <f>+VLOOKUP(E70,SStable,5,)</f>
        <v>0.25</v>
      </c>
      <c r="H70" s="104">
        <f>+VLOOKUP(E70,SStable,6,)</f>
        <v>5325</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1773.1999999999991</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PAR2max4</v>
      </c>
      <c r="F71" s="66">
        <f>+VLOOKUP(E71,SStable,4,)</f>
        <v>150000</v>
      </c>
      <c r="G71" s="109">
        <f>+VLOOKUP(E71,SStable,5,)</f>
        <v>0.35</v>
      </c>
      <c r="H71" s="104">
        <f>+VLOOKUP(E71,SStable,6,)</f>
        <v>11325</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409.2</v>
      </c>
      <c r="U71" s="358">
        <f ca="1">INDEX(PYRL_Summary,MATCH(O71,months,0),22)</f>
        <v>204.6</v>
      </c>
      <c r="V71" s="359">
        <f ca="1">INDEX(PYRL_Summary,MATCH(O71,months,0),23)</f>
        <v>204.6</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PAR2max5</v>
      </c>
      <c r="F72" s="66" t="s">
        <v>230</v>
      </c>
      <c r="G72" s="109">
        <f>+VLOOKUP(E72,SStable,5,)</f>
        <v>0</v>
      </c>
      <c r="H72" s="104">
        <f>+VLOOKUP(E72,SStable,6,)</f>
        <v>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6.14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2018004</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INDEX(PYRL_Summary,MATCH(O71,months,0),10)</f>
        <v>0</v>
      </c>
      <c r="T74" s="189" t="s">
        <v>176</v>
      </c>
      <c r="U74" s="190"/>
      <c r="V74" s="350">
        <f ca="1">INDEX(PYRL_Summary,MATCH(O71,months,0),15)</f>
        <v>108</v>
      </c>
      <c r="X74" s="577"/>
    </row>
    <row r="75" spans="5:37" ht="15.75" customHeight="1" thickBot="1" x14ac:dyDescent="0.3">
      <c r="E75" s="293"/>
      <c r="F75" s="294" t="s">
        <v>130</v>
      </c>
      <c r="G75" s="295">
        <f ca="1">IF(AND(Timer="pt",grossyearly&lt;10000),+ptrate,IF(grossyearly&lt;$F$68,$G$68,IF(grossyearly&lt;$F$69,$G$69,IF(grossyearly&lt;$F$70,$G$70,IF(grossyearly&lt;$F$71,$G$71,$G$72)))))</f>
        <v>0.15</v>
      </c>
      <c r="H75" s="296">
        <f ca="1">IF(grossyearly&lt;$F$68,$H$68,IF(grossyearly&lt;$F$69,$H$69,IF(grossyearly&lt;$F$70,$H$70,IF(grossyearly&lt;$F$71,$H$71,$H$72))))</f>
        <v>2775</v>
      </c>
      <c r="N75" s="404"/>
      <c r="O75" s="345" t="str">
        <f ca="1">IF(INDEX(INDAT,MATCH(O71,(INDIRECT(("months"),TRUE)),0),4)&gt;=0.01, "Performance Bonus"," ")</f>
        <v>Performance Bonus</v>
      </c>
      <c r="P75" s="100">
        <f ca="1">IF((INDEX(PYRL_Summary,MATCH(O71,months,0),12)&gt;=0.01),(INDEX(PYRL_Summary,MATCH(O71,months,0),12)),0)</f>
        <v>120</v>
      </c>
      <c r="Q75" s="99" t="str">
        <f ca="1">IF(INDEX(INDAT,MATCH(O71,(INDIRECT(("months"),TRUE)),0),5)&gt;=0.01, "Sup
 Bonus"," ")</f>
        <v>Sup
 Bonus</v>
      </c>
      <c r="R75" s="100">
        <f ca="1">IF((INDEX(PYRL_Summary,MATCH(O71,months,0),13)&gt;=0.01),(INDEX(PYRL_Summary,MATCH(O71,months,0),13)),0)</f>
        <v>180</v>
      </c>
      <c r="S75" s="102">
        <f ca="1">+P75+R75</f>
        <v>300</v>
      </c>
      <c r="T75" s="889">
        <f>+IBAN</f>
        <v>0</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1895.6999999999994</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-494.46</v>
      </c>
      <c r="R78" s="410" t="s">
        <v>188</v>
      </c>
      <c r="S78" s="411">
        <f ca="1">INDEX(PYRL_Summary,MATCH(O71,months,0),33)</f>
        <v>164.99999999999997</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Bonnici Louana</v>
      </c>
      <c r="P79" s="374" t="str">
        <f>+IDCard</f>
        <v>182694M</v>
      </c>
      <c r="Q79" s="375" t="str">
        <f>+designation</f>
        <v>4. CLINICAL Manager</v>
      </c>
      <c r="R79" s="376" t="s">
        <v>156</v>
      </c>
      <c r="S79" s="377">
        <f ca="1">+S80+S83+S82+S84+S85+S86+S81</f>
        <v>2073.1999999999989</v>
      </c>
      <c r="T79" s="378" t="str">
        <f>+FS4_Status</f>
        <v>PAR2</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1773.1999999999989</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327.36</v>
      </c>
      <c r="U81" s="372">
        <f ca="1">INDEX(PYRL_Summary,MATCH(O81,months,0),22)</f>
        <v>163.68</v>
      </c>
      <c r="V81" s="373">
        <f ca="1">INDEX(PYRL_Summary,MATCH(O81,months,0),23)</f>
        <v>163.68</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4.91</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2018004</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INDEX(PYRL_Summary,MATCH(O81,months,0),10)</f>
        <v>0</v>
      </c>
      <c r="T84" s="189" t="s">
        <v>176</v>
      </c>
      <c r="U84" s="190"/>
      <c r="V84" s="350">
        <f ca="1">INDEX(PYRL_Summary,MATCH(O81,months,0),15)</f>
        <v>79</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120</v>
      </c>
      <c r="Q85" s="99" t="str">
        <f ca="1">IF(INDEX(INDAT,MATCH(O81,(INDIRECT(("months"),TRUE)),0),5)&gt;=0.01, "Sup
 Bonus"," ")</f>
        <v>Sup
 Bonus</v>
      </c>
      <c r="R85" s="100">
        <f ca="1">IF((INDEX(PYRL_Summary,MATCH(O81,months,0),13)&gt;=0.01),(INDEX(PYRL_Summary,MATCH(O81,months,0),13)),0)</f>
        <v>180</v>
      </c>
      <c r="S85" s="102">
        <f ca="1">+P85+R85</f>
        <v>300</v>
      </c>
      <c r="T85" s="889">
        <f>+IBAN</f>
        <v>0</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1830.5199999999988</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164.99999999999997</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Bonnici Louana</v>
      </c>
      <c r="P89" s="394" t="str">
        <f>+IDCard</f>
        <v>182694M</v>
      </c>
      <c r="Q89" s="395" t="str">
        <f>+designation</f>
        <v>4. CLINICAL Manager</v>
      </c>
      <c r="R89" s="396" t="s">
        <v>156</v>
      </c>
      <c r="S89" s="397">
        <f ca="1">+S90+S93+S92+S94+S95+S96+S91</f>
        <v>2073.1999999999989</v>
      </c>
      <c r="T89" s="431" t="str">
        <f>+FS4_Status</f>
        <v>PAR2</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1773.1999999999989</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409.2</v>
      </c>
      <c r="U91" s="358">
        <f ca="1">INDEX(PYRL_Summary,MATCH(O91,months,0),22)</f>
        <v>204.6</v>
      </c>
      <c r="V91" s="359">
        <f ca="1">INDEX(PYRL_Summary,MATCH(O91,months,0),23)</f>
        <v>204.6</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6.14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2018004</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INDEX(PYRL_Summary,MATCH(O91,months,0),10)</f>
        <v>0</v>
      </c>
      <c r="T94" s="189" t="s">
        <v>176</v>
      </c>
      <c r="U94" s="190"/>
      <c r="V94" s="350">
        <f ca="1">INDEX(PYRL_Summary,MATCH(O91,months,0),15)</f>
        <v>79</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120</v>
      </c>
      <c r="Q95" s="99" t="str">
        <f ca="1">IF(INDEX(INDAT,MATCH(O91,(INDIRECT(("months"),TRUE)),0),5)&gt;=0.01, "Sup
 Bonus"," ")</f>
        <v>Sup
 Bonus</v>
      </c>
      <c r="R95" s="100">
        <f ca="1">IF((INDEX(PYRL_Summary,MATCH(O91,months,0),13)&gt;=0.01),(INDEX(PYRL_Summary,MATCH(O91,months,0),13)),0)</f>
        <v>180</v>
      </c>
      <c r="S95" s="102">
        <f ca="1">+P95+R95</f>
        <v>300</v>
      </c>
      <c r="T95" s="889">
        <f>+IBAN</f>
        <v>0</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1789.599999999999</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-814.46</v>
      </c>
      <c r="R98" s="410" t="s">
        <v>188</v>
      </c>
      <c r="S98" s="411">
        <f ca="1">INDEX(PYRL_Summary,MATCH(O91,months,0),33)</f>
        <v>164.99999999999997</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Bonnici Louana</v>
      </c>
      <c r="P99" s="374" t="str">
        <f>+IDCard</f>
        <v>182694M</v>
      </c>
      <c r="Q99" s="375" t="str">
        <f>+designation</f>
        <v>4. CLINICAL Manager</v>
      </c>
      <c r="R99" s="376" t="s">
        <v>156</v>
      </c>
      <c r="S99" s="377">
        <f ca="1">+S100+S103+S102+S104+S105+S106+S101</f>
        <v>2194.3599999999992</v>
      </c>
      <c r="T99" s="378" t="str">
        <f>+FS4_Status</f>
        <v>PAR2</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1773.1999999999991</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327.36</v>
      </c>
      <c r="U101" s="372">
        <f ca="1">INDEX(PYRL_Summary,MATCH(O101,months,0),22)</f>
        <v>163.68</v>
      </c>
      <c r="V101" s="373">
        <f ca="1">INDEX(PYRL_Summary,MATCH(O101,months,0),23)</f>
        <v>163.68</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4.91</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2018004</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INDEX(PYRL_Summary,MATCH(O101,months,0),10)</f>
        <v>0</v>
      </c>
      <c r="T104" s="189" t="s">
        <v>176</v>
      </c>
      <c r="U104" s="190"/>
      <c r="V104" s="350">
        <f ca="1">INDEX(PYRL_Summary,MATCH(O101,months,0),15)</f>
        <v>104</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120</v>
      </c>
      <c r="Q105" s="99" t="str">
        <f ca="1">IF(INDEX(INDAT,MATCH(O101,(INDIRECT(("months"),TRUE)),0),5)&gt;=0.01, "Sup
 Bonus"," ")</f>
        <v>Sup
 Bonus</v>
      </c>
      <c r="R105" s="100">
        <f ca="1">IF((INDEX(PYRL_Summary,MATCH(O101,months,0),13)&gt;=0.01),(INDEX(PYRL_Summary,MATCH(O101,months,0),13)),0)</f>
        <v>180</v>
      </c>
      <c r="S105" s="102">
        <f ca="1">+P105+R105</f>
        <v>300</v>
      </c>
      <c r="T105" s="889">
        <f>+IBAN</f>
        <v>0</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1926.6799999999992</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-974.46</v>
      </c>
      <c r="R108" s="392" t="s">
        <v>188</v>
      </c>
      <c r="S108" s="393">
        <f ca="1">INDEX(PYRL_Summary,MATCH(O101,months,0),33)</f>
        <v>164.99999999999997</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Bonnici Louana</v>
      </c>
      <c r="P109" s="394" t="str">
        <f>+IDCard</f>
        <v>182694M</v>
      </c>
      <c r="Q109" s="395" t="str">
        <f>+designation</f>
        <v>4. CLINICAL Manager</v>
      </c>
      <c r="R109" s="396" t="s">
        <v>156</v>
      </c>
      <c r="S109" s="397">
        <f ca="1">+S110+S113+S112+S114+S115+S116+S111</f>
        <v>2073.1999999999989</v>
      </c>
      <c r="T109" s="431" t="str">
        <f>+FS4_Status</f>
        <v>PAR2</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1773.1999999999989</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327.36</v>
      </c>
      <c r="U111" s="358">
        <f ca="1">INDEX(PYRL_Summary,MATCH(W109,months,0),22)</f>
        <v>163.68</v>
      </c>
      <c r="V111" s="359">
        <f ca="1">INDEX(PYRL_Summary,MATCH(W109,months,0),23)</f>
        <v>163.68</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4.91</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2018004</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INDEX(PYRL_Summary,MATCH(W109,months,0),10)</f>
        <v>0</v>
      </c>
      <c r="T114" s="189" t="s">
        <v>176</v>
      </c>
      <c r="U114" s="190"/>
      <c r="V114" s="350">
        <f ca="1">INDEX(PYRL_Summary,MATCH(W109,months,0),15)</f>
        <v>79</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120</v>
      </c>
      <c r="Q115" s="99" t="str">
        <f ca="1">IF(INDEX(INDAT,MATCH(W109,(INDIRECT(("months"),TRUE)),0),5)&gt;=0.01, "Sup
 Bonus"," ")</f>
        <v>Sup
 Bonus</v>
      </c>
      <c r="R115" s="100">
        <f ca="1">IF((INDEX(PYRL_Summary,MATCH(W109,months,0),13)&gt;=0.01),(INDEX(PYRL_Summary,MATCH(W109,months,0),13)),0)</f>
        <v>180</v>
      </c>
      <c r="S115" s="102">
        <f ca="1">+P115+R115</f>
        <v>300</v>
      </c>
      <c r="T115" s="889">
        <f>+IBAN</f>
        <v>0</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1830.5199999999988</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-1134.46</v>
      </c>
      <c r="R118" s="410" t="s">
        <v>188</v>
      </c>
      <c r="S118" s="411">
        <f ca="1">INDEX(PYRL_Summary,MATCH(W109,months,0),33)</f>
        <v>164.99999999999997</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Bonnici Louana</v>
      </c>
      <c r="P119" s="374" t="str">
        <f>+IDCard</f>
        <v>182694M</v>
      </c>
      <c r="Q119" s="375" t="str">
        <f>+designation</f>
        <v>4. CLINICAL Manager</v>
      </c>
      <c r="R119" s="376" t="s">
        <v>156</v>
      </c>
      <c r="S119" s="377">
        <f ca="1">+S120+S123+S122+S124+S125+S126+S121</f>
        <v>2073.1999999999989</v>
      </c>
      <c r="T119" s="378" t="str">
        <f>+FS4_Status</f>
        <v>PAR2</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1773.1999999999991</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409.2</v>
      </c>
      <c r="U121" s="372">
        <f ca="1">INDEX(PYRL_Summary,MATCH(W119,months,0),22)</f>
        <v>204.6</v>
      </c>
      <c r="V121" s="373">
        <f ca="1">INDEX(PYRL_Summary,MATCH(W119,months,0),23)</f>
        <v>204.6</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6.14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2018004</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INDEX(PYRL_Summary,MATCH(W119,months,0),10)</f>
        <v>0</v>
      </c>
      <c r="T124" s="189" t="s">
        <v>176</v>
      </c>
      <c r="U124" s="190"/>
      <c r="V124" s="350">
        <f ca="1">INDEX(PYRL_Summary,MATCH(W119,months,0),15)</f>
        <v>79</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120</v>
      </c>
      <c r="Q125" s="99" t="str">
        <f ca="1">IF(INDEX(INDAT,MATCH(W119,(INDIRECT(("months"),TRUE)),0),5)&gt;=0.01, "Sup
 Bonus"," ")</f>
        <v>Sup
 Bonus</v>
      </c>
      <c r="R125" s="100">
        <f ca="1">IF((INDEX(PYRL_Summary,MATCH(W119,months,0),13)&gt;=0.01),(INDEX(PYRL_Summary,MATCH(W119,months,0),13)),0)</f>
        <v>180</v>
      </c>
      <c r="S125" s="102">
        <f ca="1">+P125+R125</f>
        <v>300</v>
      </c>
      <c r="T125" s="889">
        <f>+IBAN</f>
        <v>0</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1789.599999999999</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-1334.46</v>
      </c>
      <c r="R128" s="392" t="s">
        <v>188</v>
      </c>
      <c r="S128" s="393">
        <f ca="1">INDEX(PYRL_Summary,MATCH(W119,months,0),33)</f>
        <v>164.99999999999997</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Bonnici Louana</v>
      </c>
      <c r="P129" s="394" t="str">
        <f>+IDCard</f>
        <v>182694M</v>
      </c>
      <c r="Q129" s="395" t="str">
        <f>+designation</f>
        <v>4. CLINICAL Manager</v>
      </c>
      <c r="R129" s="396" t="s">
        <v>156</v>
      </c>
      <c r="S129" s="397">
        <f ca="1">+S130+S133+S132+S134+S135+S136+S131</f>
        <v>2208.2999999999988</v>
      </c>
      <c r="T129" s="431" t="str">
        <f>+FS4_Status</f>
        <v>PAR2</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1773.1999999999989</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327.36</v>
      </c>
      <c r="U131" s="358">
        <f ca="1">INDEX(PYRL_Summary,MATCH(W129,months,0),22)</f>
        <v>163.68</v>
      </c>
      <c r="V131" s="359">
        <f ca="1">INDEX(PYRL_Summary,MATCH(W129,months,0),23)</f>
        <v>163.68</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4.91</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2018004</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INDEX(PYRL_Summary,MATCH(W129,months,0),10)</f>
        <v>0</v>
      </c>
      <c r="T134" s="189" t="s">
        <v>176</v>
      </c>
      <c r="U134" s="190"/>
      <c r="V134" s="350">
        <f ca="1">INDEX(PYRL_Summary,MATCH(W129,months,0),15)</f>
        <v>108</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120</v>
      </c>
      <c r="Q135" s="99" t="str">
        <f ca="1">IF(INDEX(INDAT,MATCH(W129,(INDIRECT(("months"),TRUE)),0),5)&gt;=0.01, "Sup
 Bonus"," ")</f>
        <v>Sup
 Bonus</v>
      </c>
      <c r="R135" s="100">
        <f ca="1">IF((INDEX(PYRL_Summary,MATCH(W129,months,0),13)&gt;=0.01),(INDEX(PYRL_Summary,MATCH(W129,months,0),13)),0)</f>
        <v>180</v>
      </c>
      <c r="S135" s="102">
        <f ca="1">+P135+R135</f>
        <v>300</v>
      </c>
      <c r="T135" s="889">
        <f>+IBAN</f>
        <v>0</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1936.6199999999988</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-1494.46</v>
      </c>
      <c r="R138" s="410" t="s">
        <v>188</v>
      </c>
      <c r="S138" s="411">
        <f ca="1">INDEX(PYRL_Summary,MATCH(W129,months,0),33)</f>
        <v>164.99999999999997</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435" priority="29">
      <formula>$P25=0</formula>
    </cfRule>
  </conditionalFormatting>
  <conditionalFormatting sqref="Q25:R25">
    <cfRule type="expression" dxfId="434" priority="28">
      <formula>$R25=0</formula>
    </cfRule>
  </conditionalFormatting>
  <conditionalFormatting sqref="S25">
    <cfRule type="expression" dxfId="433" priority="27">
      <formula>$S25=0</formula>
    </cfRule>
  </conditionalFormatting>
  <conditionalFormatting sqref="S26">
    <cfRule type="expression" dxfId="432" priority="25">
      <formula>$S$46&gt;0.01</formula>
    </cfRule>
    <cfRule type="expression" dxfId="431" priority="26">
      <formula>$S$46=0</formula>
    </cfRule>
  </conditionalFormatting>
  <conditionalFormatting sqref="T23 T33 T43 T53 T63 T73 T83 T93 T103 T113 T123 T133">
    <cfRule type="expression" dxfId="430" priority="24" stopIfTrue="1">
      <formula>"$R$23=0"""</formula>
    </cfRule>
  </conditionalFormatting>
  <conditionalFormatting sqref="O26:Q26">
    <cfRule type="expression" dxfId="429" priority="23">
      <formula>$Q$26=0</formula>
    </cfRule>
  </conditionalFormatting>
  <conditionalFormatting sqref="V23">
    <cfRule type="expression" dxfId="428" priority="22">
      <formula>$V$23=0</formula>
    </cfRule>
  </conditionalFormatting>
  <conditionalFormatting sqref="O35:P35">
    <cfRule type="expression" dxfId="427" priority="21">
      <formula>$P35=0</formula>
    </cfRule>
  </conditionalFormatting>
  <conditionalFormatting sqref="Q35:R35">
    <cfRule type="expression" dxfId="426" priority="20">
      <formula>$R35=0</formula>
    </cfRule>
  </conditionalFormatting>
  <conditionalFormatting sqref="S35">
    <cfRule type="expression" dxfId="425" priority="19">
      <formula>$S35=0</formula>
    </cfRule>
  </conditionalFormatting>
  <conditionalFormatting sqref="S36">
    <cfRule type="expression" dxfId="424" priority="17">
      <formula>$S$46&gt;0.01</formula>
    </cfRule>
    <cfRule type="expression" dxfId="423" priority="18">
      <formula>$S$46=0</formula>
    </cfRule>
  </conditionalFormatting>
  <conditionalFormatting sqref="O36:Q36">
    <cfRule type="expression" dxfId="422" priority="16">
      <formula>$Q$26=0</formula>
    </cfRule>
  </conditionalFormatting>
  <conditionalFormatting sqref="V33">
    <cfRule type="expression" dxfId="421" priority="15">
      <formula>$V$23=0</formula>
    </cfRule>
  </conditionalFormatting>
  <conditionalFormatting sqref="O45:P45 O65:P65 O85:P85 O105:P105 O125:P125">
    <cfRule type="expression" dxfId="420" priority="14">
      <formula>$P45=0</formula>
    </cfRule>
  </conditionalFormatting>
  <conditionalFormatting sqref="Q45:R45 Q65:R65 Q85:R85 Q105:R105 Q125:R125">
    <cfRule type="expression" dxfId="419" priority="13">
      <formula>$R45=0</formula>
    </cfRule>
  </conditionalFormatting>
  <conditionalFormatting sqref="S45 S65 S85 S105 S125">
    <cfRule type="expression" dxfId="418" priority="12">
      <formula>$S45=0</formula>
    </cfRule>
  </conditionalFormatting>
  <conditionalFormatting sqref="S46 S66 S86 S106 S126">
    <cfRule type="expression" dxfId="417" priority="10">
      <formula>$S$46&gt;0.01</formula>
    </cfRule>
    <cfRule type="expression" dxfId="416" priority="11">
      <formula>$S$46=0</formula>
    </cfRule>
  </conditionalFormatting>
  <conditionalFormatting sqref="O46:Q46 O66:Q66 O86:Q86 O106:Q106 O126:Q126">
    <cfRule type="expression" dxfId="415" priority="9">
      <formula>$Q$26=0</formula>
    </cfRule>
  </conditionalFormatting>
  <conditionalFormatting sqref="V43 V63 V83 V103 V123">
    <cfRule type="expression" dxfId="414" priority="8">
      <formula>$V$23=0</formula>
    </cfRule>
  </conditionalFormatting>
  <conditionalFormatting sqref="O55:P55 O75:P75 O95:P95 O115:P115 O135:P135">
    <cfRule type="expression" dxfId="413" priority="7">
      <formula>$P55=0</formula>
    </cfRule>
  </conditionalFormatting>
  <conditionalFormatting sqref="Q55:R55 Q75:R75 Q95:R95 Q115:R115 Q135:R135">
    <cfRule type="expression" dxfId="412" priority="6">
      <formula>$R55=0</formula>
    </cfRule>
  </conditionalFormatting>
  <conditionalFormatting sqref="S55 S75 S95 S115 S135">
    <cfRule type="expression" dxfId="411" priority="5">
      <formula>$S55=0</formula>
    </cfRule>
  </conditionalFormatting>
  <conditionalFormatting sqref="S56 S76 S96 S116 S136">
    <cfRule type="expression" dxfId="410" priority="3">
      <formula>$S$46&gt;0.01</formula>
    </cfRule>
    <cfRule type="expression" dxfId="409" priority="4">
      <formula>$S$46=0</formula>
    </cfRule>
  </conditionalFormatting>
  <conditionalFormatting sqref="O56:Q56 O76:Q76 O96:Q96 O116:Q116 O136:Q136">
    <cfRule type="expression" dxfId="408" priority="2">
      <formula>$Q$26=0</formula>
    </cfRule>
  </conditionalFormatting>
  <conditionalFormatting sqref="V53 V73 V93 V113 V133">
    <cfRule type="expression" dxfId="407" priority="1">
      <formula>$V$23=0</formula>
    </cfRule>
  </conditionalFormatting>
  <hyperlinks>
    <hyperlink ref="F57" r:id="rId1" display="drchrisgauci@gmail.com" xr:uid="{00000000-0004-0000-0A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3585"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3586"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3587"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3588"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3589"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3590"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3591"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3592"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3593"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3594"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3595"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3596"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3597"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tabColor rgb="FF04CCB9"/>
  </sheetPr>
  <dimension ref="A1"/>
  <sheetViews>
    <sheetView workbookViewId="0"/>
  </sheetViews>
  <sheetFormatPr defaultRowHeight="15" x14ac:dyDescent="0.25"/>
  <sheetData>
    <row r="1" spans="1:1" x14ac:dyDescent="0.25">
      <c r="A1" s="44" t="s">
        <v>242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04CCB9"/>
  </sheetPr>
  <dimension ref="A1"/>
  <sheetViews>
    <sheetView workbookViewId="0"/>
  </sheetViews>
  <sheetFormatPr defaultRowHeight="15" x14ac:dyDescent="0.25"/>
  <sheetData>
    <row r="1" spans="1:1" x14ac:dyDescent="0.25">
      <c r="A1" s="44" t="s">
        <v>243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1">
    <tabColor rgb="FF7030A0"/>
  </sheetPr>
  <dimension ref="A1:BJ149"/>
  <sheetViews>
    <sheetView topLeftCell="H19" workbookViewId="0">
      <selection activeCell="R35" sqref="R35"/>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RMallan_Albani</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2023006</v>
      </c>
      <c r="O2" s="810" t="str">
        <f>CONCATENATE(LEFT(Name,1),Surname)</f>
        <v>RMallan_Albani</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8.6</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21.5</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8.7309999999999999</v>
      </c>
      <c r="O4" s="213">
        <f>+DATA!A3</f>
        <v>46023</v>
      </c>
      <c r="P4" s="219">
        <f ca="1">+INDIRECT("[EMPINFO.xlsm]"&amp;$O$2&amp;"!G4")</f>
        <v>4</v>
      </c>
      <c r="Q4" s="215">
        <f ca="1">IF(AZ4="active",INDIRECT("[EMPINFO.xlsm]"&amp;$O$2&amp;"!H4"),0)</f>
        <v>40</v>
      </c>
      <c r="R4" s="239">
        <f ca="1">IF(AZ4&lt;&gt;"active",0,N3+COLA)</f>
        <v>8.7309999999999999</v>
      </c>
      <c r="S4" s="216">
        <f t="shared" ref="S4:S15" ca="1" si="1">+Q4*R4*4.33333333333333*AO4/AX4</f>
        <v>1513.3733333333323</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1513.3733333333323</v>
      </c>
      <c r="AA4" s="803">
        <f t="shared" ref="AA4:AA15" ca="1" si="7">IF(OR(AN4="PT",AN4="PT_Casual"),TRUNC((Z4*PT_Rate),0),(TRUNC((Z4*BB4)-(BC4/12),0)))</f>
        <v>45</v>
      </c>
      <c r="AB4" s="218">
        <f ca="1">+INDIRECT("[EMPINFO.xlsm]"&amp;$O$2&amp;"!s4")</f>
        <v>0</v>
      </c>
      <c r="AC4" s="292">
        <v>1.5</v>
      </c>
      <c r="AD4" s="218">
        <f t="shared" ref="AD4:AD15" ca="1" si="8">+AB4*(R4*AC4)</f>
        <v>0</v>
      </c>
      <c r="AE4" s="220">
        <f t="shared" ref="AE4:AE15" ca="1" si="9">+TRUNC((AD4*0.15),0)</f>
        <v>0</v>
      </c>
      <c r="AF4" s="218">
        <f t="shared" ref="AF4:AF15" ca="1" si="10">+AA4+AE4</f>
        <v>45</v>
      </c>
      <c r="AG4" s="803">
        <f t="shared" ref="AG4:AG15" ca="1" si="11">+R4*Q4</f>
        <v>349.24</v>
      </c>
      <c r="AH4" s="218">
        <f t="shared" ref="AH4:AH15" ca="1" si="12">ROUND(IF(AN4="",0,IF(OR(AN4="PT",AN4="PT_Casual"),0,IF(AM4="B",ROUND(SSCBemployermultiplier*P4,2),IF(AM4="c",SOCSECCRATE*AG4*P4,IF(AM4="D",ROUND(socsecrateD*P4,2)))))),2)</f>
        <v>139.69999999999999</v>
      </c>
      <c r="AI4" s="803">
        <f t="shared" ref="AI4:AI15" ca="1" si="13">ROUND(IF(AN4="",0,IF(OR(AN4="PT",AN4="PT_Casual"),0,IF(AM4="B",ROUND(SSCBemployermultiplier*P4,2),IF(AM4="c",SOCSECCRATE*AG4*P4,IF(AM4="D",ROUND(socsecrateD*P4,2)))))),2)</f>
        <v>139.69999999999999</v>
      </c>
      <c r="AJ4" s="218">
        <f t="shared" ref="AJ4:AJ16" ca="1" si="14">+AH4+AI4</f>
        <v>279.39999999999998</v>
      </c>
      <c r="AK4" s="803">
        <f t="shared" ref="AK4:AK15" ca="1" si="15">ROUND(IF(AN4="",0,IF(OR(AN4="PT",AN4="PT_Casual"),0,IF(AM4="B",SSCBmlfmultiplier*P4,IF(AM4="c",SSCCmlfmultiplier*P4*AG4,IF(AM4="D",SSCDmlfmultiplier*P4))))),2)</f>
        <v>4.1900000000000004</v>
      </c>
      <c r="AL4" s="218">
        <f ca="1">+Z4+AH4+AK4</f>
        <v>1657.2633333333324</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-9.9999999999980105E-3</v>
      </c>
      <c r="AQ4" s="840">
        <f ca="1">+INDIRECT("[EMPINFO.xlsm]"&amp;$O$2&amp;"!p4")</f>
        <v>-9.9999999999980105E-3</v>
      </c>
      <c r="AR4" s="226">
        <f ca="1">+INDIRECT("[EMPINFO.xlsm]"&amp;$O$2&amp;"!j4")</f>
        <v>27.490000000000002</v>
      </c>
      <c r="AS4" s="840">
        <f ca="1">+INDIRECT("[EMPINFO.xlsm]"&amp;$O$2&amp;"!k4")</f>
        <v>218.00999999999996</v>
      </c>
      <c r="AT4" s="226">
        <f ca="1">+INDIRECT("[EMPINFO.xlsm]"&amp;$O$2&amp;"!m4")</f>
        <v>14.5</v>
      </c>
      <c r="AU4" s="844">
        <f ca="1">+INDIRECT("[EMPINFO.xlsm]"&amp;$O$2&amp;"!n4")</f>
        <v>225.5</v>
      </c>
      <c r="AV4" s="244">
        <f t="shared" ref="AV4:AV15" si="18">+AV3</f>
        <v>0</v>
      </c>
      <c r="AW4" s="244">
        <v>62.5</v>
      </c>
      <c r="AX4" s="840">
        <f ca="1">+INDIRECT("[EMPINFO.xlsm]"&amp;$O$2&amp;"!u4")</f>
        <v>31</v>
      </c>
      <c r="AY4" s="215">
        <f ca="1">+INDIRECT("[EMPINFO.xlsm]"&amp;$O$2&amp;"!v4")</f>
        <v>0</v>
      </c>
      <c r="AZ4" s="797" t="str">
        <f ca="1">+INDIRECT("[EMPINFO.xlsm]"&amp;$O$2&amp;"!x4")</f>
        <v>ACTIVE</v>
      </c>
      <c r="BA4" s="844">
        <f ca="1">+INDIRECT("[EMPINFO.xlsm]"&amp;$O$2&amp;"!w4")</f>
        <v>0</v>
      </c>
      <c r="BB4" s="288">
        <f t="shared" ref="BB4:BB15" ca="1" si="19">IF(AND(Timer="pt",(Z4*12)&lt;10000),+ptrate,IF((Z4*12)&lt;$F$68,$G$68,IF((Z4*12)&lt;$F$69,$G$69,IF((Z4*12)&lt;$F$70,$G$70,IF((Z4*12)&lt;$F$71,$G$71,$G$72)))))</f>
        <v>0.15</v>
      </c>
      <c r="BC4" s="289">
        <f t="shared" ref="BC4:BC15" ca="1" si="20">IF((Z4*12)&lt;$F$68,$H$68,IF((Z4*12)&lt;$F$69,$H$69,IF((Z4*12)&lt;$F$70,$H$70,IF((Z4*12)&lt;$F$71,$H$71,$H$72))))</f>
        <v>2175</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9.0425609975961532</v>
      </c>
      <c r="O5" s="213">
        <f>+DATA!A4</f>
        <v>46054</v>
      </c>
      <c r="P5" s="219">
        <f ca="1">+INDIRECT("[EMPINFO.xlsm]"&amp;$O$2&amp;"!G5")</f>
        <v>4</v>
      </c>
      <c r="Q5" s="215">
        <f ca="1">IF(AZ5="active",INDIRECT("[EMPINFO.xlsm]"&amp;$O$2&amp;"!H5"),0)</f>
        <v>40</v>
      </c>
      <c r="R5" s="239">
        <f t="shared" ref="R5:R15" ca="1" si="21">+R4</f>
        <v>8.7309999999999999</v>
      </c>
      <c r="S5" s="216">
        <f t="shared" ca="1" si="1"/>
        <v>1513.3733333333323</v>
      </c>
      <c r="T5" s="220">
        <f t="shared" ca="1" si="2"/>
        <v>0</v>
      </c>
      <c r="U5" s="218">
        <f t="shared" ca="1" si="3"/>
        <v>0</v>
      </c>
      <c r="V5" s="220">
        <f ca="1">+feboth*febhrrt</f>
        <v>0</v>
      </c>
      <c r="W5" s="201"/>
      <c r="X5" s="218">
        <f t="shared" ca="1" si="4"/>
        <v>0</v>
      </c>
      <c r="Y5" s="803">
        <f t="shared" ca="1" si="5"/>
        <v>54.00390625</v>
      </c>
      <c r="Z5" s="218">
        <f t="shared" ca="1" si="6"/>
        <v>1567.3772395833323</v>
      </c>
      <c r="AA5" s="803">
        <f t="shared" ca="1" si="7"/>
        <v>53</v>
      </c>
      <c r="AB5" s="218">
        <f ca="1">+INDIRECT("[EMPINFO.xlsm]"&amp;$O$2&amp;"!s5")</f>
        <v>0</v>
      </c>
      <c r="AC5" s="292">
        <v>1.5</v>
      </c>
      <c r="AD5" s="218">
        <f t="shared" ca="1" si="8"/>
        <v>0</v>
      </c>
      <c r="AE5" s="220">
        <f t="shared" ca="1" si="9"/>
        <v>0</v>
      </c>
      <c r="AF5" s="218">
        <f t="shared" ca="1" si="10"/>
        <v>53</v>
      </c>
      <c r="AG5" s="803">
        <f t="shared" ca="1" si="11"/>
        <v>349.24</v>
      </c>
      <c r="AH5" s="218">
        <f t="shared" ca="1" si="12"/>
        <v>139.69999999999999</v>
      </c>
      <c r="AI5" s="803">
        <f t="shared" ca="1" si="13"/>
        <v>139.69999999999999</v>
      </c>
      <c r="AJ5" s="218">
        <f t="shared" ca="1" si="14"/>
        <v>279.39999999999998</v>
      </c>
      <c r="AK5" s="803">
        <f t="shared" ca="1" si="15"/>
        <v>4.1900000000000004</v>
      </c>
      <c r="AL5" s="218">
        <f t="shared" ref="AL5:AL15" ca="1" si="22">+Z5+AI5+AK5</f>
        <v>1711.2672395833324</v>
      </c>
      <c r="AM5" s="290" t="str">
        <f t="shared" ca="1" si="16"/>
        <v>C</v>
      </c>
      <c r="AN5" s="291" t="str">
        <f t="shared" ca="1" si="17"/>
        <v>FT</v>
      </c>
      <c r="AO5" s="223">
        <f ca="1">+INDIRECT("[EMPINFO.xlsm]"&amp;$O$2&amp;"!t5")</f>
        <v>28</v>
      </c>
      <c r="AP5" s="226">
        <f ca="1">+INDIRECT("[EMPINFO.xlsm]"&amp;$O$2&amp;"!o5")</f>
        <v>-0.56000000000000227</v>
      </c>
      <c r="AQ5" s="840">
        <f ca="1">+INDIRECT("[EMPINFO.xlsm]"&amp;$O$2&amp;"!p5")</f>
        <v>-0.57000000000000028</v>
      </c>
      <c r="AR5" s="226">
        <f ca="1">+INDIRECT("[EMPINFO.xlsm]"&amp;$O$2&amp;"!j5")</f>
        <v>24.5</v>
      </c>
      <c r="AS5" s="840">
        <f ca="1">+INDIRECT("[EMPINFO.xlsm]"&amp;$O$2&amp;"!k5")</f>
        <v>193.50999999999996</v>
      </c>
      <c r="AT5" s="226">
        <f ca="1">+INDIRECT("[EMPINFO.xlsm]"&amp;$O$2&amp;"!m5")</f>
        <v>0</v>
      </c>
      <c r="AU5" s="844">
        <f ca="1">+INDIRECT("[EMPINFO.xlsm]"&amp;$O$2&amp;"!n5")</f>
        <v>225.5</v>
      </c>
      <c r="AV5" s="244">
        <f t="shared" si="18"/>
        <v>0</v>
      </c>
      <c r="AW5" s="244">
        <f t="shared" ref="AW5:AW15" si="23">+AW4</f>
        <v>62.5</v>
      </c>
      <c r="AX5" s="840">
        <f ca="1">+INDIRECT("[EMPINFO.xlsm]"&amp;$O$2&amp;"!u5")</f>
        <v>28</v>
      </c>
      <c r="AY5" s="215">
        <f ca="1">+INDIRECT("[EMPINFO.xlsm]"&amp;$O$2&amp;"!v5")</f>
        <v>0</v>
      </c>
      <c r="AZ5" s="797" t="str">
        <f ca="1">+INDIRECT("[EMPINFO.xlsm]"&amp;$O$2&amp;"!x5")</f>
        <v>ACTIVE</v>
      </c>
      <c r="BA5" s="844">
        <f ca="1">+INDIRECT("[EMPINFO.xlsm]"&amp;$O$2&amp;"!w5")</f>
        <v>0</v>
      </c>
      <c r="BB5" s="288">
        <f t="shared" ca="1" si="19"/>
        <v>0.15</v>
      </c>
      <c r="BC5" s="289">
        <f t="shared" ca="1" si="20"/>
        <v>2175</v>
      </c>
      <c r="BD5" s="255"/>
      <c r="BE5" s="205"/>
      <c r="BG5" s="27"/>
      <c r="BH5" s="28"/>
    </row>
    <row r="6" spans="1:62" ht="15.75" customHeight="1" thickBot="1" x14ac:dyDescent="0.3">
      <c r="A6" s="54"/>
      <c r="B6" s="2" t="s">
        <v>135</v>
      </c>
      <c r="C6" s="921" t="str">
        <f>INDEX([1]!empdata,MATCH(ID,[1]!empid,0),3)</f>
        <v>Mallan_Albani</v>
      </c>
      <c r="D6" s="922"/>
      <c r="E6" s="922"/>
      <c r="F6" s="886"/>
      <c r="I6" s="312" t="s">
        <v>136</v>
      </c>
      <c r="L6" s="101"/>
      <c r="M6" s="303"/>
      <c r="N6" s="211">
        <f t="shared" ca="1" si="0"/>
        <v>9.0915769230769232</v>
      </c>
      <c r="O6" s="213">
        <f>+DATA!A5</f>
        <v>46082</v>
      </c>
      <c r="P6" s="219">
        <f ca="1">+INDIRECT("[EMPINFO.xlsm]"&amp;$O$2&amp;"!G6")</f>
        <v>5</v>
      </c>
      <c r="Q6" s="215">
        <f ca="1">IF(AZ6="active",INDIRECT("[EMPINFO.xlsm]"&amp;$O$2&amp;"!H6"),0)</f>
        <v>40</v>
      </c>
      <c r="R6" s="239">
        <f t="shared" ca="1" si="21"/>
        <v>8.7309999999999999</v>
      </c>
      <c r="S6" s="216">
        <f t="shared" ca="1" si="1"/>
        <v>1513.3733333333323</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62.5</v>
      </c>
      <c r="Z6" s="218">
        <f t="shared" ca="1" si="6"/>
        <v>1697.0333333333324</v>
      </c>
      <c r="AA6" s="803">
        <f t="shared" ca="1" si="7"/>
        <v>73</v>
      </c>
      <c r="AB6" s="218">
        <f ca="1">+INDIRECT("[EMPINFO.xlsm]"&amp;$O$2&amp;"!s6")</f>
        <v>0</v>
      </c>
      <c r="AC6" s="292">
        <v>1.5</v>
      </c>
      <c r="AD6" s="218">
        <f t="shared" ca="1" si="8"/>
        <v>0</v>
      </c>
      <c r="AE6" s="220">
        <f t="shared" ca="1" si="9"/>
        <v>0</v>
      </c>
      <c r="AF6" s="218">
        <f t="shared" ca="1" si="10"/>
        <v>73</v>
      </c>
      <c r="AG6" s="803">
        <f t="shared" ca="1" si="11"/>
        <v>349.24</v>
      </c>
      <c r="AH6" s="218">
        <f t="shared" ca="1" si="12"/>
        <v>174.62</v>
      </c>
      <c r="AI6" s="803">
        <f t="shared" ca="1" si="13"/>
        <v>174.62</v>
      </c>
      <c r="AJ6" s="218">
        <f t="shared" ca="1" si="14"/>
        <v>349.24</v>
      </c>
      <c r="AK6" s="803">
        <f t="shared" ca="1" si="15"/>
        <v>5.24</v>
      </c>
      <c r="AL6" s="218">
        <f t="shared" ca="1" si="22"/>
        <v>1876.8933333333323</v>
      </c>
      <c r="AM6" s="290" t="str">
        <f t="shared" ca="1" si="16"/>
        <v>C</v>
      </c>
      <c r="AN6" s="291" t="str">
        <f t="shared" ca="1" si="17"/>
        <v>FT</v>
      </c>
      <c r="AO6" s="223">
        <f ca="1">+INDIRECT("[EMPINFO.xlsm]"&amp;$O$2&amp;"!t6")</f>
        <v>31</v>
      </c>
      <c r="AP6" s="226">
        <f ca="1">+INDIRECT("[EMPINFO.xlsm]"&amp;$O$2&amp;"!o6")</f>
        <v>-160</v>
      </c>
      <c r="AQ6" s="840">
        <f ca="1">+INDIRECT("[EMPINFO.xlsm]"&amp;$O$2&amp;"!p6")</f>
        <v>-160.57</v>
      </c>
      <c r="AR6" s="226">
        <f ca="1">+INDIRECT("[EMPINFO.xlsm]"&amp;$O$2&amp;"!j6")</f>
        <v>0</v>
      </c>
      <c r="AS6" s="840">
        <f ca="1">+INDIRECT("[EMPINFO.xlsm]"&amp;$O$2&amp;"!k6")</f>
        <v>193.50999999999996</v>
      </c>
      <c r="AT6" s="226">
        <f ca="1">+INDIRECT("[EMPINFO.xlsm]"&amp;$O$2&amp;"!m6")</f>
        <v>0</v>
      </c>
      <c r="AU6" s="844">
        <f ca="1">+INDIRECT("[EMPINFO.xlsm]"&amp;$O$2&amp;"!n6")</f>
        <v>225.5</v>
      </c>
      <c r="AV6" s="244">
        <f t="shared" si="18"/>
        <v>0</v>
      </c>
      <c r="AW6" s="244">
        <f t="shared" si="23"/>
        <v>62.5</v>
      </c>
      <c r="AX6" s="840">
        <f ca="1">+INDIRECT("[EMPINFO.xlsm]"&amp;$O$2&amp;"!u6")</f>
        <v>31</v>
      </c>
      <c r="AY6" s="215">
        <f ca="1">+INDIRECT("[EMPINFO.xlsm]"&amp;$O$2&amp;"!v6")</f>
        <v>0</v>
      </c>
      <c r="AZ6" s="797" t="str">
        <f ca="1">+INDIRECT("[EMPINFO.xlsm]"&amp;$O$2&amp;"!x6")</f>
        <v>ACTIVE</v>
      </c>
      <c r="BA6" s="844">
        <f ca="1">+INDIRECT("[EMPINFO.xlsm]"&amp;$O$2&amp;"!w6")</f>
        <v>0</v>
      </c>
      <c r="BB6" s="288">
        <f t="shared" ca="1" si="19"/>
        <v>0.15</v>
      </c>
      <c r="BC6" s="289">
        <f t="shared" ca="1" si="20"/>
        <v>2175</v>
      </c>
      <c r="BD6" s="255"/>
      <c r="BE6" s="206"/>
    </row>
    <row r="7" spans="1:62" ht="15.75" customHeight="1" thickBot="1" x14ac:dyDescent="0.3">
      <c r="A7" s="54"/>
      <c r="B7" s="3" t="s">
        <v>137</v>
      </c>
      <c r="C7" s="921" t="str">
        <f>INDEX([1]!empdata,MATCH(ID,[1]!empid,0),4)</f>
        <v>Rebecca</v>
      </c>
      <c r="D7" s="922"/>
      <c r="E7" s="922"/>
      <c r="F7" s="886"/>
      <c r="H7" s="312" t="s">
        <v>138</v>
      </c>
      <c r="I7" s="927" t="str">
        <f>INDEX([1]!empdata,MATCH(ID,[1]!empid,0),6)</f>
        <v>57896M</v>
      </c>
      <c r="J7" s="859"/>
      <c r="K7" s="857"/>
      <c r="L7" s="101"/>
      <c r="M7" s="303"/>
      <c r="N7" s="211">
        <f t="shared" ca="1" si="0"/>
        <v>9.0915769230769232</v>
      </c>
      <c r="O7" s="213">
        <f>+DATA!A6</f>
        <v>46113</v>
      </c>
      <c r="P7" s="219">
        <f ca="1">+INDIRECT("[EMPINFO.xlsm]"&amp;$O$2&amp;"!G7")</f>
        <v>4</v>
      </c>
      <c r="Q7" s="215">
        <f ca="1">IF(AZ7="active",INDIRECT("[EMPINFO.xlsm]"&amp;$O$2&amp;"!H7"),0)</f>
        <v>40</v>
      </c>
      <c r="R7" s="239">
        <f t="shared" ca="1" si="21"/>
        <v>8.7309999999999999</v>
      </c>
      <c r="S7" s="216">
        <f t="shared" ca="1" si="1"/>
        <v>1513.3733333333323</v>
      </c>
      <c r="T7" s="220">
        <f t="shared" ca="1" si="2"/>
        <v>0</v>
      </c>
      <c r="U7" s="218">
        <f t="shared" ca="1" si="3"/>
        <v>0</v>
      </c>
      <c r="V7" s="220">
        <f ca="1">+aproth*aprhrrt</f>
        <v>0</v>
      </c>
      <c r="W7" s="201"/>
      <c r="X7" s="218">
        <f t="shared" ca="1" si="4"/>
        <v>0</v>
      </c>
      <c r="Y7" s="803">
        <f t="shared" ca="1" si="5"/>
        <v>62.5</v>
      </c>
      <c r="Z7" s="218">
        <f t="shared" ca="1" si="6"/>
        <v>1575.8733333333323</v>
      </c>
      <c r="AA7" s="803">
        <f t="shared" ca="1" si="7"/>
        <v>55</v>
      </c>
      <c r="AB7" s="218">
        <f ca="1">+INDIRECT("[EMPINFO.xlsm]"&amp;$O$2&amp;"!s7")</f>
        <v>0</v>
      </c>
      <c r="AC7" s="292">
        <v>1.5</v>
      </c>
      <c r="AD7" s="218">
        <f t="shared" ca="1" si="8"/>
        <v>0</v>
      </c>
      <c r="AE7" s="220">
        <f t="shared" ca="1" si="9"/>
        <v>0</v>
      </c>
      <c r="AF7" s="218">
        <f t="shared" ca="1" si="10"/>
        <v>55</v>
      </c>
      <c r="AG7" s="803">
        <f t="shared" ca="1" si="11"/>
        <v>349.24</v>
      </c>
      <c r="AH7" s="218">
        <f t="shared" ca="1" si="12"/>
        <v>139.69999999999999</v>
      </c>
      <c r="AI7" s="803">
        <f t="shared" ca="1" si="13"/>
        <v>139.69999999999999</v>
      </c>
      <c r="AJ7" s="218">
        <f t="shared" ca="1" si="14"/>
        <v>279.39999999999998</v>
      </c>
      <c r="AK7" s="803">
        <f t="shared" ca="1" si="15"/>
        <v>4.1900000000000004</v>
      </c>
      <c r="AL7" s="218">
        <f t="shared" ca="1" si="22"/>
        <v>1719.7633333333324</v>
      </c>
      <c r="AM7" s="290" t="str">
        <f t="shared" ca="1" si="16"/>
        <v>C</v>
      </c>
      <c r="AN7" s="291" t="str">
        <f t="shared" ca="1" si="17"/>
        <v>FT</v>
      </c>
      <c r="AO7" s="223">
        <f ca="1">+INDIRECT("[EMPINFO.xlsm]"&amp;$O$2&amp;"!t7")</f>
        <v>30</v>
      </c>
      <c r="AP7" s="226">
        <f ca="1">+INDIRECT("[EMPINFO.xlsm]"&amp;$O$2&amp;"!o7")</f>
        <v>-160</v>
      </c>
      <c r="AQ7" s="840">
        <f ca="1">+INDIRECT("[EMPINFO.xlsm]"&amp;$O$2&amp;"!p7")</f>
        <v>-320.57</v>
      </c>
      <c r="AR7" s="226">
        <f ca="1">+INDIRECT("[EMPINFO.xlsm]"&amp;$O$2&amp;"!j7")</f>
        <v>0</v>
      </c>
      <c r="AS7" s="840">
        <f ca="1">+INDIRECT("[EMPINFO.xlsm]"&amp;$O$2&amp;"!k7")</f>
        <v>193.50999999999996</v>
      </c>
      <c r="AT7" s="226">
        <f ca="1">+INDIRECT("[EMPINFO.xlsm]"&amp;$O$2&amp;"!m7")</f>
        <v>0</v>
      </c>
      <c r="AU7" s="844">
        <f ca="1">+INDIRECT("[EMPINFO.xlsm]"&amp;$O$2&amp;"!n7")</f>
        <v>225.5</v>
      </c>
      <c r="AV7" s="244">
        <f t="shared" si="18"/>
        <v>0</v>
      </c>
      <c r="AW7" s="244">
        <f t="shared" si="23"/>
        <v>62.5</v>
      </c>
      <c r="AX7" s="840">
        <f ca="1">+INDIRECT("[EMPINFO.xlsm]"&amp;$O$2&amp;"!u7")</f>
        <v>30</v>
      </c>
      <c r="AY7" s="215">
        <f ca="1">+INDIRECT("[EMPINFO.xlsm]"&amp;$O$2&amp;"!v7")</f>
        <v>0</v>
      </c>
      <c r="AZ7" s="797" t="str">
        <f ca="1">+INDIRECT("[EMPINFO.xlsm]"&amp;$O$2&amp;"!x7")</f>
        <v>ACTIVE</v>
      </c>
      <c r="BA7" s="844">
        <f ca="1">+INDIRECT("[EMPINFO.xlsm]"&amp;$O$2&amp;"!w7")</f>
        <v>0</v>
      </c>
      <c r="BB7" s="288">
        <f t="shared" ca="1" si="19"/>
        <v>0.15</v>
      </c>
      <c r="BC7" s="289">
        <f t="shared" ca="1" si="20"/>
        <v>2175</v>
      </c>
      <c r="BD7" s="255"/>
      <c r="BE7" s="206"/>
    </row>
    <row r="8" spans="1:62" ht="15.75" customHeight="1" thickBot="1" x14ac:dyDescent="0.3">
      <c r="A8" s="54"/>
      <c r="B8" s="3" t="s">
        <v>139</v>
      </c>
      <c r="C8" s="921" t="str">
        <f>INDEX([1]!empdata,MATCH(ID,[1]!empid,0),18)</f>
        <v xml:space="preserve">101A, Gnejna Mansions, Block G, Flat 2 </v>
      </c>
      <c r="D8" s="922"/>
      <c r="E8" s="922"/>
      <c r="F8" s="886"/>
      <c r="I8" s="312" t="s">
        <v>140</v>
      </c>
      <c r="L8" s="101"/>
      <c r="M8" s="303"/>
      <c r="N8" s="211">
        <f t="shared" ca="1" si="0"/>
        <v>9.0915769230769232</v>
      </c>
      <c r="O8" s="213">
        <f>+DATA!A7</f>
        <v>46143</v>
      </c>
      <c r="P8" s="219">
        <f ca="1">+INDIRECT("[EMPINFO.xlsm]"&amp;$O$2&amp;"!G8")</f>
        <v>4</v>
      </c>
      <c r="Q8" s="215">
        <f ca="1">IF(AZ8="active",INDIRECT("[EMPINFO.xlsm]"&amp;$O$2&amp;"!H8"),0)</f>
        <v>40</v>
      </c>
      <c r="R8" s="239">
        <f t="shared" ca="1" si="21"/>
        <v>8.7309999999999999</v>
      </c>
      <c r="S8" s="216">
        <f t="shared" ca="1" si="1"/>
        <v>1513.3733333333323</v>
      </c>
      <c r="T8" s="220">
        <f t="shared" ca="1" si="2"/>
        <v>0</v>
      </c>
      <c r="U8" s="218">
        <f t="shared" ca="1" si="3"/>
        <v>0</v>
      </c>
      <c r="V8" s="220">
        <f ca="1">+mayoth*mayhrrt</f>
        <v>0</v>
      </c>
      <c r="W8" s="201"/>
      <c r="X8" s="218">
        <f t="shared" ca="1" si="4"/>
        <v>0</v>
      </c>
      <c r="Y8" s="803">
        <f t="shared" ca="1" si="5"/>
        <v>62.5</v>
      </c>
      <c r="Z8" s="218">
        <f t="shared" ca="1" si="6"/>
        <v>1575.8733333333323</v>
      </c>
      <c r="AA8" s="803">
        <f t="shared" ca="1" si="7"/>
        <v>55</v>
      </c>
      <c r="AB8" s="218">
        <f ca="1">+INDIRECT("[EMPINFO.xlsm]"&amp;$O$2&amp;"!s8")</f>
        <v>0</v>
      </c>
      <c r="AC8" s="292">
        <v>1.5</v>
      </c>
      <c r="AD8" s="218">
        <f t="shared" ca="1" si="8"/>
        <v>0</v>
      </c>
      <c r="AE8" s="220">
        <f t="shared" ca="1" si="9"/>
        <v>0</v>
      </c>
      <c r="AF8" s="218">
        <f t="shared" ca="1" si="10"/>
        <v>55</v>
      </c>
      <c r="AG8" s="803">
        <f t="shared" ca="1" si="11"/>
        <v>349.24</v>
      </c>
      <c r="AH8" s="218">
        <f t="shared" ca="1" si="12"/>
        <v>139.69999999999999</v>
      </c>
      <c r="AI8" s="803">
        <f t="shared" ca="1" si="13"/>
        <v>139.69999999999999</v>
      </c>
      <c r="AJ8" s="218">
        <f t="shared" ca="1" si="14"/>
        <v>279.39999999999998</v>
      </c>
      <c r="AK8" s="803">
        <f t="shared" ca="1" si="15"/>
        <v>4.1900000000000004</v>
      </c>
      <c r="AL8" s="218">
        <f t="shared" ca="1" si="22"/>
        <v>1719.7633333333324</v>
      </c>
      <c r="AM8" s="290" t="str">
        <f t="shared" ca="1" si="16"/>
        <v>C</v>
      </c>
      <c r="AN8" s="291" t="str">
        <f t="shared" ca="1" si="17"/>
        <v>FT</v>
      </c>
      <c r="AO8" s="223">
        <f ca="1">+INDIRECT("[EMPINFO.xlsm]"&amp;$O$2&amp;"!t8")</f>
        <v>31</v>
      </c>
      <c r="AP8" s="226">
        <f ca="1">+INDIRECT("[EMPINFO.xlsm]"&amp;$O$2&amp;"!o8")</f>
        <v>-200</v>
      </c>
      <c r="AQ8" s="840">
        <f ca="1">+INDIRECT("[EMPINFO.xlsm]"&amp;$O$2&amp;"!p8")</f>
        <v>-520.56999999999994</v>
      </c>
      <c r="AR8" s="226">
        <f ca="1">+INDIRECT("[EMPINFO.xlsm]"&amp;$O$2&amp;"!j8")</f>
        <v>0</v>
      </c>
      <c r="AS8" s="840">
        <f ca="1">+INDIRECT("[EMPINFO.xlsm]"&amp;$O$2&amp;"!k8")</f>
        <v>193.50999999999996</v>
      </c>
      <c r="AT8" s="226">
        <f ca="1">+INDIRECT("[EMPINFO.xlsm]"&amp;$O$2&amp;"!m8")</f>
        <v>0</v>
      </c>
      <c r="AU8" s="844">
        <f ca="1">+INDIRECT("[EMPINFO.xlsm]"&amp;$O$2&amp;"!n8")</f>
        <v>225.5</v>
      </c>
      <c r="AV8" s="244">
        <f t="shared" si="18"/>
        <v>0</v>
      </c>
      <c r="AW8" s="244">
        <f t="shared" si="23"/>
        <v>62.5</v>
      </c>
      <c r="AX8" s="840">
        <f ca="1">+INDIRECT("[EMPINFO.xlsm]"&amp;$O$2&amp;"!u8")</f>
        <v>31</v>
      </c>
      <c r="AY8" s="215">
        <f ca="1">+INDIRECT("[EMPINFO.xlsm]"&amp;$O$2&amp;"!v8")</f>
        <v>0</v>
      </c>
      <c r="AZ8" s="797" t="str">
        <f ca="1">+INDIRECT("[EMPINFO.xlsm]"&amp;$O$2&amp;"!x8")</f>
        <v>ACTIVE</v>
      </c>
      <c r="BA8" s="844">
        <f ca="1">+INDIRECT("[EMPINFO.xlsm]"&amp;$O$2&amp;"!w8")</f>
        <v>0</v>
      </c>
      <c r="BB8" s="288">
        <f t="shared" ca="1" si="19"/>
        <v>0.15</v>
      </c>
      <c r="BC8" s="289">
        <f t="shared" ca="1" si="20"/>
        <v>2175</v>
      </c>
      <c r="BD8" s="255"/>
      <c r="BE8" s="206"/>
    </row>
    <row r="9" spans="1:62" ht="15.75" customHeight="1" thickBot="1" x14ac:dyDescent="0.3">
      <c r="A9" s="54"/>
      <c r="B9" s="4" t="s">
        <v>141</v>
      </c>
      <c r="C9" s="921" t="str">
        <f>INDEX([1]!empdata,MATCH(ID,[1]!empid,0),19)</f>
        <v>Triq Sant Antnin</v>
      </c>
      <c r="D9" s="922"/>
      <c r="E9" s="922"/>
      <c r="F9" s="886"/>
      <c r="H9" s="312" t="s">
        <v>20</v>
      </c>
      <c r="I9" s="927" t="str">
        <f>INDEX([1]!empdata,MATCH(ID,[1]!empid,0),14)</f>
        <v>C49311131</v>
      </c>
      <c r="J9" s="859"/>
      <c r="K9" s="857"/>
      <c r="L9" s="101"/>
      <c r="M9" s="303"/>
      <c r="N9" s="211">
        <f t="shared" ca="1" si="0"/>
        <v>9.0915769230769232</v>
      </c>
      <c r="O9" s="213">
        <f>+DATA!A8</f>
        <v>46174</v>
      </c>
      <c r="P9" s="219">
        <f ca="1">+INDIRECT("[EMPINFO.xlsm]"&amp;$O$2&amp;"!G9")</f>
        <v>5</v>
      </c>
      <c r="Q9" s="215">
        <f ca="1">IF(AZ9="active",INDIRECT("[EMPINFO.xlsm]"&amp;$O$2&amp;"!H9"),0)</f>
        <v>40</v>
      </c>
      <c r="R9" s="239">
        <f t="shared" ca="1" si="21"/>
        <v>8.7309999999999999</v>
      </c>
      <c r="S9" s="216">
        <f t="shared" ca="1" si="1"/>
        <v>1513.3733333333323</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62.5</v>
      </c>
      <c r="Z9" s="218">
        <f t="shared" ca="1" si="6"/>
        <v>1710.9733333333322</v>
      </c>
      <c r="AA9" s="803">
        <f t="shared" ca="1" si="7"/>
        <v>75</v>
      </c>
      <c r="AB9" s="218">
        <f ca="1">+INDIRECT("[EMPINFO.xlsm]"&amp;$O$2&amp;"!s9")</f>
        <v>0</v>
      </c>
      <c r="AC9" s="292">
        <v>1.5</v>
      </c>
      <c r="AD9" s="218">
        <f t="shared" ca="1" si="8"/>
        <v>0</v>
      </c>
      <c r="AE9" s="220">
        <f t="shared" ca="1" si="9"/>
        <v>0</v>
      </c>
      <c r="AF9" s="218">
        <f t="shared" ca="1" si="10"/>
        <v>75</v>
      </c>
      <c r="AG9" s="803">
        <f t="shared" ca="1" si="11"/>
        <v>349.24</v>
      </c>
      <c r="AH9" s="218">
        <f t="shared" ca="1" si="12"/>
        <v>174.62</v>
      </c>
      <c r="AI9" s="803">
        <f t="shared" ca="1" si="13"/>
        <v>174.62</v>
      </c>
      <c r="AJ9" s="218">
        <f t="shared" ca="1" si="14"/>
        <v>349.24</v>
      </c>
      <c r="AK9" s="803">
        <f t="shared" ca="1" si="15"/>
        <v>5.24</v>
      </c>
      <c r="AL9" s="218">
        <f t="shared" ca="1" si="22"/>
        <v>1890.8333333333323</v>
      </c>
      <c r="AM9" s="290" t="str">
        <f t="shared" ca="1" si="16"/>
        <v>C</v>
      </c>
      <c r="AN9" s="291" t="str">
        <f t="shared" ca="1" si="17"/>
        <v>FT</v>
      </c>
      <c r="AO9" s="223">
        <f ca="1">+INDIRECT("[EMPINFO.xlsm]"&amp;$O$2&amp;"!t9")</f>
        <v>30</v>
      </c>
      <c r="AP9" s="226">
        <f ca="1">+INDIRECT("[EMPINFO.xlsm]"&amp;$O$2&amp;"!o9")</f>
        <v>-160</v>
      </c>
      <c r="AQ9" s="840">
        <f ca="1">+INDIRECT("[EMPINFO.xlsm]"&amp;$O$2&amp;"!p9")</f>
        <v>-680.56999999999994</v>
      </c>
      <c r="AR9" s="226">
        <f ca="1">+INDIRECT("[EMPINFO.xlsm]"&amp;$O$2&amp;"!j9")</f>
        <v>0</v>
      </c>
      <c r="AS9" s="840">
        <f ca="1">+INDIRECT("[EMPINFO.xlsm]"&amp;$O$2&amp;"!k9")</f>
        <v>193.50999999999996</v>
      </c>
      <c r="AT9" s="226">
        <f ca="1">+INDIRECT("[EMPINFO.xlsm]"&amp;$O$2&amp;"!m9")</f>
        <v>0</v>
      </c>
      <c r="AU9" s="844">
        <f ca="1">+INDIRECT("[EMPINFO.xlsm]"&amp;$O$2&amp;"!n9")</f>
        <v>225.5</v>
      </c>
      <c r="AV9" s="244">
        <f t="shared" si="18"/>
        <v>0</v>
      </c>
      <c r="AW9" s="244">
        <f t="shared" si="23"/>
        <v>62.5</v>
      </c>
      <c r="AX9" s="840">
        <f ca="1">+INDIRECT("[EMPINFO.xlsm]"&amp;$O$2&amp;"!u9")</f>
        <v>30</v>
      </c>
      <c r="AY9" s="215">
        <f ca="1">+INDIRECT("[EMPINFO.xlsm]"&amp;$O$2&amp;"!v9")</f>
        <v>0</v>
      </c>
      <c r="AZ9" s="797" t="str">
        <f ca="1">+INDIRECT("[EMPINFO.xlsm]"&amp;$O$2&amp;"!x9")</f>
        <v>ACTIVE</v>
      </c>
      <c r="BA9" s="844">
        <f ca="1">+INDIRECT("[EMPINFO.xlsm]"&amp;$O$2&amp;"!w9")</f>
        <v>0</v>
      </c>
      <c r="BB9" s="288">
        <f t="shared" ca="1" si="19"/>
        <v>0.15</v>
      </c>
      <c r="BC9" s="289">
        <f t="shared" ca="1" si="20"/>
        <v>2175</v>
      </c>
      <c r="BD9" s="255"/>
      <c r="BE9" s="206"/>
    </row>
    <row r="10" spans="1:62" ht="15.75" customHeight="1" thickBot="1" x14ac:dyDescent="0.3">
      <c r="A10" s="54"/>
      <c r="B10" s="5" t="s">
        <v>142</v>
      </c>
      <c r="C10" s="921" t="str">
        <f>INDEX([1]!empdata,MATCH(ID,[1]!empid,0),20)</f>
        <v>Zabbar</v>
      </c>
      <c r="D10" s="922"/>
      <c r="E10" s="922"/>
      <c r="F10" s="886"/>
      <c r="I10" s="312" t="s">
        <v>143</v>
      </c>
      <c r="L10" s="101"/>
      <c r="M10" s="303"/>
      <c r="N10" s="211">
        <f t="shared" ca="1" si="0"/>
        <v>9.0915769230769232</v>
      </c>
      <c r="O10" s="213">
        <f>+DATA!A9</f>
        <v>46204</v>
      </c>
      <c r="P10" s="219">
        <f ca="1">+INDIRECT("[EMPINFO.xlsm]"&amp;$O$2&amp;"!G10")</f>
        <v>4</v>
      </c>
      <c r="Q10" s="215">
        <f ca="1">IF(AZ10="active",INDIRECT("[EMPINFO.xlsm]"&amp;$O$2&amp;"!H10"),0)</f>
        <v>40</v>
      </c>
      <c r="R10" s="239">
        <f t="shared" ca="1" si="21"/>
        <v>8.7309999999999999</v>
      </c>
      <c r="S10" s="216">
        <f t="shared" ca="1" si="1"/>
        <v>1513.3733333333323</v>
      </c>
      <c r="T10" s="220">
        <f t="shared" ca="1" si="2"/>
        <v>0</v>
      </c>
      <c r="U10" s="218">
        <f t="shared" ca="1" si="3"/>
        <v>0</v>
      </c>
      <c r="V10" s="220">
        <f ca="1">+juloth*julhrrt</f>
        <v>0</v>
      </c>
      <c r="W10" s="201"/>
      <c r="X10" s="218">
        <f t="shared" ca="1" si="4"/>
        <v>0</v>
      </c>
      <c r="Y10" s="803">
        <f t="shared" ca="1" si="5"/>
        <v>62.5</v>
      </c>
      <c r="Z10" s="218">
        <f t="shared" ca="1" si="6"/>
        <v>1575.8733333333323</v>
      </c>
      <c r="AA10" s="803">
        <f t="shared" ca="1" si="7"/>
        <v>55</v>
      </c>
      <c r="AB10" s="218">
        <f ca="1">+INDIRECT("[EMPINFO.xlsm]"&amp;$O$2&amp;"!s10")</f>
        <v>0</v>
      </c>
      <c r="AC10" s="292">
        <v>1.5</v>
      </c>
      <c r="AD10" s="218">
        <f t="shared" ca="1" si="8"/>
        <v>0</v>
      </c>
      <c r="AE10" s="220">
        <f t="shared" ca="1" si="9"/>
        <v>0</v>
      </c>
      <c r="AF10" s="218">
        <f t="shared" ca="1" si="10"/>
        <v>55</v>
      </c>
      <c r="AG10" s="803">
        <f t="shared" ca="1" si="11"/>
        <v>349.24</v>
      </c>
      <c r="AH10" s="218">
        <f t="shared" ca="1" si="12"/>
        <v>139.69999999999999</v>
      </c>
      <c r="AI10" s="803">
        <f t="shared" ca="1" si="13"/>
        <v>139.69999999999999</v>
      </c>
      <c r="AJ10" s="218">
        <f t="shared" ca="1" si="14"/>
        <v>279.39999999999998</v>
      </c>
      <c r="AK10" s="803">
        <f t="shared" ca="1" si="15"/>
        <v>4.1900000000000004</v>
      </c>
      <c r="AL10" s="218">
        <f t="shared" ca="1" si="22"/>
        <v>1719.7633333333324</v>
      </c>
      <c r="AM10" s="290" t="str">
        <f t="shared" ca="1" si="16"/>
        <v>C</v>
      </c>
      <c r="AN10" s="291" t="str">
        <f t="shared" ca="1" si="17"/>
        <v>FT</v>
      </c>
      <c r="AO10" s="223">
        <f ca="1">+INDIRECT("[EMPINFO.xlsm]"&amp;$O$2&amp;"!t10")</f>
        <v>31</v>
      </c>
      <c r="AP10" s="226">
        <f ca="1">+INDIRECT("[EMPINFO.xlsm]"&amp;$O$2&amp;"!o10")</f>
        <v>-160</v>
      </c>
      <c r="AQ10" s="840">
        <f ca="1">+INDIRECT("[EMPINFO.xlsm]"&amp;$O$2&amp;"!p10")</f>
        <v>-840.56999999999994</v>
      </c>
      <c r="AR10" s="226">
        <f ca="1">+INDIRECT("[EMPINFO.xlsm]"&amp;$O$2&amp;"!j10")</f>
        <v>0</v>
      </c>
      <c r="AS10" s="840">
        <f ca="1">+INDIRECT("[EMPINFO.xlsm]"&amp;$O$2&amp;"!k10")</f>
        <v>193.50999999999996</v>
      </c>
      <c r="AT10" s="226">
        <f ca="1">+INDIRECT("[EMPINFO.xlsm]"&amp;$O$2&amp;"!m10")</f>
        <v>0</v>
      </c>
      <c r="AU10" s="844">
        <f ca="1">+INDIRECT("[EMPINFO.xlsm]"&amp;$O$2&amp;"!n10")</f>
        <v>225.5</v>
      </c>
      <c r="AV10" s="244">
        <f t="shared" si="18"/>
        <v>0</v>
      </c>
      <c r="AW10" s="244">
        <f t="shared" si="23"/>
        <v>62.5</v>
      </c>
      <c r="AX10" s="840">
        <f ca="1">+INDIRECT("[EMPINFO.xlsm]"&amp;$O$2&amp;"!u10")</f>
        <v>31</v>
      </c>
      <c r="AY10" s="215">
        <f ca="1">+INDIRECT("[EMPINFO.xlsm]"&amp;$O$2&amp;"!v10")</f>
        <v>0</v>
      </c>
      <c r="AZ10" s="797" t="str">
        <f ca="1">+INDIRECT("[EMPINFO.xlsm]"&amp;$O$2&amp;"!x10")</f>
        <v>ACTIVE</v>
      </c>
      <c r="BA10" s="844">
        <f ca="1">+INDIRECT("[EMPINFO.xlsm]"&amp;$O$2&amp;"!w10")</f>
        <v>0</v>
      </c>
      <c r="BB10" s="288">
        <f t="shared" ca="1" si="19"/>
        <v>0.15</v>
      </c>
      <c r="BC10" s="289">
        <f t="shared" ca="1" si="20"/>
        <v>2175</v>
      </c>
      <c r="BD10" s="255"/>
      <c r="BE10" s="206"/>
      <c r="BF10" s="32"/>
      <c r="BH10" s="32"/>
      <c r="BI10" s="30"/>
      <c r="BJ10" s="31"/>
    </row>
    <row r="11" spans="1:62" ht="15.75" customHeight="1" thickBot="1" x14ac:dyDescent="0.3">
      <c r="A11" s="54"/>
      <c r="B11" s="6" t="s">
        <v>144</v>
      </c>
      <c r="C11" s="921" t="str">
        <f>INDEX([1]!empdata,MATCH(ID,[1]!empid,0),21)</f>
        <v>ZBR3472</v>
      </c>
      <c r="D11" s="922"/>
      <c r="E11" s="922"/>
      <c r="F11" s="886"/>
      <c r="H11" s="312" t="s">
        <v>31</v>
      </c>
      <c r="I11" s="927" t="str">
        <f>INDEX([1]!empdata,MATCH(ID,[1]!empid,0),7)</f>
        <v>155392M</v>
      </c>
      <c r="J11" s="859"/>
      <c r="K11" s="857"/>
      <c r="L11" s="101"/>
      <c r="M11" s="303"/>
      <c r="N11" s="211">
        <f t="shared" ca="1" si="0"/>
        <v>9.0915769230769232</v>
      </c>
      <c r="O11" s="213">
        <f>+DATA!A10</f>
        <v>46235</v>
      </c>
      <c r="P11" s="219">
        <f ca="1">+INDIRECT("[EMPINFO.xlsm]"&amp;$O$2&amp;"!G11")</f>
        <v>5</v>
      </c>
      <c r="Q11" s="215">
        <f ca="1">IF(AZ11="active",INDIRECT("[EMPINFO.xlsm]"&amp;$O$2&amp;"!H11"),0)</f>
        <v>40</v>
      </c>
      <c r="R11" s="239">
        <f t="shared" ca="1" si="21"/>
        <v>8.7309999999999999</v>
      </c>
      <c r="S11" s="216">
        <f t="shared" ca="1" si="1"/>
        <v>1513.3733333333323</v>
      </c>
      <c r="T11" s="220">
        <f t="shared" ca="1" si="2"/>
        <v>0</v>
      </c>
      <c r="U11" s="218">
        <f t="shared" ca="1" si="3"/>
        <v>0</v>
      </c>
      <c r="V11" s="220">
        <f ca="1">+augoth*aughrrt</f>
        <v>0</v>
      </c>
      <c r="W11" s="201"/>
      <c r="X11" s="218">
        <f t="shared" ca="1" si="4"/>
        <v>0</v>
      </c>
      <c r="Y11" s="803">
        <f t="shared" ca="1" si="5"/>
        <v>62.5</v>
      </c>
      <c r="Z11" s="218">
        <f t="shared" ca="1" si="6"/>
        <v>1575.8733333333323</v>
      </c>
      <c r="AA11" s="803">
        <f t="shared" ca="1" si="7"/>
        <v>55</v>
      </c>
      <c r="AB11" s="218">
        <f ca="1">+INDIRECT("[EMPINFO.xlsm]"&amp;$O$2&amp;"!s11")</f>
        <v>0</v>
      </c>
      <c r="AC11" s="292">
        <v>1.5</v>
      </c>
      <c r="AD11" s="218">
        <f t="shared" ca="1" si="8"/>
        <v>0</v>
      </c>
      <c r="AE11" s="220">
        <f t="shared" ca="1" si="9"/>
        <v>0</v>
      </c>
      <c r="AF11" s="218">
        <f t="shared" ca="1" si="10"/>
        <v>55</v>
      </c>
      <c r="AG11" s="803">
        <f t="shared" ca="1" si="11"/>
        <v>349.24</v>
      </c>
      <c r="AH11" s="218">
        <f t="shared" ca="1" si="12"/>
        <v>174.62</v>
      </c>
      <c r="AI11" s="803">
        <f t="shared" ca="1" si="13"/>
        <v>174.62</v>
      </c>
      <c r="AJ11" s="218">
        <f t="shared" ca="1" si="14"/>
        <v>349.24</v>
      </c>
      <c r="AK11" s="803">
        <f t="shared" ca="1" si="15"/>
        <v>5.24</v>
      </c>
      <c r="AL11" s="218">
        <f t="shared" ca="1" si="22"/>
        <v>1755.7333333333324</v>
      </c>
      <c r="AM11" s="290" t="str">
        <f t="shared" ca="1" si="16"/>
        <v>C</v>
      </c>
      <c r="AN11" s="291" t="str">
        <f t="shared" ca="1" si="17"/>
        <v>FT</v>
      </c>
      <c r="AO11" s="223">
        <f ca="1">+INDIRECT("[EMPINFO.xlsm]"&amp;$O$2&amp;"!t11")</f>
        <v>31</v>
      </c>
      <c r="AP11" s="226">
        <f ca="1">+INDIRECT("[EMPINFO.xlsm]"&amp;$O$2&amp;"!o11")</f>
        <v>-200</v>
      </c>
      <c r="AQ11" s="840">
        <f ca="1">+INDIRECT("[EMPINFO.xlsm]"&amp;$O$2&amp;"!p11")</f>
        <v>-1040.57</v>
      </c>
      <c r="AR11" s="226">
        <f ca="1">+INDIRECT("[EMPINFO.xlsm]"&amp;$O$2&amp;"!j11")</f>
        <v>0</v>
      </c>
      <c r="AS11" s="840">
        <f ca="1">+INDIRECT("[EMPINFO.xlsm]"&amp;$O$2&amp;"!k11")</f>
        <v>193.50999999999996</v>
      </c>
      <c r="AT11" s="226">
        <f ca="1">+INDIRECT("[EMPINFO.xlsm]"&amp;$O$2&amp;"!m11")</f>
        <v>0</v>
      </c>
      <c r="AU11" s="844">
        <f ca="1">+INDIRECT("[EMPINFO.xlsm]"&amp;$O$2&amp;"!n11")</f>
        <v>225.5</v>
      </c>
      <c r="AV11" s="244">
        <f t="shared" si="18"/>
        <v>0</v>
      </c>
      <c r="AW11" s="244">
        <f t="shared" si="23"/>
        <v>62.5</v>
      </c>
      <c r="AX11" s="840">
        <f ca="1">+INDIRECT("[EMPINFO.xlsm]"&amp;$O$2&amp;"!u11")</f>
        <v>31</v>
      </c>
      <c r="AY11" s="215">
        <f ca="1">+INDIRECT("[EMPINFO.xlsm]"&amp;$O$2&amp;"!v11")</f>
        <v>0</v>
      </c>
      <c r="AZ11" s="797" t="str">
        <f ca="1">+INDIRECT("[EMPINFO.xlsm]"&amp;$O$2&amp;"!x11")</f>
        <v>ACTIVE</v>
      </c>
      <c r="BA11" s="844">
        <f ca="1">+INDIRECT("[EMPINFO.xlsm]"&amp;$O$2&amp;"!w11")</f>
        <v>0</v>
      </c>
      <c r="BB11" s="288">
        <f t="shared" ca="1" si="19"/>
        <v>0.15</v>
      </c>
      <c r="BC11" s="289">
        <f t="shared" ca="1" si="20"/>
        <v>2175</v>
      </c>
      <c r="BD11" s="255"/>
      <c r="BE11" s="206"/>
      <c r="BF11" s="27"/>
      <c r="BH11" s="27"/>
    </row>
    <row r="12" spans="1:62" ht="17.45" customHeight="1" thickBot="1" x14ac:dyDescent="0.3">
      <c r="A12" s="313"/>
      <c r="B12" s="91" t="s">
        <v>14</v>
      </c>
      <c r="C12" s="945">
        <f>INDEX([1]!empdata,MATCH(ID,[1]!empid,0),10)</f>
        <v>79953563</v>
      </c>
      <c r="D12" s="946"/>
      <c r="E12" s="946"/>
      <c r="F12" s="947"/>
      <c r="G12" s="85"/>
      <c r="H12" s="85"/>
      <c r="I12" s="85"/>
      <c r="J12" s="85"/>
      <c r="K12" s="85"/>
      <c r="L12" s="314"/>
      <c r="M12" s="303"/>
      <c r="N12" s="211">
        <f t="shared" ca="1" si="0"/>
        <v>9.0915769230769232</v>
      </c>
      <c r="O12" s="213">
        <f>+DATA!A11</f>
        <v>46266</v>
      </c>
      <c r="P12" s="219">
        <f ca="1">+INDIRECT("[EMPINFO.xlsm]"&amp;$O$2&amp;"!G12")</f>
        <v>4</v>
      </c>
      <c r="Q12" s="215">
        <f ca="1">IF(AZ12="active",INDIRECT("[EMPINFO.xlsm]"&amp;$O$2&amp;"!H12"),0)</f>
        <v>40</v>
      </c>
      <c r="R12" s="239">
        <f t="shared" ca="1" si="21"/>
        <v>8.7309999999999999</v>
      </c>
      <c r="S12" s="216">
        <f t="shared" ca="1" si="1"/>
        <v>1513.3733333333323</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62.5</v>
      </c>
      <c r="Z12" s="218">
        <f t="shared" ca="1" si="6"/>
        <v>1697.0333333333324</v>
      </c>
      <c r="AA12" s="803">
        <f t="shared" ca="1" si="7"/>
        <v>73</v>
      </c>
      <c r="AB12" s="218">
        <f ca="1">+INDIRECT("[EMPINFO.xlsm]"&amp;$O$2&amp;"!s12")</f>
        <v>0</v>
      </c>
      <c r="AC12" s="292">
        <v>1.5</v>
      </c>
      <c r="AD12" s="218">
        <f t="shared" ca="1" si="8"/>
        <v>0</v>
      </c>
      <c r="AE12" s="220">
        <f t="shared" ca="1" si="9"/>
        <v>0</v>
      </c>
      <c r="AF12" s="218">
        <f t="shared" ca="1" si="10"/>
        <v>73</v>
      </c>
      <c r="AG12" s="803">
        <f t="shared" ca="1" si="11"/>
        <v>349.24</v>
      </c>
      <c r="AH12" s="218">
        <f t="shared" ca="1" si="12"/>
        <v>139.69999999999999</v>
      </c>
      <c r="AI12" s="803">
        <f t="shared" ca="1" si="13"/>
        <v>139.69999999999999</v>
      </c>
      <c r="AJ12" s="218">
        <f t="shared" ca="1" si="14"/>
        <v>279.39999999999998</v>
      </c>
      <c r="AK12" s="803">
        <f t="shared" ca="1" si="15"/>
        <v>4.1900000000000004</v>
      </c>
      <c r="AL12" s="218">
        <f t="shared" ca="1" si="22"/>
        <v>1840.9233333333325</v>
      </c>
      <c r="AM12" s="290" t="str">
        <f t="shared" ca="1" si="16"/>
        <v>C</v>
      </c>
      <c r="AN12" s="291" t="str">
        <f t="shared" ca="1" si="17"/>
        <v>FT</v>
      </c>
      <c r="AO12" s="223">
        <f ca="1">+INDIRECT("[EMPINFO.xlsm]"&amp;$O$2&amp;"!t12")</f>
        <v>30</v>
      </c>
      <c r="AP12" s="226">
        <f ca="1">+INDIRECT("[EMPINFO.xlsm]"&amp;$O$2&amp;"!o12")</f>
        <v>-160</v>
      </c>
      <c r="AQ12" s="840">
        <f ca="1">+INDIRECT("[EMPINFO.xlsm]"&amp;$O$2&amp;"!p12")</f>
        <v>-1200.57</v>
      </c>
      <c r="AR12" s="226">
        <f ca="1">+INDIRECT("[EMPINFO.xlsm]"&amp;$O$2&amp;"!j12")</f>
        <v>0</v>
      </c>
      <c r="AS12" s="840">
        <f ca="1">+INDIRECT("[EMPINFO.xlsm]"&amp;$O$2&amp;"!k12")</f>
        <v>193.50999999999996</v>
      </c>
      <c r="AT12" s="226">
        <f ca="1">+INDIRECT("[EMPINFO.xlsm]"&amp;$O$2&amp;"!m12")</f>
        <v>0</v>
      </c>
      <c r="AU12" s="844">
        <f ca="1">+INDIRECT("[EMPINFO.xlsm]"&amp;$O$2&amp;"!n12")</f>
        <v>225.5</v>
      </c>
      <c r="AV12" s="244">
        <f t="shared" si="18"/>
        <v>0</v>
      </c>
      <c r="AW12" s="244">
        <f t="shared" si="23"/>
        <v>62.5</v>
      </c>
      <c r="AX12" s="840">
        <f ca="1">+INDIRECT("[EMPINFO.xlsm]"&amp;$O$2&amp;"!u12")</f>
        <v>30</v>
      </c>
      <c r="AY12" s="215">
        <f ca="1">+INDIRECT("[EMPINFO.xlsm]"&amp;$O$2&amp;"!v12")</f>
        <v>0</v>
      </c>
      <c r="AZ12" s="797" t="str">
        <f ca="1">+INDIRECT("[EMPINFO.xlsm]"&amp;$O$2&amp;"!x12")</f>
        <v>ACTIVE</v>
      </c>
      <c r="BA12" s="844">
        <f ca="1">+INDIRECT("[EMPINFO.xlsm]"&amp;$O$2&amp;"!w12")</f>
        <v>0</v>
      </c>
      <c r="BB12" s="288">
        <f t="shared" ca="1" si="19"/>
        <v>0.15</v>
      </c>
      <c r="BC12" s="289">
        <f t="shared" ca="1" si="20"/>
        <v>2175</v>
      </c>
      <c r="BD12" s="255"/>
      <c r="BE12" s="206"/>
    </row>
    <row r="13" spans="1:62" ht="15.75" customHeight="1" thickBot="1" x14ac:dyDescent="0.3">
      <c r="A13" s="54"/>
      <c r="L13" s="101"/>
      <c r="M13" s="303"/>
      <c r="N13" s="211">
        <f t="shared" ca="1" si="0"/>
        <v>9.0915769230769232</v>
      </c>
      <c r="O13" s="213">
        <f>+DATA!A12</f>
        <v>46296</v>
      </c>
      <c r="P13" s="219">
        <f ca="1">+INDIRECT("[EMPINFO.xlsm]"&amp;$O$2&amp;"!G13")</f>
        <v>4</v>
      </c>
      <c r="Q13" s="215">
        <f ca="1">IF(AZ13="active",INDIRECT("[EMPINFO.xlsm]"&amp;$O$2&amp;"!H13"),0)</f>
        <v>40</v>
      </c>
      <c r="R13" s="239">
        <f t="shared" ca="1" si="21"/>
        <v>8.7309999999999999</v>
      </c>
      <c r="S13" s="216">
        <f t="shared" ca="1" si="1"/>
        <v>1513.3733333333323</v>
      </c>
      <c r="T13" s="220">
        <f t="shared" ca="1" si="2"/>
        <v>0</v>
      </c>
      <c r="U13" s="218">
        <f t="shared" ca="1" si="3"/>
        <v>0</v>
      </c>
      <c r="V13" s="220">
        <f ca="1">+octoth*octhrrt</f>
        <v>0</v>
      </c>
      <c r="W13" s="201"/>
      <c r="X13" s="218">
        <f t="shared" ca="1" si="4"/>
        <v>0</v>
      </c>
      <c r="Y13" s="803">
        <f t="shared" ca="1" si="5"/>
        <v>62.5</v>
      </c>
      <c r="Z13" s="218">
        <f t="shared" ca="1" si="6"/>
        <v>1575.8733333333323</v>
      </c>
      <c r="AA13" s="803">
        <f t="shared" ca="1" si="7"/>
        <v>55</v>
      </c>
      <c r="AB13" s="218">
        <f ca="1">+INDIRECT("[EMPINFO.xlsm]"&amp;$O$2&amp;"!s13")</f>
        <v>0</v>
      </c>
      <c r="AC13" s="292">
        <v>1.5</v>
      </c>
      <c r="AD13" s="218">
        <f t="shared" ca="1" si="8"/>
        <v>0</v>
      </c>
      <c r="AE13" s="220">
        <f t="shared" ca="1" si="9"/>
        <v>0</v>
      </c>
      <c r="AF13" s="218">
        <f t="shared" ca="1" si="10"/>
        <v>55</v>
      </c>
      <c r="AG13" s="803">
        <f t="shared" ca="1" si="11"/>
        <v>349.24</v>
      </c>
      <c r="AH13" s="218">
        <f t="shared" ca="1" si="12"/>
        <v>139.69999999999999</v>
      </c>
      <c r="AI13" s="803">
        <f t="shared" ca="1" si="13"/>
        <v>139.69999999999999</v>
      </c>
      <c r="AJ13" s="218">
        <f t="shared" ca="1" si="14"/>
        <v>279.39999999999998</v>
      </c>
      <c r="AK13" s="803">
        <f t="shared" ca="1" si="15"/>
        <v>4.1900000000000004</v>
      </c>
      <c r="AL13" s="218">
        <f t="shared" ca="1" si="22"/>
        <v>1719.7633333333324</v>
      </c>
      <c r="AM13" s="290" t="str">
        <f t="shared" ca="1" si="16"/>
        <v>C</v>
      </c>
      <c r="AN13" s="291" t="str">
        <f t="shared" ca="1" si="17"/>
        <v>FT</v>
      </c>
      <c r="AO13" s="223">
        <f ca="1">+INDIRECT("[EMPINFO.xlsm]"&amp;$O$2&amp;"!t13")</f>
        <v>31</v>
      </c>
      <c r="AP13" s="226">
        <f ca="1">+INDIRECT("[EMPINFO.xlsm]"&amp;$O$2&amp;"!o13")</f>
        <v>-200</v>
      </c>
      <c r="AQ13" s="840">
        <f ca="1">+INDIRECT("[EMPINFO.xlsm]"&amp;$O$2&amp;"!p13")</f>
        <v>-1400.57</v>
      </c>
      <c r="AR13" s="226">
        <f ca="1">+INDIRECT("[EMPINFO.xlsm]"&amp;$O$2&amp;"!j13")</f>
        <v>0</v>
      </c>
      <c r="AS13" s="840">
        <f ca="1">+INDIRECT("[EMPINFO.xlsm]"&amp;$O$2&amp;"!k13")</f>
        <v>193.50999999999996</v>
      </c>
      <c r="AT13" s="226">
        <f ca="1">+INDIRECT("[EMPINFO.xlsm]"&amp;$O$2&amp;"!m13")</f>
        <v>0</v>
      </c>
      <c r="AU13" s="844">
        <f ca="1">+INDIRECT("[EMPINFO.xlsm]"&amp;$O$2&amp;"!n13")</f>
        <v>225.5</v>
      </c>
      <c r="AV13" s="244">
        <f t="shared" si="18"/>
        <v>0</v>
      </c>
      <c r="AW13" s="244">
        <f t="shared" si="23"/>
        <v>62.5</v>
      </c>
      <c r="AX13" s="840">
        <f ca="1">+INDIRECT("[EMPINFO.xlsm]"&amp;$O$2&amp;"!u13")</f>
        <v>31</v>
      </c>
      <c r="AY13" s="215">
        <f ca="1">+INDIRECT("[EMPINFO.xlsm]"&amp;$O$2&amp;"!v13")</f>
        <v>0</v>
      </c>
      <c r="AZ13" s="797" t="str">
        <f ca="1">+INDIRECT("[EMPINFO.xlsm]"&amp;$O$2&amp;"!x13")</f>
        <v>ACTIVE</v>
      </c>
      <c r="BA13" s="844">
        <f ca="1">+INDIRECT("[EMPINFO.xlsm]"&amp;$O$2&amp;"!w13")</f>
        <v>0</v>
      </c>
      <c r="BB13" s="288">
        <f t="shared" ca="1" si="19"/>
        <v>0.15</v>
      </c>
      <c r="BC13" s="289">
        <f t="shared" ca="1" si="20"/>
        <v>2175</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9.0915769230769232</v>
      </c>
      <c r="O14" s="213">
        <f>+DATA!A13</f>
        <v>46327</v>
      </c>
      <c r="P14" s="219">
        <f ca="1">+INDIRECT("[EMPINFO.xlsm]"&amp;$O$2&amp;"!G14")</f>
        <v>5</v>
      </c>
      <c r="Q14" s="215">
        <f ca="1">IF(AZ14="active",INDIRECT("[EMPINFO.xlsm]"&amp;$O$2&amp;"!H14"),0)</f>
        <v>40</v>
      </c>
      <c r="R14" s="239">
        <f t="shared" ca="1" si="21"/>
        <v>8.7309999999999999</v>
      </c>
      <c r="S14" s="216">
        <f t="shared" ca="1" si="1"/>
        <v>1513.3733333333323</v>
      </c>
      <c r="T14" s="220">
        <f t="shared" ca="1" si="2"/>
        <v>0</v>
      </c>
      <c r="U14" s="218">
        <f t="shared" ca="1" si="3"/>
        <v>0</v>
      </c>
      <c r="V14" s="220">
        <f ca="1">+novoth*novhrrt</f>
        <v>0</v>
      </c>
      <c r="W14" s="201"/>
      <c r="X14" s="218">
        <f t="shared" ca="1" si="4"/>
        <v>0</v>
      </c>
      <c r="Y14" s="803">
        <f t="shared" ca="1" si="5"/>
        <v>62.5</v>
      </c>
      <c r="Z14" s="218">
        <f t="shared" ca="1" si="6"/>
        <v>1575.8733333333323</v>
      </c>
      <c r="AA14" s="803">
        <f t="shared" ca="1" si="7"/>
        <v>55</v>
      </c>
      <c r="AB14" s="218">
        <f ca="1">+INDIRECT("[EMPINFO.xlsm]"&amp;$O$2&amp;"!s14")</f>
        <v>0</v>
      </c>
      <c r="AC14" s="292">
        <v>1.5</v>
      </c>
      <c r="AD14" s="218">
        <f t="shared" ca="1" si="8"/>
        <v>0</v>
      </c>
      <c r="AE14" s="220">
        <f t="shared" ca="1" si="9"/>
        <v>0</v>
      </c>
      <c r="AF14" s="218">
        <f t="shared" ca="1" si="10"/>
        <v>55</v>
      </c>
      <c r="AG14" s="803">
        <f t="shared" ca="1" si="11"/>
        <v>349.24</v>
      </c>
      <c r="AH14" s="218">
        <f t="shared" ca="1" si="12"/>
        <v>174.62</v>
      </c>
      <c r="AI14" s="803">
        <f t="shared" ca="1" si="13"/>
        <v>174.62</v>
      </c>
      <c r="AJ14" s="218">
        <f t="shared" ca="1" si="14"/>
        <v>349.24</v>
      </c>
      <c r="AK14" s="803">
        <f t="shared" ca="1" si="15"/>
        <v>5.24</v>
      </c>
      <c r="AL14" s="218">
        <f t="shared" ca="1" si="22"/>
        <v>1755.7333333333324</v>
      </c>
      <c r="AM14" s="290" t="str">
        <f t="shared" ca="1" si="16"/>
        <v>C</v>
      </c>
      <c r="AN14" s="291" t="str">
        <f t="shared" ca="1" si="17"/>
        <v>FT</v>
      </c>
      <c r="AO14" s="223">
        <f ca="1">+INDIRECT("[EMPINFO.xlsm]"&amp;$O$2&amp;"!t14")</f>
        <v>30</v>
      </c>
      <c r="AP14" s="226">
        <f ca="1">+INDIRECT("[EMPINFO.xlsm]"&amp;$O$2&amp;"!o14")</f>
        <v>-160</v>
      </c>
      <c r="AQ14" s="840">
        <f ca="1">+INDIRECT("[EMPINFO.xlsm]"&amp;$O$2&amp;"!p14")</f>
        <v>-1560.57</v>
      </c>
      <c r="AR14" s="226">
        <f ca="1">+INDIRECT("[EMPINFO.xlsm]"&amp;$O$2&amp;"!j14")</f>
        <v>0</v>
      </c>
      <c r="AS14" s="840">
        <f ca="1">+INDIRECT("[EMPINFO.xlsm]"&amp;$O$2&amp;"!k14")</f>
        <v>193.50999999999996</v>
      </c>
      <c r="AT14" s="226">
        <f ca="1">+INDIRECT("[EMPINFO.xlsm]"&amp;$O$2&amp;"!m14")</f>
        <v>0</v>
      </c>
      <c r="AU14" s="844">
        <f ca="1">+INDIRECT("[EMPINFO.xlsm]"&amp;$O$2&amp;"!n14")</f>
        <v>225.5</v>
      </c>
      <c r="AV14" s="244">
        <f t="shared" si="18"/>
        <v>0</v>
      </c>
      <c r="AW14" s="244">
        <f t="shared" si="23"/>
        <v>62.5</v>
      </c>
      <c r="AX14" s="840">
        <f ca="1">+INDIRECT("[EMPINFO.xlsm]"&amp;$O$2&amp;"!u14")</f>
        <v>30</v>
      </c>
      <c r="AY14" s="215">
        <f ca="1">+INDIRECT("[EMPINFO.xlsm]"&amp;$O$2&amp;"!v14")</f>
        <v>0</v>
      </c>
      <c r="AZ14" s="797" t="str">
        <f ca="1">+INDIRECT("[EMPINFO.xlsm]"&amp;$O$2&amp;"!x14")</f>
        <v>ACTIVE</v>
      </c>
      <c r="BA14" s="844">
        <f ca="1">+INDIRECT("[EMPINFO.xlsm]"&amp;$O$2&amp;"!w14")</f>
        <v>0</v>
      </c>
      <c r="BB14" s="288">
        <f t="shared" ca="1" si="19"/>
        <v>0.15</v>
      </c>
      <c r="BC14" s="289">
        <f t="shared" ca="1" si="20"/>
        <v>2175</v>
      </c>
      <c r="BD14" s="255"/>
      <c r="BE14" s="206"/>
      <c r="BF14" s="32"/>
      <c r="BH14" s="32"/>
    </row>
    <row r="15" spans="1:62" ht="15.75" customHeight="1" thickBot="1" x14ac:dyDescent="0.3">
      <c r="A15" s="54"/>
      <c r="L15" s="101"/>
      <c r="M15" s="303"/>
      <c r="N15" s="211">
        <f t="shared" ca="1" si="0"/>
        <v>9.0915769230769232</v>
      </c>
      <c r="O15" s="213">
        <f>+DATA!A14</f>
        <v>46357</v>
      </c>
      <c r="P15" s="219">
        <f ca="1">+INDIRECT("[EMPINFO.xlsm]"&amp;$O$2&amp;"!G15")</f>
        <v>4</v>
      </c>
      <c r="Q15" s="215">
        <f ca="1">IF(AZ15="active",INDIRECT("[EMPINFO.xlsm]"&amp;$O$2&amp;"!H15"),0)</f>
        <v>40</v>
      </c>
      <c r="R15" s="239">
        <f t="shared" ca="1" si="21"/>
        <v>8.7309999999999999</v>
      </c>
      <c r="S15" s="216">
        <f t="shared" ca="1" si="1"/>
        <v>1513.3733333333323</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62.5</v>
      </c>
      <c r="Z15" s="218">
        <f t="shared" ca="1" si="6"/>
        <v>1710.9733333333322</v>
      </c>
      <c r="AA15" s="803">
        <f t="shared" ca="1" si="7"/>
        <v>75</v>
      </c>
      <c r="AB15" s="218">
        <f ca="1">+INDIRECT("[EMPINFO.xlsm]"&amp;$O$2&amp;"!s15")</f>
        <v>0</v>
      </c>
      <c r="AC15" s="292">
        <v>1.5</v>
      </c>
      <c r="AD15" s="218">
        <f t="shared" ca="1" si="8"/>
        <v>0</v>
      </c>
      <c r="AE15" s="220">
        <f t="shared" ca="1" si="9"/>
        <v>0</v>
      </c>
      <c r="AF15" s="218">
        <f t="shared" ca="1" si="10"/>
        <v>75</v>
      </c>
      <c r="AG15" s="803">
        <f t="shared" ca="1" si="11"/>
        <v>349.24</v>
      </c>
      <c r="AH15" s="218">
        <f t="shared" ca="1" si="12"/>
        <v>139.69999999999999</v>
      </c>
      <c r="AI15" s="803">
        <f t="shared" ca="1" si="13"/>
        <v>139.69999999999999</v>
      </c>
      <c r="AJ15" s="218">
        <f t="shared" ca="1" si="14"/>
        <v>279.39999999999998</v>
      </c>
      <c r="AK15" s="803">
        <f t="shared" ca="1" si="15"/>
        <v>4.1900000000000004</v>
      </c>
      <c r="AL15" s="218">
        <f t="shared" ca="1" si="22"/>
        <v>1854.8633333333323</v>
      </c>
      <c r="AM15" s="290" t="str">
        <f t="shared" ca="1" si="16"/>
        <v>C</v>
      </c>
      <c r="AN15" s="291" t="str">
        <f t="shared" ca="1" si="17"/>
        <v>FT</v>
      </c>
      <c r="AO15" s="223">
        <f ca="1">+INDIRECT("[EMPINFO.xlsm]"&amp;$O$2&amp;"!t15")</f>
        <v>31</v>
      </c>
      <c r="AP15" s="226">
        <f ca="1">+INDIRECT("[EMPINFO.xlsm]"&amp;$O$2&amp;"!o15")</f>
        <v>-160</v>
      </c>
      <c r="AQ15" s="840">
        <f ca="1">+INDIRECT("[EMPINFO.xlsm]"&amp;$O$2&amp;"!p15")</f>
        <v>-1720.57</v>
      </c>
      <c r="AR15" s="226">
        <f ca="1">+INDIRECT("[EMPINFO.xlsm]"&amp;$O$2&amp;"!j15")</f>
        <v>0</v>
      </c>
      <c r="AS15" s="840">
        <f ca="1">+INDIRECT("[EMPINFO.xlsm]"&amp;$O$2&amp;"!k15")</f>
        <v>193.50999999999996</v>
      </c>
      <c r="AT15" s="226">
        <f ca="1">+INDIRECT("[EMPINFO.xlsm]"&amp;$O$2&amp;"!m15")</f>
        <v>0</v>
      </c>
      <c r="AU15" s="844">
        <f ca="1">+INDIRECT("[EMPINFO.xlsm]"&amp;$O$2&amp;"!n15")</f>
        <v>225.5</v>
      </c>
      <c r="AV15" s="244">
        <f t="shared" si="18"/>
        <v>0</v>
      </c>
      <c r="AW15" s="244">
        <f t="shared" si="23"/>
        <v>62.5</v>
      </c>
      <c r="AX15" s="838">
        <f ca="1">+INDIRECT("[EMPINFO.xlsm]"&amp;$O$2&amp;"!u15")</f>
        <v>31</v>
      </c>
      <c r="AY15" s="215">
        <f ca="1">+INDIRECT("[EMPINFO.xlsm]"&amp;$O$2&amp;"!v15")</f>
        <v>0</v>
      </c>
      <c r="AZ15" s="797" t="str">
        <f ca="1">+INDIRECT("[EMPINFO.xlsm]"&amp;$O$2&amp;"!x15")</f>
        <v>ACTIVE</v>
      </c>
      <c r="BA15" s="844">
        <f ca="1">+INDIRECT("[EMPINFO.xlsm]"&amp;$O$2&amp;"!w15")</f>
        <v>0</v>
      </c>
      <c r="BB15" s="288">
        <f t="shared" ca="1" si="19"/>
        <v>0.15</v>
      </c>
      <c r="BC15" s="289">
        <f t="shared" ca="1" si="20"/>
        <v>2175</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18160.479999999992</v>
      </c>
      <c r="T16" s="221">
        <f t="shared" ca="1" si="24"/>
        <v>0</v>
      </c>
      <c r="U16" s="217">
        <f t="shared" ca="1" si="24"/>
        <v>0</v>
      </c>
      <c r="V16" s="221">
        <f t="shared" ca="1" si="24"/>
        <v>0</v>
      </c>
      <c r="W16" s="217">
        <f t="shared" ca="1" si="24"/>
        <v>512.52</v>
      </c>
      <c r="X16" s="217">
        <f t="shared" ca="1" si="24"/>
        <v>0</v>
      </c>
      <c r="Y16" s="804">
        <f t="shared" ca="1" si="24"/>
        <v>679.00390625</v>
      </c>
      <c r="Z16" s="217">
        <f t="shared" ca="1" si="24"/>
        <v>19352.003906249989</v>
      </c>
      <c r="AA16" s="804">
        <f t="shared" ca="1" si="24"/>
        <v>724</v>
      </c>
      <c r="AB16" s="217">
        <f ca="1">+INDIRECT("[EMPINFO.xlsm]"&amp;$O$2&amp;"!S16")</f>
        <v>0</v>
      </c>
      <c r="AC16" s="221" t="s">
        <v>150</v>
      </c>
      <c r="AD16" s="217">
        <f ca="1">SUM(AD4:AD15)</f>
        <v>0</v>
      </c>
      <c r="AE16" s="221">
        <f ca="1">SUM(AE4:AE15)</f>
        <v>0</v>
      </c>
      <c r="AF16" s="217">
        <f ca="1">SUM(AF4:AF15)</f>
        <v>724</v>
      </c>
      <c r="AG16" s="221"/>
      <c r="AH16" s="217">
        <f ca="1">SUM(AH4:AH15)</f>
        <v>1816.0800000000002</v>
      </c>
      <c r="AI16" s="803">
        <f ca="1">SUM(AI4:AI15)</f>
        <v>1816.0800000000002</v>
      </c>
      <c r="AJ16" s="217">
        <f t="shared" ca="1" si="14"/>
        <v>3632.1600000000003</v>
      </c>
      <c r="AK16" s="835">
        <f ca="1">SUM(AK4:AK15)</f>
        <v>54.48</v>
      </c>
      <c r="AL16" s="217">
        <f ca="1">+SUM(AL4:AL15)</f>
        <v>21222.56390624999</v>
      </c>
      <c r="AM16" s="298"/>
      <c r="AN16" s="297"/>
      <c r="AO16" s="224">
        <f ca="1">+INDIRECT("[EMPINFO.xlsm]"&amp;$O$2&amp;"!T16")</f>
        <v>365</v>
      </c>
      <c r="AP16" s="299">
        <f>+[1]RGaldes!O16</f>
        <v>0</v>
      </c>
      <c r="AQ16" s="841">
        <f ca="1">+INDIRECT("[EMPINFO.xlsm]"&amp;$O$2&amp;"!p16")</f>
        <v>-1720.57</v>
      </c>
      <c r="AR16" s="299"/>
      <c r="AS16" s="841">
        <f ca="1">+INDIRECT("[EMPINFO.xlsm]"&amp;$O$2&amp;"!k16")</f>
        <v>193.50999999999996</v>
      </c>
      <c r="AT16" s="299">
        <f ca="1">+INDIRECT("[EMPINFO.xlsm]"&amp;$O$2&amp;"!m16")</f>
        <v>14.5</v>
      </c>
      <c r="AU16" s="841">
        <f ca="1">+INDIRECT("[EMPINFO.xlsm]"&amp;$O$2&amp;"!n16")</f>
        <v>225.5</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19352</v>
      </c>
      <c r="I17" s="456"/>
      <c r="K17" s="317" t="s">
        <v>151</v>
      </c>
      <c r="L17" s="101"/>
      <c r="M17" s="256">
        <v>8.44</v>
      </c>
      <c r="N17" s="257" t="s">
        <v>152</v>
      </c>
      <c r="O17" s="258">
        <f ca="1">+Med_Tot</f>
        <v>19352.003906249989</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-1720.57</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Mallan_Albani Rebecca</v>
      </c>
      <c r="P19" s="374" t="str">
        <f>+IDCard</f>
        <v>57896M</v>
      </c>
      <c r="Q19" s="375" t="str">
        <f>+designation</f>
        <v>8. Dental Assistant</v>
      </c>
      <c r="R19" s="376" t="s">
        <v>156</v>
      </c>
      <c r="S19" s="377">
        <f ca="1">+S20+S23+S22+S24+S25+S26+S21</f>
        <v>1513.3733333333323</v>
      </c>
      <c r="T19" s="378" t="str">
        <f>+FS4_Status</f>
        <v>PAR1</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1513.3733333333323</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279.39999999999998</v>
      </c>
      <c r="U21" s="372">
        <f ca="1">INDEX(PYRL_Summary,MATCH(O21,months,0),22)</f>
        <v>139.69999999999999</v>
      </c>
      <c r="V21" s="373">
        <f ca="1">INDEX(PYRL_Summary,MATCH(O21,months,0),23)</f>
        <v>139.69999999999999</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4.1900000000000004</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19352</v>
      </c>
      <c r="I23" s="466"/>
      <c r="J23" s="318" t="s">
        <v>169</v>
      </c>
      <c r="K23" s="916"/>
      <c r="L23" s="917"/>
      <c r="N23" s="420"/>
      <c r="O23" s="344">
        <f>+ID</f>
        <v>2023006</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45</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MT23VALL22013000000040019337517</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1328.6733333333323</v>
      </c>
      <c r="V26" s="418"/>
      <c r="X26" s="575"/>
    </row>
    <row r="27" spans="1:56" ht="24" customHeight="1" thickBot="1" x14ac:dyDescent="0.3">
      <c r="A27" s="54"/>
      <c r="B27" s="73" t="s">
        <v>52</v>
      </c>
      <c r="G27" s="73" t="s">
        <v>53</v>
      </c>
      <c r="H27" s="8">
        <f ca="1">IF(OR(Timer="PT", Timer="pt_casual"),0,AA16)</f>
        <v>724</v>
      </c>
      <c r="I27" s="319" t="s">
        <v>179</v>
      </c>
      <c r="J27" s="96"/>
      <c r="L27" s="322">
        <v>0</v>
      </c>
      <c r="N27" s="421" t="s">
        <v>180</v>
      </c>
      <c r="O27" s="360" t="s">
        <v>181</v>
      </c>
      <c r="P27" s="361">
        <f>+O21-1</f>
        <v>46022</v>
      </c>
      <c r="Q27" s="362"/>
      <c r="R27" s="363" t="s">
        <v>182</v>
      </c>
      <c r="S27" s="364">
        <f ca="1">(INDEX(PYRL_Summary,MATCH(P27,months,0),33))</f>
        <v>21.5</v>
      </c>
      <c r="T27" s="544">
        <f>IF(Y27=0, "DO NOT INPUT HERE. USE HIGHLIGHTED ",Y27)</f>
        <v>173404193</v>
      </c>
      <c r="U27" s="545"/>
      <c r="V27" s="546"/>
      <c r="W27" s="73" t="s">
        <v>183</v>
      </c>
      <c r="Y27" s="436">
        <v>173404193</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218.00999999999996</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Mallan_Albani Rebecca</v>
      </c>
      <c r="P29" s="394" t="str">
        <f>+IDCard</f>
        <v>57896M</v>
      </c>
      <c r="Q29" s="395" t="str">
        <f>+designation</f>
        <v>8. Dental Assistant</v>
      </c>
      <c r="R29" s="396" t="s">
        <v>156</v>
      </c>
      <c r="S29" s="397">
        <f ca="1">+S30+S33+S32+S34+S35+S36+S31</f>
        <v>1567.3772395833323</v>
      </c>
      <c r="T29" s="431" t="str">
        <f>+FS4_Status</f>
        <v>PAR1</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1513.3733333333323</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724</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279.39999999999998</v>
      </c>
      <c r="U31" s="358">
        <f ca="1">INDEX(PYRL_Summary,MATCH(O31,months,0),22)</f>
        <v>139.69999999999999</v>
      </c>
      <c r="V31" s="359">
        <f ca="1">INDEX(PYRL_Summary,MATCH(O31,months,0),23)</f>
        <v>139.69999999999999</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4.1900000000000004</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2023006</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53</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54.00390625</v>
      </c>
      <c r="S35" s="102">
        <f ca="1">+P35+R35</f>
        <v>54.00390625</v>
      </c>
      <c r="T35" s="889" t="str">
        <f>+IBAN</f>
        <v>MT23VALL22013000000040019337517</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1374.6772395833323</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27.490000000000002</v>
      </c>
      <c r="R37" s="354"/>
      <c r="S37" s="356"/>
      <c r="T37" s="544" t="str">
        <f>IF(Y37=0, "DO NOT INPUT HERE. USE HIGHLIGHTED ",Y37)</f>
        <v>Transaction ID is: 174692944</v>
      </c>
      <c r="U37" s="545"/>
      <c r="V37" s="546"/>
      <c r="W37" s="73" t="s">
        <v>183</v>
      </c>
      <c r="Y37" s="574" t="s">
        <v>639</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-9.9999999999980105E-3</v>
      </c>
      <c r="R38" s="410" t="s">
        <v>188</v>
      </c>
      <c r="S38" s="411">
        <f ca="1">INDEX(PYRL_Summary,MATCH(O31,months,0),33)</f>
        <v>193.50999999999996</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Mallan_Albani Rebecca</v>
      </c>
      <c r="P39" s="374" t="str">
        <f>+IDCard</f>
        <v>57896M</v>
      </c>
      <c r="Q39" s="375" t="str">
        <f>+designation</f>
        <v>8. Dental Assistant</v>
      </c>
      <c r="R39" s="376" t="s">
        <v>156</v>
      </c>
      <c r="S39" s="377">
        <f ca="1">+S40+S43+S42+S44+S45+S46+S41</f>
        <v>1697.0333333333324</v>
      </c>
      <c r="T39" s="378" t="str">
        <f>+FS4_Status</f>
        <v>PAR1</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1513.3733333333323</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349.24</v>
      </c>
      <c r="U41" s="372">
        <f ca="1">INDEX(PYRL_Summary,MATCH(O41,months,0),22)</f>
        <v>174.62</v>
      </c>
      <c r="V41" s="373">
        <f ca="1">INDEX(PYRL_Summary,MATCH(O41,months,0),23)</f>
        <v>174.62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5.24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2023006</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73</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62.5</v>
      </c>
      <c r="S45" s="102">
        <f ca="1">+P45+R45</f>
        <v>62.5</v>
      </c>
      <c r="T45" s="889" t="str">
        <f>+IBAN</f>
        <v>MT23VALL22013000000040019337517</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1449.4133333333325</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24.5</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-0.57000000000000028</v>
      </c>
      <c r="R48" s="392" t="s">
        <v>188</v>
      </c>
      <c r="S48" s="393">
        <f ca="1">INDEX(PYRL_Summary,MATCH(O41,months,0),33)</f>
        <v>193.50999999999996</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Mallan_Albani Rebecca</v>
      </c>
      <c r="P49" s="394" t="str">
        <f>+IDCard</f>
        <v>57896M</v>
      </c>
      <c r="Q49" s="395" t="str">
        <f>+designation</f>
        <v>8. Dental Assistant</v>
      </c>
      <c r="R49" s="396" t="s">
        <v>156</v>
      </c>
      <c r="S49" s="397">
        <f ca="1">+S50+S53+S52+S54+S55+S56+S51</f>
        <v>1575.8733333333323</v>
      </c>
      <c r="T49" s="431" t="str">
        <f>+FS4_Status</f>
        <v>PAR1</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1513.3733333333323</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279.39999999999998</v>
      </c>
      <c r="U51" s="358">
        <f ca="1">INDEX(PYRL_Summary,MATCH(O51,months,0),22)</f>
        <v>139.69999999999999</v>
      </c>
      <c r="V51" s="359">
        <f ca="1">INDEX(PYRL_Summary,MATCH(O51,months,0),23)</f>
        <v>139.69999999999999</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4.1900000000000004</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2023006</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55</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62.5</v>
      </c>
      <c r="S55" s="102">
        <f ca="1">+P55+R55</f>
        <v>62.5</v>
      </c>
      <c r="T55" s="889" t="str">
        <f>+IBAN</f>
        <v>MT23VALL22013000000040019337517</v>
      </c>
      <c r="U55" s="890"/>
      <c r="V55" s="891"/>
    </row>
    <row r="56" spans="1:37" ht="16.5" customHeight="1" thickBot="1" x14ac:dyDescent="0.3">
      <c r="E56" s="116" t="s">
        <v>215</v>
      </c>
      <c r="F56" s="115" t="str">
        <f>INDEX([1]!empdata,MATCH(ID,[1]!empid,0),17)</f>
        <v>MT23VALL22013000000040019337517</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1381.1733333333323</v>
      </c>
      <c r="V56" s="418"/>
    </row>
    <row r="57" spans="1:37" ht="26.25" customHeight="1" thickBot="1" x14ac:dyDescent="0.3">
      <c r="E57" s="116" t="s">
        <v>216</v>
      </c>
      <c r="F57" s="340" t="str">
        <f>INDEX([1]!empdata,MATCH(ID,[1]!empid,0),12)</f>
        <v>rebeccalbani@icloud.com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35094</v>
      </c>
      <c r="G58" s="56"/>
      <c r="H58" s="63"/>
      <c r="N58" s="406">
        <f ca="1">INDEX(PYRL_Summary,MATCH(O51,months,0),4)</f>
        <v>4</v>
      </c>
      <c r="O58" s="407" t="s">
        <v>187</v>
      </c>
      <c r="P58" s="408">
        <f>+O41</f>
        <v>46082</v>
      </c>
      <c r="Q58" s="409">
        <f ca="1">INDEX(PYRL_Summary,MATCH(P58,months,0),31)</f>
        <v>-160.57</v>
      </c>
      <c r="R58" s="410" t="s">
        <v>188</v>
      </c>
      <c r="S58" s="411">
        <f ca="1">INDEX(PYRL_Summary,MATCH(O51,months,0),33)</f>
        <v>193.50999999999996</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45173</v>
      </c>
      <c r="G59" s="56"/>
      <c r="H59" s="63"/>
      <c r="N59" s="386">
        <f ca="1">IF(OR(INDEX(PYRL_Summary,MATCH(O61,months,0),28)="pt",INDEX(PYRL_Summary,MATCH(O61,months,0),28)="pt_casual"),0,IF(N62-N61&gt;=1,1,0))</f>
        <v>1</v>
      </c>
      <c r="O59" s="894" t="str">
        <f>Surname&amp;" "&amp;Name</f>
        <v>Mallan_Albani Rebecca</v>
      </c>
      <c r="P59" s="374" t="str">
        <f>+IDCard</f>
        <v>57896M</v>
      </c>
      <c r="Q59" s="375" t="str">
        <f>+designation</f>
        <v>8. Dental Assistant</v>
      </c>
      <c r="R59" s="376" t="s">
        <v>156</v>
      </c>
      <c r="S59" s="377">
        <f ca="1">+S60+S63+S62+S64+S65+S66+S61</f>
        <v>1575.8733333333323</v>
      </c>
      <c r="T59" s="378" t="str">
        <f>+FS4_Status</f>
        <v>PAR1</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8. Dental Assistant</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1513.3733333333323</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279.39999999999998</v>
      </c>
      <c r="U61" s="372">
        <f ca="1">INDEX(PYRL_Summary,MATCH(O61,months,0),22)</f>
        <v>139.69999999999999</v>
      </c>
      <c r="V61" s="373">
        <f ca="1">INDEX(PYRL_Summary,MATCH(O61,months,0),23)</f>
        <v>139.69999999999999</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PAR1</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4.1900000000000004</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2023006</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55</v>
      </c>
      <c r="X64" s="577"/>
    </row>
    <row r="65" spans="5:37" ht="15.75" customHeight="1" thickBot="1" x14ac:dyDescent="0.3">
      <c r="E65" s="925" t="s">
        <v>224</v>
      </c>
      <c r="F65" s="926"/>
      <c r="G65" s="103">
        <f ca="1">+Med_Tot</f>
        <v>19352.003906249989</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62.5</v>
      </c>
      <c r="S65" s="102">
        <f ca="1">+P65+R65</f>
        <v>62.5</v>
      </c>
      <c r="T65" s="889" t="str">
        <f>+IBAN</f>
        <v>MT23VALL22013000000040019337517</v>
      </c>
      <c r="U65" s="890"/>
      <c r="V65" s="891"/>
    </row>
    <row r="66" spans="5:37" ht="16.5" customHeight="1" thickBot="1" x14ac:dyDescent="0.3">
      <c r="E66" s="952" t="s">
        <v>226</v>
      </c>
      <c r="F66" s="953"/>
      <c r="G66" s="112">
        <f ca="1">+PREVFS3+Med_Tot</f>
        <v>19352.003906249989</v>
      </c>
      <c r="H66" s="114">
        <f ca="1">IF(grossyearly&lt;F68,1,IF(grossyearly&lt;F69,2,IF(grossyearly&lt;F70,3,IF(grossyearly&lt;F71,4,5))))</f>
        <v>2</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1381.1733333333323</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PAR1max1</v>
      </c>
      <c r="F68" s="66">
        <f>+VLOOKUP(E68,SStable,4,)</f>
        <v>14500</v>
      </c>
      <c r="G68" s="109">
        <f>+VLOOKUP(E68,SStable,5,)</f>
        <v>0</v>
      </c>
      <c r="H68" s="104">
        <f>+VLOOKUP(E68,SStable,6,)</f>
        <v>0</v>
      </c>
      <c r="N68" s="388">
        <f ca="1">INDEX(PYRL_Summary,MATCH(O61,months,0),4)</f>
        <v>4</v>
      </c>
      <c r="O68" s="389" t="s">
        <v>187</v>
      </c>
      <c r="P68" s="390">
        <f>+O51</f>
        <v>46113</v>
      </c>
      <c r="Q68" s="391">
        <f ca="1">INDEX(PYRL_Summary,MATCH(P68,months,0),31)</f>
        <v>-320.57</v>
      </c>
      <c r="R68" s="392" t="s">
        <v>188</v>
      </c>
      <c r="S68" s="393">
        <f ca="1">INDEX(PYRL_Summary,MATCH(O61,months,0),33)</f>
        <v>193.50999999999996</v>
      </c>
      <c r="T68" s="425" t="str">
        <f>+Clinic_add</f>
        <v>7,  Mediatrix, Sanctuary Str. Zabbar ZBR1010
8, Mediatrix, Guze Duca Str., Qormi QRM9088</v>
      </c>
      <c r="U68" s="426"/>
      <c r="V68" s="427" t="s">
        <v>189</v>
      </c>
    </row>
    <row r="69" spans="5:37" ht="27" customHeight="1" thickBot="1" x14ac:dyDescent="0.3">
      <c r="E69" s="80" t="str">
        <f>CONCATENATE(FS4_Status,"max",2)</f>
        <v>PAR1max2</v>
      </c>
      <c r="F69" s="66">
        <f>+VLOOKUP(E69,SStable,4,)</f>
        <v>21000</v>
      </c>
      <c r="G69" s="109">
        <f>+VLOOKUP(E69,SStable,5,)</f>
        <v>0.15</v>
      </c>
      <c r="H69" s="104">
        <f>+VLOOKUP(E69,SStable,6,)</f>
        <v>2175</v>
      </c>
      <c r="N69" s="403">
        <f ca="1">IF(OR(INDEX(PYRL_Summary,MATCH(O71,months,0),28)="pt",INDEX(PYRL_Summary,MATCH(O71,months,0),28)="pt_casual"),0,IF(N72-N71&gt;=1,1,0))</f>
        <v>1</v>
      </c>
      <c r="O69" s="908" t="str">
        <f>Surname&amp;" "&amp;Name</f>
        <v>Mallan_Albani Rebecca</v>
      </c>
      <c r="P69" s="394" t="str">
        <f>+IDCard</f>
        <v>57896M</v>
      </c>
      <c r="Q69" s="395" t="str">
        <f>+designation</f>
        <v>8. Dental Assistant</v>
      </c>
      <c r="R69" s="396" t="s">
        <v>156</v>
      </c>
      <c r="S69" s="397">
        <f ca="1">+S70+S73+S72+S74+S75+S76+S71</f>
        <v>1710.9733333333322</v>
      </c>
      <c r="T69" s="431" t="str">
        <f>+FS4_Status</f>
        <v>PAR1</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PAR1max3</v>
      </c>
      <c r="F70" s="66">
        <f>+VLOOKUP(E70,SStable,4,)</f>
        <v>60000</v>
      </c>
      <c r="G70" s="109">
        <f>+VLOOKUP(E70,SStable,5,)</f>
        <v>0.25</v>
      </c>
      <c r="H70" s="104">
        <f>+VLOOKUP(E70,SStable,6,)</f>
        <v>4275</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1513.3733333333323</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PAR1max4</v>
      </c>
      <c r="F71" s="66">
        <f>+VLOOKUP(E71,SStable,4,)</f>
        <v>150000</v>
      </c>
      <c r="G71" s="109">
        <f>+VLOOKUP(E71,SStable,5,)</f>
        <v>0.35</v>
      </c>
      <c r="H71" s="104">
        <f>+VLOOKUP(E71,SStable,6,)</f>
        <v>10275</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349.24</v>
      </c>
      <c r="U71" s="358">
        <f ca="1">INDEX(PYRL_Summary,MATCH(O71,months,0),22)</f>
        <v>174.62</v>
      </c>
      <c r="V71" s="359">
        <f ca="1">INDEX(PYRL_Summary,MATCH(O71,months,0),23)</f>
        <v>174.62</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PAR1max5</v>
      </c>
      <c r="F72" s="66" t="s">
        <v>230</v>
      </c>
      <c r="G72" s="109">
        <f>+VLOOKUP(E72,SStable,5,)</f>
        <v>0</v>
      </c>
      <c r="H72" s="104">
        <f>+VLOOKUP(E72,SStable,6,)</f>
        <v>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5.24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2023006</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75</v>
      </c>
      <c r="X74" s="577"/>
    </row>
    <row r="75" spans="5:37" ht="15.75" customHeight="1" thickBot="1" x14ac:dyDescent="0.3">
      <c r="E75" s="293"/>
      <c r="F75" s="294" t="s">
        <v>130</v>
      </c>
      <c r="G75" s="295">
        <f ca="1">IF(AND(Timer="pt",grossyearly&lt;10000),+ptrate,IF(grossyearly&lt;$F$68,$G$68,IF(grossyearly&lt;$F$69,$G$69,IF(grossyearly&lt;$F$70,$G$70,IF(grossyearly&lt;$F$71,$G$71,$G$72)))))</f>
        <v>0.15</v>
      </c>
      <c r="H75" s="296">
        <f ca="1">IF(grossyearly&lt;$F$68,$H$68,IF(grossyearly&lt;$F$69,$H$69,IF(grossyearly&lt;$F$70,$H$70,IF(grossyearly&lt;$F$71,$H$71,$H$72))))</f>
        <v>2175</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62.5</v>
      </c>
      <c r="S75" s="102">
        <f ca="1">+P75+R75</f>
        <v>62.5</v>
      </c>
      <c r="T75" s="889" t="str">
        <f>+IBAN</f>
        <v>MT23VALL22013000000040019337517</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1461.3533333333321</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-520.56999999999994</v>
      </c>
      <c r="R78" s="410" t="s">
        <v>188</v>
      </c>
      <c r="S78" s="411">
        <f ca="1">INDEX(PYRL_Summary,MATCH(O71,months,0),33)</f>
        <v>193.50999999999996</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Mallan_Albani Rebecca</v>
      </c>
      <c r="P79" s="374" t="str">
        <f>+IDCard</f>
        <v>57896M</v>
      </c>
      <c r="Q79" s="375" t="str">
        <f>+designation</f>
        <v>8. Dental Assistant</v>
      </c>
      <c r="R79" s="376" t="s">
        <v>156</v>
      </c>
      <c r="S79" s="377">
        <f ca="1">+S80+S83+S82+S84+S85+S86+S81</f>
        <v>1575.8733333333323</v>
      </c>
      <c r="T79" s="378" t="str">
        <f>+FS4_Status</f>
        <v>PAR1</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1513.3733333333323</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279.39999999999998</v>
      </c>
      <c r="U81" s="372">
        <f ca="1">INDEX(PYRL_Summary,MATCH(O81,months,0),22)</f>
        <v>139.69999999999999</v>
      </c>
      <c r="V81" s="373">
        <f ca="1">INDEX(PYRL_Summary,MATCH(O81,months,0),23)</f>
        <v>139.69999999999999</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4.1900000000000004</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2023006</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55</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62.5</v>
      </c>
      <c r="S85" s="102">
        <f ca="1">+P85+R85</f>
        <v>62.5</v>
      </c>
      <c r="T85" s="889" t="str">
        <f>+IBAN</f>
        <v>MT23VALL22013000000040019337517</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1381.1733333333323</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193.50999999999996</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Mallan_Albani Rebecca</v>
      </c>
      <c r="P89" s="394" t="str">
        <f>+IDCard</f>
        <v>57896M</v>
      </c>
      <c r="Q89" s="395" t="str">
        <f>+designation</f>
        <v>8. Dental Assistant</v>
      </c>
      <c r="R89" s="396" t="s">
        <v>156</v>
      </c>
      <c r="S89" s="397">
        <f ca="1">+S90+S93+S92+S94+S95+S96+S91</f>
        <v>1575.8733333333323</v>
      </c>
      <c r="T89" s="431" t="str">
        <f>+FS4_Status</f>
        <v>PAR1</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1513.3733333333323</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349.24</v>
      </c>
      <c r="U91" s="358">
        <f ca="1">INDEX(PYRL_Summary,MATCH(O91,months,0),22)</f>
        <v>174.62</v>
      </c>
      <c r="V91" s="359">
        <f ca="1">INDEX(PYRL_Summary,MATCH(O91,months,0),23)</f>
        <v>174.62</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5.24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2023006</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55</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62.5</v>
      </c>
      <c r="S95" s="102">
        <f ca="1">+P95+R95</f>
        <v>62.5</v>
      </c>
      <c r="T95" s="889" t="str">
        <f>+IBAN</f>
        <v>MT23VALL22013000000040019337517</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1346.2533333333322</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-840.56999999999994</v>
      </c>
      <c r="R98" s="410" t="s">
        <v>188</v>
      </c>
      <c r="S98" s="411">
        <f ca="1">INDEX(PYRL_Summary,MATCH(O91,months,0),33)</f>
        <v>193.50999999999996</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Mallan_Albani Rebecca</v>
      </c>
      <c r="P99" s="374" t="str">
        <f>+IDCard</f>
        <v>57896M</v>
      </c>
      <c r="Q99" s="375" t="str">
        <f>+designation</f>
        <v>8. Dental Assistant</v>
      </c>
      <c r="R99" s="376" t="s">
        <v>156</v>
      </c>
      <c r="S99" s="377">
        <f ca="1">+S100+S103+S102+S104+S105+S106+S101</f>
        <v>1697.0333333333324</v>
      </c>
      <c r="T99" s="378" t="str">
        <f>+FS4_Status</f>
        <v>PAR1</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1513.3733333333323</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279.39999999999998</v>
      </c>
      <c r="U101" s="372">
        <f ca="1">INDEX(PYRL_Summary,MATCH(O101,months,0),22)</f>
        <v>139.69999999999999</v>
      </c>
      <c r="V101" s="373">
        <f ca="1">INDEX(PYRL_Summary,MATCH(O101,months,0),23)</f>
        <v>139.69999999999999</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4.1900000000000004</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2023006</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73</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62.5</v>
      </c>
      <c r="S105" s="102">
        <f ca="1">+P105+R105</f>
        <v>62.5</v>
      </c>
      <c r="T105" s="889" t="str">
        <f>+IBAN</f>
        <v>MT23VALL22013000000040019337517</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1484.3333333333323</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-1040.57</v>
      </c>
      <c r="R108" s="392" t="s">
        <v>188</v>
      </c>
      <c r="S108" s="393">
        <f ca="1">INDEX(PYRL_Summary,MATCH(O101,months,0),33)</f>
        <v>193.50999999999996</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Mallan_Albani Rebecca</v>
      </c>
      <c r="P109" s="394" t="str">
        <f>+IDCard</f>
        <v>57896M</v>
      </c>
      <c r="Q109" s="395" t="str">
        <f>+designation</f>
        <v>8. Dental Assistant</v>
      </c>
      <c r="R109" s="396" t="s">
        <v>156</v>
      </c>
      <c r="S109" s="397">
        <f ca="1">+S110+S113+S112+S114+S115+S116+S111</f>
        <v>1575.8733333333323</v>
      </c>
      <c r="T109" s="431" t="str">
        <f>+FS4_Status</f>
        <v>PAR1</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1513.3733333333323</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279.39999999999998</v>
      </c>
      <c r="U111" s="358">
        <f ca="1">INDEX(PYRL_Summary,MATCH(W109,months,0),22)</f>
        <v>139.69999999999999</v>
      </c>
      <c r="V111" s="359">
        <f ca="1">INDEX(PYRL_Summary,MATCH(W109,months,0),23)</f>
        <v>139.69999999999999</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4.1900000000000004</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2023006</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55</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62.5</v>
      </c>
      <c r="S115" s="102">
        <f ca="1">+P115+R115</f>
        <v>62.5</v>
      </c>
      <c r="T115" s="889" t="str">
        <f>+IBAN</f>
        <v>MT23VALL22013000000040019337517</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1381.1733333333323</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-1200.57</v>
      </c>
      <c r="R118" s="410" t="s">
        <v>188</v>
      </c>
      <c r="S118" s="411">
        <f ca="1">INDEX(PYRL_Summary,MATCH(W109,months,0),33)</f>
        <v>193.50999999999996</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Mallan_Albani Rebecca</v>
      </c>
      <c r="P119" s="374" t="str">
        <f>+IDCard</f>
        <v>57896M</v>
      </c>
      <c r="Q119" s="375" t="str">
        <f>+designation</f>
        <v>8. Dental Assistant</v>
      </c>
      <c r="R119" s="376" t="s">
        <v>156</v>
      </c>
      <c r="S119" s="377">
        <f ca="1">+S120+S123+S122+S124+S125+S126+S121</f>
        <v>1575.8733333333323</v>
      </c>
      <c r="T119" s="378" t="str">
        <f>+FS4_Status</f>
        <v>PAR1</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1513.3733333333323</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349.24</v>
      </c>
      <c r="U121" s="372">
        <f ca="1">INDEX(PYRL_Summary,MATCH(W119,months,0),22)</f>
        <v>174.62</v>
      </c>
      <c r="V121" s="373">
        <f ca="1">INDEX(PYRL_Summary,MATCH(W119,months,0),23)</f>
        <v>174.62</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5.24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2023006</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55</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62.5</v>
      </c>
      <c r="S125" s="102">
        <f ca="1">+P125+R125</f>
        <v>62.5</v>
      </c>
      <c r="T125" s="889" t="str">
        <f>+IBAN</f>
        <v>MT23VALL22013000000040019337517</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1346.2533333333322</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-1400.57</v>
      </c>
      <c r="R128" s="392" t="s">
        <v>188</v>
      </c>
      <c r="S128" s="393">
        <f ca="1">INDEX(PYRL_Summary,MATCH(W119,months,0),33)</f>
        <v>193.50999999999996</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Mallan_Albani Rebecca</v>
      </c>
      <c r="P129" s="394" t="str">
        <f>+IDCard</f>
        <v>57896M</v>
      </c>
      <c r="Q129" s="395" t="str">
        <f>+designation</f>
        <v>8. Dental Assistant</v>
      </c>
      <c r="R129" s="396" t="s">
        <v>156</v>
      </c>
      <c r="S129" s="397">
        <f ca="1">+S130+S133+S132+S134+S135+S136+S131</f>
        <v>1710.9733333333322</v>
      </c>
      <c r="T129" s="431" t="str">
        <f>+FS4_Status</f>
        <v>PAR1</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1513.3733333333323</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279.39999999999998</v>
      </c>
      <c r="U131" s="358">
        <f ca="1">INDEX(PYRL_Summary,MATCH(W129,months,0),22)</f>
        <v>139.69999999999999</v>
      </c>
      <c r="V131" s="359">
        <f ca="1">INDEX(PYRL_Summary,MATCH(W129,months,0),23)</f>
        <v>139.69999999999999</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4.1900000000000004</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2023006</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75</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62.5</v>
      </c>
      <c r="S135" s="102">
        <f ca="1">+P135+R135</f>
        <v>62.5</v>
      </c>
      <c r="T135" s="889" t="str">
        <f>+IBAN</f>
        <v>MT23VALL22013000000040019337517</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1496.2733333333322</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-1560.57</v>
      </c>
      <c r="R138" s="410" t="s">
        <v>188</v>
      </c>
      <c r="S138" s="411">
        <f ca="1">INDEX(PYRL_Summary,MATCH(W129,months,0),33)</f>
        <v>193.50999999999996</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406" priority="29">
      <formula>$P25=0</formula>
    </cfRule>
  </conditionalFormatting>
  <conditionalFormatting sqref="Q25:R25">
    <cfRule type="expression" dxfId="405" priority="28">
      <formula>$R25=0</formula>
    </cfRule>
  </conditionalFormatting>
  <conditionalFormatting sqref="S25">
    <cfRule type="expression" dxfId="404" priority="27">
      <formula>$S25=0</formula>
    </cfRule>
  </conditionalFormatting>
  <conditionalFormatting sqref="S26">
    <cfRule type="expression" dxfId="403" priority="25">
      <formula>$S$46&gt;0.01</formula>
    </cfRule>
    <cfRule type="expression" dxfId="402" priority="26">
      <formula>$S$46=0</formula>
    </cfRule>
  </conditionalFormatting>
  <conditionalFormatting sqref="T23 T33 T43 T53 T63 T73 T83 T93 T103 T113 T123 T133">
    <cfRule type="expression" dxfId="401" priority="24" stopIfTrue="1">
      <formula>"$R$23=0"""</formula>
    </cfRule>
  </conditionalFormatting>
  <conditionalFormatting sqref="O26:Q26">
    <cfRule type="expression" dxfId="400" priority="23">
      <formula>$Q$26=0</formula>
    </cfRule>
  </conditionalFormatting>
  <conditionalFormatting sqref="V23">
    <cfRule type="expression" dxfId="399" priority="22">
      <formula>$V$23=0</formula>
    </cfRule>
  </conditionalFormatting>
  <conditionalFormatting sqref="O35:P35">
    <cfRule type="expression" dxfId="398" priority="21">
      <formula>$P35=0</formula>
    </cfRule>
  </conditionalFormatting>
  <conditionalFormatting sqref="Q35:R35">
    <cfRule type="expression" dxfId="397" priority="20">
      <formula>$R35=0</formula>
    </cfRule>
  </conditionalFormatting>
  <conditionalFormatting sqref="S35">
    <cfRule type="expression" dxfId="396" priority="19">
      <formula>$S35=0</formula>
    </cfRule>
  </conditionalFormatting>
  <conditionalFormatting sqref="S36">
    <cfRule type="expression" dxfId="395" priority="17">
      <formula>$S$46&gt;0.01</formula>
    </cfRule>
    <cfRule type="expression" dxfId="394" priority="18">
      <formula>$S$46=0</formula>
    </cfRule>
  </conditionalFormatting>
  <conditionalFormatting sqref="O36:Q36">
    <cfRule type="expression" dxfId="393" priority="16">
      <formula>$Q$26=0</formula>
    </cfRule>
  </conditionalFormatting>
  <conditionalFormatting sqref="V33">
    <cfRule type="expression" dxfId="392" priority="15">
      <formula>$V$23=0</formula>
    </cfRule>
  </conditionalFormatting>
  <conditionalFormatting sqref="O45:P45 O65:P65 O85:P85 O105:P105 O125:P125">
    <cfRule type="expression" dxfId="391" priority="14">
      <formula>$P45=0</formula>
    </cfRule>
  </conditionalFormatting>
  <conditionalFormatting sqref="Q45:R45 Q65:R65 Q85:R85 Q105:R105 Q125:R125">
    <cfRule type="expression" dxfId="390" priority="13">
      <formula>$R45=0</formula>
    </cfRule>
  </conditionalFormatting>
  <conditionalFormatting sqref="S45 S65 S85 S105 S125">
    <cfRule type="expression" dxfId="389" priority="12">
      <formula>$S45=0</formula>
    </cfRule>
  </conditionalFormatting>
  <conditionalFormatting sqref="S46 S66 S86 S106 S126">
    <cfRule type="expression" dxfId="388" priority="10">
      <formula>$S$46&gt;0.01</formula>
    </cfRule>
    <cfRule type="expression" dxfId="387" priority="11">
      <formula>$S$46=0</formula>
    </cfRule>
  </conditionalFormatting>
  <conditionalFormatting sqref="O46:Q46 O66:Q66 O86:Q86 O106:Q106 O126:Q126">
    <cfRule type="expression" dxfId="386" priority="9">
      <formula>$Q$26=0</formula>
    </cfRule>
  </conditionalFormatting>
  <conditionalFormatting sqref="V43 V63 V83 V103 V123">
    <cfRule type="expression" dxfId="385" priority="8">
      <formula>$V$23=0</formula>
    </cfRule>
  </conditionalFormatting>
  <conditionalFormatting sqref="O55:P55 O75:P75 O95:P95 O115:P115 O135:P135">
    <cfRule type="expression" dxfId="384" priority="7">
      <formula>$P55=0</formula>
    </cfRule>
  </conditionalFormatting>
  <conditionalFormatting sqref="Q55:R55 Q75:R75 Q95:R95 Q115:R115 Q135:R135">
    <cfRule type="expression" dxfId="383" priority="6">
      <formula>$R55=0</formula>
    </cfRule>
  </conditionalFormatting>
  <conditionalFormatting sqref="S55 S75 S95 S115 S135">
    <cfRule type="expression" dxfId="382" priority="5">
      <formula>$S55=0</formula>
    </cfRule>
  </conditionalFormatting>
  <conditionalFormatting sqref="S56 S76 S96 S116 S136">
    <cfRule type="expression" dxfId="381" priority="3">
      <formula>$S$46&gt;0.01</formula>
    </cfRule>
    <cfRule type="expression" dxfId="380" priority="4">
      <formula>$S$46=0</formula>
    </cfRule>
  </conditionalFormatting>
  <conditionalFormatting sqref="O56:Q56 O76:Q76 O96:Q96 O116:Q116 O136:Q136">
    <cfRule type="expression" dxfId="379" priority="2">
      <formula>$Q$26=0</formula>
    </cfRule>
  </conditionalFormatting>
  <conditionalFormatting sqref="V53 V73 V93 V113 V133">
    <cfRule type="expression" dxfId="378" priority="1">
      <formula>$V$23=0</formula>
    </cfRule>
  </conditionalFormatting>
  <hyperlinks>
    <hyperlink ref="F57" r:id="rId1" display="drchrisgauci@gmail.com" xr:uid="{00000000-0004-0000-0D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7681"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7682"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7683"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7684"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7685"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7686"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7687"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7688"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7689"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7690"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7691"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7692"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7693"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2">
    <tabColor rgb="FF7030A0"/>
  </sheetPr>
  <dimension ref="A1:BJ149"/>
  <sheetViews>
    <sheetView topLeftCell="I19" workbookViewId="0">
      <selection activeCell="Y37" sqref="Y37"/>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AHaneena</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2023007</v>
      </c>
      <c r="O2" s="810" t="str">
        <f>CONCATENATE(LEFT(Name,1),Surname)</f>
        <v>AHaneena</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10.130000000000001</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7</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10.261000000000001</v>
      </c>
      <c r="O4" s="213">
        <f>+DATA!A3</f>
        <v>46023</v>
      </c>
      <c r="P4" s="219">
        <f ca="1">+INDIRECT("[EMPINFO.xlsm]"&amp;$O$2&amp;"!G4")</f>
        <v>4</v>
      </c>
      <c r="Q4" s="215">
        <f ca="1">IF(AZ4="active",INDIRECT("[EMPINFO.xlsm]"&amp;$O$2&amp;"!H4"),0)</f>
        <v>40</v>
      </c>
      <c r="R4" s="239">
        <f ca="1">IF(AZ4&lt;&gt;"active",0,N3+COLA)</f>
        <v>10.261000000000001</v>
      </c>
      <c r="S4" s="216">
        <f t="shared" ref="S4:S15" ca="1" si="1">+Q4*R4*4.33333333333333*AO4/AX4</f>
        <v>1778.5733333333324</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1778.5733333333324</v>
      </c>
      <c r="AA4" s="803">
        <f t="shared" ref="AA4:AA15" ca="1" si="7">IF(OR(AN4="PT",AN4="PT_Casual"),TRUNC((Z4*PT_Rate),0),(TRUNC((Z4*BB4)-(BC4/12),0)))</f>
        <v>161</v>
      </c>
      <c r="AB4" s="218">
        <f ca="1">+INDIRECT("[EMPINFO.xlsm]"&amp;$O$2&amp;"!s4")</f>
        <v>0</v>
      </c>
      <c r="AC4" s="292">
        <v>1.5</v>
      </c>
      <c r="AD4" s="218">
        <f t="shared" ref="AD4:AD15" ca="1" si="8">+AB4*(R4*AC4)</f>
        <v>0</v>
      </c>
      <c r="AE4" s="220">
        <f t="shared" ref="AE4:AE15" ca="1" si="9">+TRUNC((AD4*0.15),0)</f>
        <v>0</v>
      </c>
      <c r="AF4" s="218">
        <f t="shared" ref="AF4:AF15" ca="1" si="10">+AA4+AE4</f>
        <v>161</v>
      </c>
      <c r="AG4" s="803">
        <f t="shared" ref="AG4:AG15" ca="1" si="11">+R4*Q4</f>
        <v>410.44000000000005</v>
      </c>
      <c r="AH4" s="218">
        <f t="shared" ref="AH4:AH15" ca="1" si="12">ROUND(IF(AN4="",0,IF(OR(AN4="PT",AN4="PT_Casual"),0,IF(AM4="B",ROUND(SSCBemployermultiplier*P4,2),IF(AM4="c",SOCSECCRATE*AG4*P4,IF(AM4="D",ROUND(socsecrateD*P4,2)))))),2)</f>
        <v>164.18</v>
      </c>
      <c r="AI4" s="803">
        <f t="shared" ref="AI4:AI15" ca="1" si="13">ROUND(IF(AN4="",0,IF(OR(AN4="PT",AN4="PT_Casual"),0,IF(AM4="B",ROUND(SSCBemployermultiplier*P4,2),IF(AM4="c",SOCSECCRATE*AG4*P4,IF(AM4="D",ROUND(socsecrateD*P4,2)))))),2)</f>
        <v>164.18</v>
      </c>
      <c r="AJ4" s="218">
        <f t="shared" ref="AJ4:AJ16" ca="1" si="14">+AH4+AI4</f>
        <v>328.36</v>
      </c>
      <c r="AK4" s="803">
        <f t="shared" ref="AK4:AK15" ca="1" si="15">ROUND(IF(AN4="",0,IF(OR(AN4="PT",AN4="PT_Casual"),0,IF(AM4="B",SSCBmlfmultiplier*P4,IF(AM4="c",SSCCmlfmultiplier*P4*AG4,IF(AM4="D",SSCDmlfmultiplier*P4))))),2)</f>
        <v>4.93</v>
      </c>
      <c r="AL4" s="218">
        <f ca="1">+Z4+AH4+AK4</f>
        <v>1947.6833333333325</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1.5987211554602254E-14</v>
      </c>
      <c r="AQ4" s="840">
        <f ca="1">+INDIRECT("[EMPINFO.xlsm]"&amp;$O$2&amp;"!p4")</f>
        <v>1.5987211554602254E-14</v>
      </c>
      <c r="AR4" s="226">
        <f ca="1">+INDIRECT("[EMPINFO.xlsm]"&amp;$O$2&amp;"!j4")</f>
        <v>13.58</v>
      </c>
      <c r="AS4" s="840">
        <f ca="1">+INDIRECT("[EMPINFO.xlsm]"&amp;$O$2&amp;"!k4")</f>
        <v>217.41999999999996</v>
      </c>
      <c r="AT4" s="226">
        <f ca="1">+INDIRECT("[EMPINFO.xlsm]"&amp;$O$2&amp;"!m4")</f>
        <v>0</v>
      </c>
      <c r="AU4" s="844">
        <f ca="1">+INDIRECT("[EMPINFO.xlsm]"&amp;$O$2&amp;"!n4")</f>
        <v>240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0.25</v>
      </c>
      <c r="BC4" s="289">
        <f t="shared" ref="BC4:BC15" ca="1" si="21">IF((Z4*12)&lt;$F$68,$H$68,IF((Z4*12)&lt;$F$69,$H$69,IF((Z4*12)&lt;$F$70,$H$70,IF((Z4*12)&lt;$F$71,$H$71,$H$72))))</f>
        <v>3400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10.261000000000001</v>
      </c>
      <c r="O5" s="213">
        <f>+DATA!A4</f>
        <v>46054</v>
      </c>
      <c r="P5" s="219">
        <f ca="1">+INDIRECT("[EMPINFO.xlsm]"&amp;$O$2&amp;"!G5")</f>
        <v>4</v>
      </c>
      <c r="Q5" s="215">
        <f ca="1">IF(AZ5="active",INDIRECT("[EMPINFO.xlsm]"&amp;$O$2&amp;"!H5"),0)</f>
        <v>40</v>
      </c>
      <c r="R5" s="239">
        <f t="shared" ref="R5:R15" ca="1" si="22">+R4</f>
        <v>10.261000000000001</v>
      </c>
      <c r="S5" s="216">
        <f t="shared" ca="1" si="1"/>
        <v>1778.5733333333324</v>
      </c>
      <c r="T5" s="220">
        <f t="shared" ca="1" si="2"/>
        <v>0</v>
      </c>
      <c r="U5" s="218">
        <f t="shared" ca="1" si="3"/>
        <v>0</v>
      </c>
      <c r="V5" s="220">
        <f ca="1">+feboth*febhrrt</f>
        <v>0</v>
      </c>
      <c r="W5" s="201"/>
      <c r="X5" s="218">
        <f t="shared" ca="1" si="4"/>
        <v>0</v>
      </c>
      <c r="Y5" s="803">
        <f t="shared" ca="1" si="5"/>
        <v>0</v>
      </c>
      <c r="Z5" s="218">
        <f t="shared" ca="1" si="6"/>
        <v>1778.5733333333324</v>
      </c>
      <c r="AA5" s="803">
        <f t="shared" ca="1" si="7"/>
        <v>161</v>
      </c>
      <c r="AB5" s="218">
        <f ca="1">+INDIRECT("[EMPINFO.xlsm]"&amp;$O$2&amp;"!s5")</f>
        <v>0</v>
      </c>
      <c r="AC5" s="292">
        <v>1.5</v>
      </c>
      <c r="AD5" s="218">
        <f t="shared" ca="1" si="8"/>
        <v>0</v>
      </c>
      <c r="AE5" s="220">
        <f t="shared" ca="1" si="9"/>
        <v>0</v>
      </c>
      <c r="AF5" s="218">
        <f t="shared" ca="1" si="10"/>
        <v>161</v>
      </c>
      <c r="AG5" s="803">
        <f t="shared" ca="1" si="11"/>
        <v>410.44000000000005</v>
      </c>
      <c r="AH5" s="218">
        <f t="shared" ca="1" si="12"/>
        <v>164.18</v>
      </c>
      <c r="AI5" s="803">
        <f t="shared" ca="1" si="13"/>
        <v>164.18</v>
      </c>
      <c r="AJ5" s="218">
        <f t="shared" ca="1" si="14"/>
        <v>328.36</v>
      </c>
      <c r="AK5" s="803">
        <f t="shared" ca="1" si="15"/>
        <v>4.93</v>
      </c>
      <c r="AL5" s="218">
        <f t="shared" ref="AL5:AL15" ca="1" si="23">+Z5+AI5+AK5</f>
        <v>1947.6833333333325</v>
      </c>
      <c r="AM5" s="290" t="str">
        <f t="shared" ca="1" si="16"/>
        <v>C</v>
      </c>
      <c r="AN5" s="291" t="str">
        <f t="shared" ca="1" si="17"/>
        <v>FT</v>
      </c>
      <c r="AO5" s="223">
        <f ca="1">+INDIRECT("[EMPINFO.xlsm]"&amp;$O$2&amp;"!t5")</f>
        <v>28</v>
      </c>
      <c r="AP5" s="226">
        <f ca="1">+INDIRECT("[EMPINFO.xlsm]"&amp;$O$2&amp;"!o5")</f>
        <v>4.4700000000000273</v>
      </c>
      <c r="AQ5" s="840">
        <f ca="1">+INDIRECT("[EMPINFO.xlsm]"&amp;$O$2&amp;"!p5")</f>
        <v>4.4700000000000433</v>
      </c>
      <c r="AR5" s="226">
        <f ca="1">+INDIRECT("[EMPINFO.xlsm]"&amp;$O$2&amp;"!j5")</f>
        <v>0</v>
      </c>
      <c r="AS5" s="840">
        <f ca="1">+INDIRECT("[EMPINFO.xlsm]"&amp;$O$2&amp;"!k5")</f>
        <v>217.41999999999996</v>
      </c>
      <c r="AT5" s="226">
        <f ca="1">+INDIRECT("[EMPINFO.xlsm]"&amp;$O$2&amp;"!m5")</f>
        <v>8</v>
      </c>
      <c r="AU5" s="844">
        <f ca="1">+INDIRECT("[EMPINFO.xlsm]"&amp;$O$2&amp;"!n5")</f>
        <v>232</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0.25</v>
      </c>
      <c r="BC5" s="289">
        <f t="shared" ca="1" si="21"/>
        <v>3400</v>
      </c>
      <c r="BD5" s="255"/>
      <c r="BE5" s="205"/>
      <c r="BG5" s="27"/>
      <c r="BH5" s="28"/>
    </row>
    <row r="6" spans="1:62" ht="15.75" customHeight="1" thickBot="1" x14ac:dyDescent="0.3">
      <c r="A6" s="54"/>
      <c r="B6" s="2" t="s">
        <v>135</v>
      </c>
      <c r="C6" s="921" t="str">
        <f>INDEX([1]!empdata,MATCH(ID,[1]!empid,0),3)</f>
        <v>Haneena</v>
      </c>
      <c r="D6" s="922"/>
      <c r="E6" s="922"/>
      <c r="F6" s="886"/>
      <c r="I6" s="312" t="s">
        <v>136</v>
      </c>
      <c r="L6" s="101"/>
      <c r="M6" s="303"/>
      <c r="N6" s="211">
        <f t="shared" ca="1" si="0"/>
        <v>10.261000000000001</v>
      </c>
      <c r="O6" s="213">
        <f>+DATA!A5</f>
        <v>46082</v>
      </c>
      <c r="P6" s="219">
        <f ca="1">+INDIRECT("[EMPINFO.xlsm]"&amp;$O$2&amp;"!G6")</f>
        <v>5</v>
      </c>
      <c r="Q6" s="215">
        <f ca="1">IF(AZ6="active",INDIRECT("[EMPINFO.xlsm]"&amp;$O$2&amp;"!H6"),0)</f>
        <v>40</v>
      </c>
      <c r="R6" s="239">
        <f t="shared" ca="1" si="22"/>
        <v>10.261000000000001</v>
      </c>
      <c r="S6" s="216">
        <f t="shared" ca="1" si="1"/>
        <v>1778.5733333333324</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1899.7333333333324</v>
      </c>
      <c r="AA6" s="803">
        <f t="shared" ca="1" si="7"/>
        <v>191</v>
      </c>
      <c r="AB6" s="218">
        <f ca="1">+INDIRECT("[EMPINFO.xlsm]"&amp;$O$2&amp;"!s6")</f>
        <v>0</v>
      </c>
      <c r="AC6" s="292">
        <v>1.5</v>
      </c>
      <c r="AD6" s="218">
        <f t="shared" ca="1" si="8"/>
        <v>0</v>
      </c>
      <c r="AE6" s="220">
        <f t="shared" ca="1" si="9"/>
        <v>0</v>
      </c>
      <c r="AF6" s="218">
        <f t="shared" ca="1" si="10"/>
        <v>191</v>
      </c>
      <c r="AG6" s="803">
        <f t="shared" ca="1" si="11"/>
        <v>410.44000000000005</v>
      </c>
      <c r="AH6" s="218">
        <f t="shared" ca="1" si="12"/>
        <v>205.22</v>
      </c>
      <c r="AI6" s="803">
        <f t="shared" ca="1" si="13"/>
        <v>205.22</v>
      </c>
      <c r="AJ6" s="218">
        <f t="shared" ca="1" si="14"/>
        <v>410.44</v>
      </c>
      <c r="AK6" s="803">
        <f t="shared" ca="1" si="15"/>
        <v>6.16</v>
      </c>
      <c r="AL6" s="218">
        <f t="shared" ca="1" si="23"/>
        <v>2111.1133333333323</v>
      </c>
      <c r="AM6" s="290" t="str">
        <f t="shared" ca="1" si="16"/>
        <v>C</v>
      </c>
      <c r="AN6" s="291" t="str">
        <f t="shared" ca="1" si="17"/>
        <v>FT</v>
      </c>
      <c r="AO6" s="223">
        <f ca="1">+INDIRECT("[EMPINFO.xlsm]"&amp;$O$2&amp;"!t6")</f>
        <v>31</v>
      </c>
      <c r="AP6" s="226">
        <f ca="1">+INDIRECT("[EMPINFO.xlsm]"&amp;$O$2&amp;"!o6")</f>
        <v>-160</v>
      </c>
      <c r="AQ6" s="840">
        <f ca="1">+INDIRECT("[EMPINFO.xlsm]"&amp;$O$2&amp;"!p6")</f>
        <v>-155.52999999999994</v>
      </c>
      <c r="AR6" s="226">
        <f ca="1">+INDIRECT("[EMPINFO.xlsm]"&amp;$O$2&amp;"!j6")</f>
        <v>0</v>
      </c>
      <c r="AS6" s="840">
        <f ca="1">+INDIRECT("[EMPINFO.xlsm]"&amp;$O$2&amp;"!k6")</f>
        <v>217.41999999999996</v>
      </c>
      <c r="AT6" s="226">
        <f ca="1">+INDIRECT("[EMPINFO.xlsm]"&amp;$O$2&amp;"!m6")</f>
        <v>0</v>
      </c>
      <c r="AU6" s="844">
        <f ca="1">+INDIRECT("[EMPINFO.xlsm]"&amp;$O$2&amp;"!n6")</f>
        <v>232</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0.25</v>
      </c>
      <c r="BC6" s="289">
        <f t="shared" ca="1" si="21"/>
        <v>3400</v>
      </c>
      <c r="BD6" s="255"/>
      <c r="BE6" s="206"/>
    </row>
    <row r="7" spans="1:62" ht="15.75" customHeight="1" thickBot="1" x14ac:dyDescent="0.3">
      <c r="A7" s="54"/>
      <c r="B7" s="3" t="s">
        <v>137</v>
      </c>
      <c r="C7" s="921" t="str">
        <f>INDEX([1]!empdata,MATCH(ID,[1]!empid,0),4)</f>
        <v>Aishathul</v>
      </c>
      <c r="D7" s="922"/>
      <c r="E7" s="922"/>
      <c r="F7" s="886"/>
      <c r="H7" s="312" t="s">
        <v>138</v>
      </c>
      <c r="I7" s="927" t="str">
        <f>INDEX([1]!empdata,MATCH(ID,[1]!empid,0),6)</f>
        <v>395389A</v>
      </c>
      <c r="J7" s="859"/>
      <c r="K7" s="857"/>
      <c r="L7" s="101"/>
      <c r="M7" s="303"/>
      <c r="N7" s="211">
        <f t="shared" ca="1" si="0"/>
        <v>10.261000000000001</v>
      </c>
      <c r="O7" s="213">
        <f>+DATA!A6</f>
        <v>46113</v>
      </c>
      <c r="P7" s="219">
        <f ca="1">+INDIRECT("[EMPINFO.xlsm]"&amp;$O$2&amp;"!G7")</f>
        <v>4</v>
      </c>
      <c r="Q7" s="215">
        <f ca="1">IF(AZ7="active",INDIRECT("[EMPINFO.xlsm]"&amp;$O$2&amp;"!H7"),0)</f>
        <v>40</v>
      </c>
      <c r="R7" s="239">
        <f t="shared" ca="1" si="22"/>
        <v>10.261000000000001</v>
      </c>
      <c r="S7" s="216">
        <f t="shared" ca="1" si="1"/>
        <v>1778.5733333333324</v>
      </c>
      <c r="T7" s="220">
        <f t="shared" ca="1" si="2"/>
        <v>0</v>
      </c>
      <c r="U7" s="218">
        <f t="shared" ca="1" si="3"/>
        <v>0</v>
      </c>
      <c r="V7" s="220">
        <f ca="1">+aproth*aprhrrt</f>
        <v>0</v>
      </c>
      <c r="W7" s="201"/>
      <c r="X7" s="218">
        <f t="shared" ca="1" si="4"/>
        <v>0</v>
      </c>
      <c r="Y7" s="803">
        <f t="shared" ca="1" si="5"/>
        <v>0</v>
      </c>
      <c r="Z7" s="218">
        <f t="shared" ca="1" si="6"/>
        <v>1778.5733333333324</v>
      </c>
      <c r="AA7" s="803">
        <f t="shared" ca="1" si="7"/>
        <v>161</v>
      </c>
      <c r="AB7" s="218">
        <f ca="1">+INDIRECT("[EMPINFO.xlsm]"&amp;$O$2&amp;"!s7")</f>
        <v>0</v>
      </c>
      <c r="AC7" s="292">
        <v>1.5</v>
      </c>
      <c r="AD7" s="218">
        <f t="shared" ca="1" si="8"/>
        <v>0</v>
      </c>
      <c r="AE7" s="220">
        <f t="shared" ca="1" si="9"/>
        <v>0</v>
      </c>
      <c r="AF7" s="218">
        <f t="shared" ca="1" si="10"/>
        <v>161</v>
      </c>
      <c r="AG7" s="803">
        <f t="shared" ca="1" si="11"/>
        <v>410.44000000000005</v>
      </c>
      <c r="AH7" s="218">
        <f t="shared" ca="1" si="12"/>
        <v>164.18</v>
      </c>
      <c r="AI7" s="803">
        <f t="shared" ca="1" si="13"/>
        <v>164.18</v>
      </c>
      <c r="AJ7" s="218">
        <f t="shared" ca="1" si="14"/>
        <v>328.36</v>
      </c>
      <c r="AK7" s="803">
        <f t="shared" ca="1" si="15"/>
        <v>4.93</v>
      </c>
      <c r="AL7" s="218">
        <f t="shared" ca="1" si="23"/>
        <v>1947.6833333333325</v>
      </c>
      <c r="AM7" s="290" t="str">
        <f t="shared" ca="1" si="16"/>
        <v>C</v>
      </c>
      <c r="AN7" s="291" t="str">
        <f t="shared" ca="1" si="17"/>
        <v>FT</v>
      </c>
      <c r="AO7" s="223">
        <f ca="1">+INDIRECT("[EMPINFO.xlsm]"&amp;$O$2&amp;"!t7")</f>
        <v>30</v>
      </c>
      <c r="AP7" s="226">
        <f ca="1">+INDIRECT("[EMPINFO.xlsm]"&amp;$O$2&amp;"!o7")</f>
        <v>-160</v>
      </c>
      <c r="AQ7" s="840">
        <f ca="1">+INDIRECT("[EMPINFO.xlsm]"&amp;$O$2&amp;"!p7")</f>
        <v>-315.52999999999997</v>
      </c>
      <c r="AR7" s="226">
        <f ca="1">+INDIRECT("[EMPINFO.xlsm]"&amp;$O$2&amp;"!j7")</f>
        <v>0</v>
      </c>
      <c r="AS7" s="840">
        <f ca="1">+INDIRECT("[EMPINFO.xlsm]"&amp;$O$2&amp;"!k7")</f>
        <v>217.41999999999996</v>
      </c>
      <c r="AT7" s="226">
        <f ca="1">+INDIRECT("[EMPINFO.xlsm]"&amp;$O$2&amp;"!m7")</f>
        <v>0</v>
      </c>
      <c r="AU7" s="844">
        <f ca="1">+INDIRECT("[EMPINFO.xlsm]"&amp;$O$2&amp;"!n7")</f>
        <v>232</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0.25</v>
      </c>
      <c r="BC7" s="289">
        <f t="shared" ca="1" si="21"/>
        <v>3400</v>
      </c>
      <c r="BD7" s="255"/>
      <c r="BE7" s="206"/>
    </row>
    <row r="8" spans="1:62" ht="15.75" customHeight="1" thickBot="1" x14ac:dyDescent="0.3">
      <c r="A8" s="54"/>
      <c r="B8" s="3" t="s">
        <v>139</v>
      </c>
      <c r="C8" s="921" t="str">
        <f>INDEX([1]!empdata,MATCH(ID,[1]!empid,0),18)</f>
        <v>Alagona Court, Flat 3,</v>
      </c>
      <c r="D8" s="922"/>
      <c r="E8" s="922"/>
      <c r="F8" s="886"/>
      <c r="I8" s="312" t="s">
        <v>140</v>
      </c>
      <c r="L8" s="101"/>
      <c r="M8" s="303"/>
      <c r="N8" s="211">
        <f t="shared" ca="1" si="0"/>
        <v>10.261000000000001</v>
      </c>
      <c r="O8" s="213">
        <f>+DATA!A7</f>
        <v>46143</v>
      </c>
      <c r="P8" s="219">
        <f ca="1">+INDIRECT("[EMPINFO.xlsm]"&amp;$O$2&amp;"!G8")</f>
        <v>4</v>
      </c>
      <c r="Q8" s="215">
        <f ca="1">IF(AZ8="active",INDIRECT("[EMPINFO.xlsm]"&amp;$O$2&amp;"!H8"),0)</f>
        <v>40</v>
      </c>
      <c r="R8" s="239">
        <f t="shared" ca="1" si="22"/>
        <v>10.261000000000001</v>
      </c>
      <c r="S8" s="216">
        <f t="shared" ca="1" si="1"/>
        <v>1778.5733333333324</v>
      </c>
      <c r="T8" s="220">
        <f t="shared" ca="1" si="2"/>
        <v>0</v>
      </c>
      <c r="U8" s="218">
        <f t="shared" ca="1" si="3"/>
        <v>0</v>
      </c>
      <c r="V8" s="220">
        <f ca="1">+mayoth*mayhrrt</f>
        <v>0</v>
      </c>
      <c r="W8" s="201"/>
      <c r="X8" s="218">
        <f t="shared" ca="1" si="4"/>
        <v>0</v>
      </c>
      <c r="Y8" s="803">
        <f t="shared" ca="1" si="5"/>
        <v>0</v>
      </c>
      <c r="Z8" s="218">
        <f t="shared" ca="1" si="6"/>
        <v>1778.5733333333324</v>
      </c>
      <c r="AA8" s="803">
        <f t="shared" ca="1" si="7"/>
        <v>161</v>
      </c>
      <c r="AB8" s="218">
        <f ca="1">+INDIRECT("[EMPINFO.xlsm]"&amp;$O$2&amp;"!s8")</f>
        <v>0</v>
      </c>
      <c r="AC8" s="292">
        <v>1.5</v>
      </c>
      <c r="AD8" s="218">
        <f t="shared" ca="1" si="8"/>
        <v>0</v>
      </c>
      <c r="AE8" s="220">
        <f t="shared" ca="1" si="9"/>
        <v>0</v>
      </c>
      <c r="AF8" s="218">
        <f t="shared" ca="1" si="10"/>
        <v>161</v>
      </c>
      <c r="AG8" s="803">
        <f t="shared" ca="1" si="11"/>
        <v>410.44000000000005</v>
      </c>
      <c r="AH8" s="218">
        <f t="shared" ca="1" si="12"/>
        <v>164.18</v>
      </c>
      <c r="AI8" s="803">
        <f t="shared" ca="1" si="13"/>
        <v>164.18</v>
      </c>
      <c r="AJ8" s="218">
        <f t="shared" ca="1" si="14"/>
        <v>328.36</v>
      </c>
      <c r="AK8" s="803">
        <f t="shared" ca="1" si="15"/>
        <v>4.93</v>
      </c>
      <c r="AL8" s="218">
        <f t="shared" ca="1" si="23"/>
        <v>1947.6833333333325</v>
      </c>
      <c r="AM8" s="290" t="str">
        <f t="shared" ca="1" si="16"/>
        <v>C</v>
      </c>
      <c r="AN8" s="291" t="str">
        <f t="shared" ca="1" si="17"/>
        <v>FT</v>
      </c>
      <c r="AO8" s="223">
        <f ca="1">+INDIRECT("[EMPINFO.xlsm]"&amp;$O$2&amp;"!t8")</f>
        <v>31</v>
      </c>
      <c r="AP8" s="226">
        <f ca="1">+INDIRECT("[EMPINFO.xlsm]"&amp;$O$2&amp;"!o8")</f>
        <v>-200</v>
      </c>
      <c r="AQ8" s="840">
        <f ca="1">+INDIRECT("[EMPINFO.xlsm]"&amp;$O$2&amp;"!p8")</f>
        <v>-515.53</v>
      </c>
      <c r="AR8" s="226">
        <f ca="1">+INDIRECT("[EMPINFO.xlsm]"&amp;$O$2&amp;"!j8")</f>
        <v>0</v>
      </c>
      <c r="AS8" s="840">
        <f ca="1">+INDIRECT("[EMPINFO.xlsm]"&amp;$O$2&amp;"!k8")</f>
        <v>217.41999999999996</v>
      </c>
      <c r="AT8" s="226">
        <f ca="1">+INDIRECT("[EMPINFO.xlsm]"&amp;$O$2&amp;"!m8")</f>
        <v>0</v>
      </c>
      <c r="AU8" s="844">
        <f ca="1">+INDIRECT("[EMPINFO.xlsm]"&amp;$O$2&amp;"!n8")</f>
        <v>232</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0.25</v>
      </c>
      <c r="BC8" s="289">
        <f t="shared" ca="1" si="21"/>
        <v>3400</v>
      </c>
      <c r="BD8" s="255"/>
      <c r="BE8" s="206"/>
    </row>
    <row r="9" spans="1:62" ht="15.75" customHeight="1" thickBot="1" x14ac:dyDescent="0.3">
      <c r="A9" s="54"/>
      <c r="B9" s="4" t="s">
        <v>141</v>
      </c>
      <c r="C9" s="921" t="str">
        <f>INDEX([1]!empdata,MATCH(ID,[1]!empid,0),19)</f>
        <v>Triq Borg</v>
      </c>
      <c r="D9" s="922"/>
      <c r="E9" s="922"/>
      <c r="F9" s="886"/>
      <c r="H9" s="312" t="s">
        <v>20</v>
      </c>
      <c r="I9" s="927" t="str">
        <f>INDEX([1]!empdata,MATCH(ID,[1]!empid,0),14)</f>
        <v>A75221384</v>
      </c>
      <c r="J9" s="859"/>
      <c r="K9" s="857"/>
      <c r="L9" s="101"/>
      <c r="M9" s="303"/>
      <c r="N9" s="211">
        <f t="shared" ca="1" si="0"/>
        <v>10.261000000000001</v>
      </c>
      <c r="O9" s="213">
        <f>+DATA!A8</f>
        <v>46174</v>
      </c>
      <c r="P9" s="219">
        <f ca="1">+INDIRECT("[EMPINFO.xlsm]"&amp;$O$2&amp;"!G9")</f>
        <v>5</v>
      </c>
      <c r="Q9" s="215">
        <f ca="1">IF(AZ9="active",INDIRECT("[EMPINFO.xlsm]"&amp;$O$2&amp;"!H9"),0)</f>
        <v>40</v>
      </c>
      <c r="R9" s="239">
        <f t="shared" ca="1" si="22"/>
        <v>10.261000000000001</v>
      </c>
      <c r="S9" s="216">
        <f t="shared" ca="1" si="1"/>
        <v>1778.5733333333324</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1913.6733333333323</v>
      </c>
      <c r="AA9" s="803">
        <f t="shared" ca="1" si="7"/>
        <v>195</v>
      </c>
      <c r="AB9" s="218">
        <f ca="1">+INDIRECT("[EMPINFO.xlsm]"&amp;$O$2&amp;"!s9")</f>
        <v>0</v>
      </c>
      <c r="AC9" s="292">
        <v>1.5</v>
      </c>
      <c r="AD9" s="218">
        <f t="shared" ca="1" si="8"/>
        <v>0</v>
      </c>
      <c r="AE9" s="220">
        <f t="shared" ca="1" si="9"/>
        <v>0</v>
      </c>
      <c r="AF9" s="218">
        <f t="shared" ca="1" si="10"/>
        <v>195</v>
      </c>
      <c r="AG9" s="803">
        <f t="shared" ca="1" si="11"/>
        <v>410.44000000000005</v>
      </c>
      <c r="AH9" s="218">
        <f t="shared" ca="1" si="12"/>
        <v>205.22</v>
      </c>
      <c r="AI9" s="803">
        <f t="shared" ca="1" si="13"/>
        <v>205.22</v>
      </c>
      <c r="AJ9" s="218">
        <f t="shared" ca="1" si="14"/>
        <v>410.44</v>
      </c>
      <c r="AK9" s="803">
        <f t="shared" ca="1" si="15"/>
        <v>6.16</v>
      </c>
      <c r="AL9" s="218">
        <f t="shared" ca="1" si="23"/>
        <v>2125.0533333333319</v>
      </c>
      <c r="AM9" s="290" t="str">
        <f t="shared" ca="1" si="16"/>
        <v>C</v>
      </c>
      <c r="AN9" s="291" t="str">
        <f t="shared" ca="1" si="17"/>
        <v>FT</v>
      </c>
      <c r="AO9" s="223">
        <f ca="1">+INDIRECT("[EMPINFO.xlsm]"&amp;$O$2&amp;"!t9")</f>
        <v>30</v>
      </c>
      <c r="AP9" s="226">
        <f ca="1">+INDIRECT("[EMPINFO.xlsm]"&amp;$O$2&amp;"!o9")</f>
        <v>-160</v>
      </c>
      <c r="AQ9" s="840">
        <f ca="1">+INDIRECT("[EMPINFO.xlsm]"&amp;$O$2&amp;"!p9")</f>
        <v>-675.53</v>
      </c>
      <c r="AR9" s="226">
        <f ca="1">+INDIRECT("[EMPINFO.xlsm]"&amp;$O$2&amp;"!j9")</f>
        <v>0</v>
      </c>
      <c r="AS9" s="840">
        <f ca="1">+INDIRECT("[EMPINFO.xlsm]"&amp;$O$2&amp;"!k9")</f>
        <v>217.41999999999996</v>
      </c>
      <c r="AT9" s="226">
        <f ca="1">+INDIRECT("[EMPINFO.xlsm]"&amp;$O$2&amp;"!m9")</f>
        <v>0</v>
      </c>
      <c r="AU9" s="844">
        <f ca="1">+INDIRECT("[EMPINFO.xlsm]"&amp;$O$2&amp;"!n9")</f>
        <v>232</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0.25</v>
      </c>
      <c r="BC9" s="289">
        <f t="shared" ca="1" si="21"/>
        <v>3400</v>
      </c>
      <c r="BD9" s="255"/>
      <c r="BE9" s="206"/>
    </row>
    <row r="10" spans="1:62" ht="15.75" customHeight="1" thickBot="1" x14ac:dyDescent="0.3">
      <c r="A10" s="54"/>
      <c r="B10" s="5" t="s">
        <v>142</v>
      </c>
      <c r="C10" s="921" t="str">
        <f>INDEX([1]!empdata,MATCH(ID,[1]!empid,0),20)</f>
        <v>Fleur-De-Lys Birkirkara</v>
      </c>
      <c r="D10" s="922"/>
      <c r="E10" s="922"/>
      <c r="F10" s="886"/>
      <c r="I10" s="312" t="s">
        <v>143</v>
      </c>
      <c r="L10" s="101"/>
      <c r="M10" s="303"/>
      <c r="N10" s="211">
        <f t="shared" ca="1" si="0"/>
        <v>10.261000000000001</v>
      </c>
      <c r="O10" s="213">
        <f>+DATA!A9</f>
        <v>46204</v>
      </c>
      <c r="P10" s="219">
        <f ca="1">+INDIRECT("[EMPINFO.xlsm]"&amp;$O$2&amp;"!G10")</f>
        <v>4</v>
      </c>
      <c r="Q10" s="215">
        <f ca="1">IF(AZ10="active",INDIRECT("[EMPINFO.xlsm]"&amp;$O$2&amp;"!H10"),0)</f>
        <v>40</v>
      </c>
      <c r="R10" s="239">
        <f t="shared" ca="1" si="22"/>
        <v>10.261000000000001</v>
      </c>
      <c r="S10" s="216">
        <f t="shared" ca="1" si="1"/>
        <v>1778.5733333333324</v>
      </c>
      <c r="T10" s="220">
        <f t="shared" ca="1" si="2"/>
        <v>0</v>
      </c>
      <c r="U10" s="218">
        <f t="shared" ca="1" si="3"/>
        <v>0</v>
      </c>
      <c r="V10" s="220">
        <f ca="1">+juloth*julhrrt</f>
        <v>0</v>
      </c>
      <c r="W10" s="201"/>
      <c r="X10" s="218">
        <f t="shared" ca="1" si="4"/>
        <v>0</v>
      </c>
      <c r="Y10" s="803">
        <f t="shared" ca="1" si="5"/>
        <v>0</v>
      </c>
      <c r="Z10" s="218">
        <f t="shared" ca="1" si="6"/>
        <v>1778.5733333333324</v>
      </c>
      <c r="AA10" s="803">
        <f t="shared" ca="1" si="7"/>
        <v>161</v>
      </c>
      <c r="AB10" s="218">
        <f ca="1">+INDIRECT("[EMPINFO.xlsm]"&amp;$O$2&amp;"!s10")</f>
        <v>0</v>
      </c>
      <c r="AC10" s="292">
        <v>1.5</v>
      </c>
      <c r="AD10" s="218">
        <f t="shared" ca="1" si="8"/>
        <v>0</v>
      </c>
      <c r="AE10" s="220">
        <f t="shared" ca="1" si="9"/>
        <v>0</v>
      </c>
      <c r="AF10" s="218">
        <f t="shared" ca="1" si="10"/>
        <v>161</v>
      </c>
      <c r="AG10" s="803">
        <f t="shared" ca="1" si="11"/>
        <v>410.44000000000005</v>
      </c>
      <c r="AH10" s="218">
        <f t="shared" ca="1" si="12"/>
        <v>164.18</v>
      </c>
      <c r="AI10" s="803">
        <f t="shared" ca="1" si="13"/>
        <v>164.18</v>
      </c>
      <c r="AJ10" s="218">
        <f t="shared" ca="1" si="14"/>
        <v>328.36</v>
      </c>
      <c r="AK10" s="803">
        <f t="shared" ca="1" si="15"/>
        <v>4.93</v>
      </c>
      <c r="AL10" s="218">
        <f t="shared" ca="1" si="23"/>
        <v>1947.6833333333325</v>
      </c>
      <c r="AM10" s="290" t="str">
        <f t="shared" ca="1" si="16"/>
        <v>C</v>
      </c>
      <c r="AN10" s="291" t="str">
        <f t="shared" ca="1" si="17"/>
        <v>FT</v>
      </c>
      <c r="AO10" s="223">
        <f ca="1">+INDIRECT("[EMPINFO.xlsm]"&amp;$O$2&amp;"!t10")</f>
        <v>31</v>
      </c>
      <c r="AP10" s="226">
        <f ca="1">+INDIRECT("[EMPINFO.xlsm]"&amp;$O$2&amp;"!o10")</f>
        <v>-160</v>
      </c>
      <c r="AQ10" s="840">
        <f ca="1">+INDIRECT("[EMPINFO.xlsm]"&amp;$O$2&amp;"!p10")</f>
        <v>-835.53</v>
      </c>
      <c r="AR10" s="226">
        <f ca="1">+INDIRECT("[EMPINFO.xlsm]"&amp;$O$2&amp;"!j10")</f>
        <v>0</v>
      </c>
      <c r="AS10" s="840">
        <f ca="1">+INDIRECT("[EMPINFO.xlsm]"&amp;$O$2&amp;"!k10")</f>
        <v>217.41999999999996</v>
      </c>
      <c r="AT10" s="226">
        <f ca="1">+INDIRECT("[EMPINFO.xlsm]"&amp;$O$2&amp;"!m10")</f>
        <v>0</v>
      </c>
      <c r="AU10" s="844">
        <f ca="1">+INDIRECT("[EMPINFO.xlsm]"&amp;$O$2&amp;"!n10")</f>
        <v>232</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0.25</v>
      </c>
      <c r="BC10" s="289">
        <f t="shared" ca="1" si="21"/>
        <v>3400</v>
      </c>
      <c r="BD10" s="255"/>
      <c r="BE10" s="206"/>
      <c r="BF10" s="32"/>
      <c r="BH10" s="32"/>
      <c r="BI10" s="30"/>
      <c r="BJ10" s="31"/>
    </row>
    <row r="11" spans="1:62" ht="15.75" customHeight="1" thickBot="1" x14ac:dyDescent="0.3">
      <c r="A11" s="54"/>
      <c r="B11" s="6" t="s">
        <v>144</v>
      </c>
      <c r="C11" s="921" t="str">
        <f>INDEX([1]!empdata,MATCH(ID,[1]!empid,0),21)</f>
        <v>BKR4961</v>
      </c>
      <c r="D11" s="922"/>
      <c r="E11" s="922"/>
      <c r="F11" s="886"/>
      <c r="H11" s="312" t="s">
        <v>31</v>
      </c>
      <c r="I11" s="927" t="str">
        <f>INDEX([1]!empdata,MATCH(ID,[1]!empid,0),7)</f>
        <v>218673A</v>
      </c>
      <c r="J11" s="859"/>
      <c r="K11" s="857"/>
      <c r="L11" s="101"/>
      <c r="M11" s="303"/>
      <c r="N11" s="211">
        <f t="shared" ca="1" si="0"/>
        <v>10.261000000000001</v>
      </c>
      <c r="O11" s="213">
        <f>+DATA!A10</f>
        <v>46235</v>
      </c>
      <c r="P11" s="219">
        <f ca="1">+INDIRECT("[EMPINFO.xlsm]"&amp;$O$2&amp;"!G11")</f>
        <v>5</v>
      </c>
      <c r="Q11" s="215">
        <f ca="1">IF(AZ11="active",INDIRECT("[EMPINFO.xlsm]"&amp;$O$2&amp;"!H11"),0)</f>
        <v>40</v>
      </c>
      <c r="R11" s="239">
        <f t="shared" ca="1" si="22"/>
        <v>10.261000000000001</v>
      </c>
      <c r="S11" s="216">
        <f t="shared" ca="1" si="1"/>
        <v>1778.5733333333324</v>
      </c>
      <c r="T11" s="220">
        <f t="shared" ca="1" si="2"/>
        <v>0</v>
      </c>
      <c r="U11" s="218">
        <f t="shared" ca="1" si="3"/>
        <v>0</v>
      </c>
      <c r="V11" s="220">
        <f ca="1">+augoth*aughrrt</f>
        <v>0</v>
      </c>
      <c r="W11" s="201"/>
      <c r="X11" s="218">
        <f t="shared" ca="1" si="4"/>
        <v>0</v>
      </c>
      <c r="Y11" s="803">
        <f t="shared" ca="1" si="5"/>
        <v>0</v>
      </c>
      <c r="Z11" s="218">
        <f t="shared" ca="1" si="6"/>
        <v>1778.5733333333324</v>
      </c>
      <c r="AA11" s="803">
        <f t="shared" ca="1" si="7"/>
        <v>161</v>
      </c>
      <c r="AB11" s="218">
        <f ca="1">+INDIRECT("[EMPINFO.xlsm]"&amp;$O$2&amp;"!s11")</f>
        <v>0</v>
      </c>
      <c r="AC11" s="292">
        <v>1.5</v>
      </c>
      <c r="AD11" s="218">
        <f t="shared" ca="1" si="8"/>
        <v>0</v>
      </c>
      <c r="AE11" s="220">
        <f t="shared" ca="1" si="9"/>
        <v>0</v>
      </c>
      <c r="AF11" s="218">
        <f t="shared" ca="1" si="10"/>
        <v>161</v>
      </c>
      <c r="AG11" s="803">
        <f t="shared" ca="1" si="11"/>
        <v>410.44000000000005</v>
      </c>
      <c r="AH11" s="218">
        <f t="shared" ca="1" si="12"/>
        <v>205.22</v>
      </c>
      <c r="AI11" s="803">
        <f t="shared" ca="1" si="13"/>
        <v>205.22</v>
      </c>
      <c r="AJ11" s="218">
        <f t="shared" ca="1" si="14"/>
        <v>410.44</v>
      </c>
      <c r="AK11" s="803">
        <f t="shared" ca="1" si="15"/>
        <v>6.16</v>
      </c>
      <c r="AL11" s="218">
        <f t="shared" ca="1" si="23"/>
        <v>1989.9533333333325</v>
      </c>
      <c r="AM11" s="290" t="str">
        <f t="shared" ca="1" si="16"/>
        <v>C</v>
      </c>
      <c r="AN11" s="291" t="str">
        <f t="shared" ca="1" si="17"/>
        <v>FT</v>
      </c>
      <c r="AO11" s="223">
        <f ca="1">+INDIRECT("[EMPINFO.xlsm]"&amp;$O$2&amp;"!t11")</f>
        <v>31</v>
      </c>
      <c r="AP11" s="226">
        <f ca="1">+INDIRECT("[EMPINFO.xlsm]"&amp;$O$2&amp;"!o11")</f>
        <v>-200</v>
      </c>
      <c r="AQ11" s="840">
        <f ca="1">+INDIRECT("[EMPINFO.xlsm]"&amp;$O$2&amp;"!p11")</f>
        <v>-1035.53</v>
      </c>
      <c r="AR11" s="226">
        <f ca="1">+INDIRECT("[EMPINFO.xlsm]"&amp;$O$2&amp;"!j11")</f>
        <v>0</v>
      </c>
      <c r="AS11" s="840">
        <f ca="1">+INDIRECT("[EMPINFO.xlsm]"&amp;$O$2&amp;"!k11")</f>
        <v>217.41999999999996</v>
      </c>
      <c r="AT11" s="226">
        <f ca="1">+INDIRECT("[EMPINFO.xlsm]"&amp;$O$2&amp;"!m11")</f>
        <v>0</v>
      </c>
      <c r="AU11" s="844">
        <f ca="1">+INDIRECT("[EMPINFO.xlsm]"&amp;$O$2&amp;"!n11")</f>
        <v>232</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0.25</v>
      </c>
      <c r="BC11" s="289">
        <f t="shared" ca="1" si="21"/>
        <v>3400</v>
      </c>
      <c r="BD11" s="255"/>
      <c r="BE11" s="206"/>
      <c r="BF11" s="27"/>
      <c r="BH11" s="27"/>
    </row>
    <row r="12" spans="1:62" ht="17.45" customHeight="1" thickBot="1" x14ac:dyDescent="0.3">
      <c r="A12" s="313"/>
      <c r="B12" s="91" t="s">
        <v>14</v>
      </c>
      <c r="C12" s="945">
        <f>INDEX([1]!empdata,MATCH(ID,[1]!empid,0),10)</f>
        <v>79522404</v>
      </c>
      <c r="D12" s="946"/>
      <c r="E12" s="946"/>
      <c r="F12" s="947"/>
      <c r="G12" s="85"/>
      <c r="H12" s="85"/>
      <c r="I12" s="85"/>
      <c r="J12" s="85"/>
      <c r="K12" s="85"/>
      <c r="L12" s="314"/>
      <c r="M12" s="303"/>
      <c r="N12" s="211">
        <f t="shared" ca="1" si="0"/>
        <v>10.261000000000001</v>
      </c>
      <c r="O12" s="213">
        <f>+DATA!A11</f>
        <v>46266</v>
      </c>
      <c r="P12" s="219">
        <f ca="1">+INDIRECT("[EMPINFO.xlsm]"&amp;$O$2&amp;"!G12")</f>
        <v>4</v>
      </c>
      <c r="Q12" s="215">
        <f ca="1">IF(AZ12="active",INDIRECT("[EMPINFO.xlsm]"&amp;$O$2&amp;"!H12"),0)</f>
        <v>40</v>
      </c>
      <c r="R12" s="239">
        <f t="shared" ca="1" si="22"/>
        <v>10.261000000000001</v>
      </c>
      <c r="S12" s="216">
        <f t="shared" ca="1" si="1"/>
        <v>1778.5733333333324</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1899.7333333333324</v>
      </c>
      <c r="AA12" s="803">
        <f t="shared" ca="1" si="7"/>
        <v>191</v>
      </c>
      <c r="AB12" s="218">
        <f ca="1">+INDIRECT("[EMPINFO.xlsm]"&amp;$O$2&amp;"!s12")</f>
        <v>0</v>
      </c>
      <c r="AC12" s="292">
        <v>1.5</v>
      </c>
      <c r="AD12" s="218">
        <f t="shared" ca="1" si="8"/>
        <v>0</v>
      </c>
      <c r="AE12" s="220">
        <f t="shared" ca="1" si="9"/>
        <v>0</v>
      </c>
      <c r="AF12" s="218">
        <f t="shared" ca="1" si="10"/>
        <v>191</v>
      </c>
      <c r="AG12" s="803">
        <f t="shared" ca="1" si="11"/>
        <v>410.44000000000005</v>
      </c>
      <c r="AH12" s="218">
        <f t="shared" ca="1" si="12"/>
        <v>164.18</v>
      </c>
      <c r="AI12" s="803">
        <f t="shared" ca="1" si="13"/>
        <v>164.18</v>
      </c>
      <c r="AJ12" s="218">
        <f t="shared" ca="1" si="14"/>
        <v>328.36</v>
      </c>
      <c r="AK12" s="803">
        <f t="shared" ca="1" si="15"/>
        <v>4.93</v>
      </c>
      <c r="AL12" s="218">
        <f t="shared" ca="1" si="23"/>
        <v>2068.8433333333323</v>
      </c>
      <c r="AM12" s="290" t="str">
        <f t="shared" ca="1" si="16"/>
        <v>C</v>
      </c>
      <c r="AN12" s="291" t="str">
        <f t="shared" ca="1" si="17"/>
        <v>FT</v>
      </c>
      <c r="AO12" s="223">
        <f ca="1">+INDIRECT("[EMPINFO.xlsm]"&amp;$O$2&amp;"!t12")</f>
        <v>30</v>
      </c>
      <c r="AP12" s="226">
        <f ca="1">+INDIRECT("[EMPINFO.xlsm]"&amp;$O$2&amp;"!o12")</f>
        <v>-160</v>
      </c>
      <c r="AQ12" s="840">
        <f ca="1">+INDIRECT("[EMPINFO.xlsm]"&amp;$O$2&amp;"!p12")</f>
        <v>-1195.53</v>
      </c>
      <c r="AR12" s="226">
        <f ca="1">+INDIRECT("[EMPINFO.xlsm]"&amp;$O$2&amp;"!j12")</f>
        <v>0</v>
      </c>
      <c r="AS12" s="840">
        <f ca="1">+INDIRECT("[EMPINFO.xlsm]"&amp;$O$2&amp;"!k12")</f>
        <v>217.41999999999996</v>
      </c>
      <c r="AT12" s="226">
        <f ca="1">+INDIRECT("[EMPINFO.xlsm]"&amp;$O$2&amp;"!m12")</f>
        <v>0</v>
      </c>
      <c r="AU12" s="844">
        <f ca="1">+INDIRECT("[EMPINFO.xlsm]"&amp;$O$2&amp;"!n12")</f>
        <v>232</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0.25</v>
      </c>
      <c r="BC12" s="289">
        <f t="shared" ca="1" si="21"/>
        <v>3400</v>
      </c>
      <c r="BD12" s="255"/>
      <c r="BE12" s="206"/>
    </row>
    <row r="13" spans="1:62" ht="15.75" customHeight="1" thickBot="1" x14ac:dyDescent="0.3">
      <c r="A13" s="54"/>
      <c r="L13" s="101"/>
      <c r="M13" s="303"/>
      <c r="N13" s="211">
        <f t="shared" ca="1" si="0"/>
        <v>10.261000000000001</v>
      </c>
      <c r="O13" s="213">
        <f>+DATA!A12</f>
        <v>46296</v>
      </c>
      <c r="P13" s="219">
        <f ca="1">+INDIRECT("[EMPINFO.xlsm]"&amp;$O$2&amp;"!G13")</f>
        <v>4</v>
      </c>
      <c r="Q13" s="215">
        <f ca="1">IF(AZ13="active",INDIRECT("[EMPINFO.xlsm]"&amp;$O$2&amp;"!H13"),0)</f>
        <v>40</v>
      </c>
      <c r="R13" s="239">
        <f t="shared" ca="1" si="22"/>
        <v>10.261000000000001</v>
      </c>
      <c r="S13" s="216">
        <f t="shared" ca="1" si="1"/>
        <v>1778.5733333333324</v>
      </c>
      <c r="T13" s="220">
        <f t="shared" ca="1" si="2"/>
        <v>0</v>
      </c>
      <c r="U13" s="218">
        <f t="shared" ca="1" si="3"/>
        <v>0</v>
      </c>
      <c r="V13" s="220">
        <f ca="1">+octoth*octhrrt</f>
        <v>0</v>
      </c>
      <c r="W13" s="201"/>
      <c r="X13" s="218">
        <f t="shared" ca="1" si="4"/>
        <v>0</v>
      </c>
      <c r="Y13" s="803">
        <f t="shared" ca="1" si="5"/>
        <v>0</v>
      </c>
      <c r="Z13" s="218">
        <f t="shared" ca="1" si="6"/>
        <v>1778.5733333333324</v>
      </c>
      <c r="AA13" s="803">
        <f t="shared" ca="1" si="7"/>
        <v>161</v>
      </c>
      <c r="AB13" s="218">
        <f ca="1">+INDIRECT("[EMPINFO.xlsm]"&amp;$O$2&amp;"!s13")</f>
        <v>0</v>
      </c>
      <c r="AC13" s="292">
        <v>1.5</v>
      </c>
      <c r="AD13" s="218">
        <f t="shared" ca="1" si="8"/>
        <v>0</v>
      </c>
      <c r="AE13" s="220">
        <f t="shared" ca="1" si="9"/>
        <v>0</v>
      </c>
      <c r="AF13" s="218">
        <f t="shared" ca="1" si="10"/>
        <v>161</v>
      </c>
      <c r="AG13" s="803">
        <f t="shared" ca="1" si="11"/>
        <v>410.44000000000005</v>
      </c>
      <c r="AH13" s="218">
        <f t="shared" ca="1" si="12"/>
        <v>164.18</v>
      </c>
      <c r="AI13" s="803">
        <f t="shared" ca="1" si="13"/>
        <v>164.18</v>
      </c>
      <c r="AJ13" s="218">
        <f t="shared" ca="1" si="14"/>
        <v>328.36</v>
      </c>
      <c r="AK13" s="803">
        <f t="shared" ca="1" si="15"/>
        <v>4.93</v>
      </c>
      <c r="AL13" s="218">
        <f t="shared" ca="1" si="23"/>
        <v>1947.6833333333325</v>
      </c>
      <c r="AM13" s="290" t="str">
        <f t="shared" ca="1" si="16"/>
        <v>C</v>
      </c>
      <c r="AN13" s="291" t="str">
        <f t="shared" ca="1" si="17"/>
        <v>FT</v>
      </c>
      <c r="AO13" s="223">
        <f ca="1">+INDIRECT("[EMPINFO.xlsm]"&amp;$O$2&amp;"!t13")</f>
        <v>31</v>
      </c>
      <c r="AP13" s="226">
        <f ca="1">+INDIRECT("[EMPINFO.xlsm]"&amp;$O$2&amp;"!o13")</f>
        <v>-200</v>
      </c>
      <c r="AQ13" s="840">
        <f ca="1">+INDIRECT("[EMPINFO.xlsm]"&amp;$O$2&amp;"!p13")</f>
        <v>-1395.53</v>
      </c>
      <c r="AR13" s="226">
        <f ca="1">+INDIRECT("[EMPINFO.xlsm]"&amp;$O$2&amp;"!j13")</f>
        <v>0</v>
      </c>
      <c r="AS13" s="840">
        <f ca="1">+INDIRECT("[EMPINFO.xlsm]"&amp;$O$2&amp;"!k13")</f>
        <v>217.41999999999996</v>
      </c>
      <c r="AT13" s="226">
        <f ca="1">+INDIRECT("[EMPINFO.xlsm]"&amp;$O$2&amp;"!m13")</f>
        <v>0</v>
      </c>
      <c r="AU13" s="844">
        <f ca="1">+INDIRECT("[EMPINFO.xlsm]"&amp;$O$2&amp;"!n13")</f>
        <v>232</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0.25</v>
      </c>
      <c r="BC13" s="289">
        <f t="shared" ca="1" si="21"/>
        <v>3400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10.261000000000001</v>
      </c>
      <c r="O14" s="213">
        <f>+DATA!A13</f>
        <v>46327</v>
      </c>
      <c r="P14" s="219">
        <f ca="1">+INDIRECT("[EMPINFO.xlsm]"&amp;$O$2&amp;"!G14")</f>
        <v>5</v>
      </c>
      <c r="Q14" s="215">
        <f ca="1">IF(AZ14="active",INDIRECT("[EMPINFO.xlsm]"&amp;$O$2&amp;"!H14"),0)</f>
        <v>40</v>
      </c>
      <c r="R14" s="239">
        <f t="shared" ca="1" si="22"/>
        <v>10.261000000000001</v>
      </c>
      <c r="S14" s="216">
        <f t="shared" ca="1" si="1"/>
        <v>1778.5733333333324</v>
      </c>
      <c r="T14" s="220">
        <f t="shared" ca="1" si="2"/>
        <v>0</v>
      </c>
      <c r="U14" s="218">
        <f t="shared" ca="1" si="3"/>
        <v>0</v>
      </c>
      <c r="V14" s="220">
        <f ca="1">+novoth*novhrrt</f>
        <v>0</v>
      </c>
      <c r="W14" s="201"/>
      <c r="X14" s="218">
        <f t="shared" ca="1" si="4"/>
        <v>0</v>
      </c>
      <c r="Y14" s="803">
        <f t="shared" ca="1" si="5"/>
        <v>0</v>
      </c>
      <c r="Z14" s="218">
        <f t="shared" ca="1" si="6"/>
        <v>1778.5733333333324</v>
      </c>
      <c r="AA14" s="803">
        <f t="shared" ca="1" si="7"/>
        <v>161</v>
      </c>
      <c r="AB14" s="218">
        <f ca="1">+INDIRECT("[EMPINFO.xlsm]"&amp;$O$2&amp;"!s14")</f>
        <v>0</v>
      </c>
      <c r="AC14" s="292">
        <v>1.5</v>
      </c>
      <c r="AD14" s="218">
        <f t="shared" ca="1" si="8"/>
        <v>0</v>
      </c>
      <c r="AE14" s="220">
        <f t="shared" ca="1" si="9"/>
        <v>0</v>
      </c>
      <c r="AF14" s="218">
        <f t="shared" ca="1" si="10"/>
        <v>161</v>
      </c>
      <c r="AG14" s="803">
        <f t="shared" ca="1" si="11"/>
        <v>410.44000000000005</v>
      </c>
      <c r="AH14" s="218">
        <f t="shared" ca="1" si="12"/>
        <v>205.22</v>
      </c>
      <c r="AI14" s="803">
        <f t="shared" ca="1" si="13"/>
        <v>205.22</v>
      </c>
      <c r="AJ14" s="218">
        <f t="shared" ca="1" si="14"/>
        <v>410.44</v>
      </c>
      <c r="AK14" s="803">
        <f t="shared" ca="1" si="15"/>
        <v>6.16</v>
      </c>
      <c r="AL14" s="218">
        <f t="shared" ca="1" si="23"/>
        <v>1989.9533333333325</v>
      </c>
      <c r="AM14" s="290" t="str">
        <f t="shared" ca="1" si="16"/>
        <v>C</v>
      </c>
      <c r="AN14" s="291" t="str">
        <f t="shared" ca="1" si="17"/>
        <v>FT</v>
      </c>
      <c r="AO14" s="223">
        <f ca="1">+INDIRECT("[EMPINFO.xlsm]"&amp;$O$2&amp;"!t14")</f>
        <v>30</v>
      </c>
      <c r="AP14" s="226">
        <f ca="1">+INDIRECT("[EMPINFO.xlsm]"&amp;$O$2&amp;"!o14")</f>
        <v>-160</v>
      </c>
      <c r="AQ14" s="840">
        <f ca="1">+INDIRECT("[EMPINFO.xlsm]"&amp;$O$2&amp;"!p14")</f>
        <v>-1555.53</v>
      </c>
      <c r="AR14" s="226">
        <f ca="1">+INDIRECT("[EMPINFO.xlsm]"&amp;$O$2&amp;"!j14")</f>
        <v>0</v>
      </c>
      <c r="AS14" s="840">
        <f ca="1">+INDIRECT("[EMPINFO.xlsm]"&amp;$O$2&amp;"!k14")</f>
        <v>217.41999999999996</v>
      </c>
      <c r="AT14" s="226">
        <f ca="1">+INDIRECT("[EMPINFO.xlsm]"&amp;$O$2&amp;"!m14")</f>
        <v>0</v>
      </c>
      <c r="AU14" s="844">
        <f ca="1">+INDIRECT("[EMPINFO.xlsm]"&amp;$O$2&amp;"!n14")</f>
        <v>232</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0.25</v>
      </c>
      <c r="BC14" s="289">
        <f t="shared" ca="1" si="21"/>
        <v>3400</v>
      </c>
      <c r="BD14" s="255"/>
      <c r="BE14" s="206"/>
      <c r="BF14" s="32"/>
      <c r="BH14" s="32"/>
    </row>
    <row r="15" spans="1:62" ht="15.75" customHeight="1" thickBot="1" x14ac:dyDescent="0.3">
      <c r="A15" s="54"/>
      <c r="L15" s="101"/>
      <c r="M15" s="303"/>
      <c r="N15" s="211">
        <f t="shared" ca="1" si="0"/>
        <v>10.261000000000001</v>
      </c>
      <c r="O15" s="213">
        <f>+DATA!A14</f>
        <v>46357</v>
      </c>
      <c r="P15" s="219">
        <f ca="1">+INDIRECT("[EMPINFO.xlsm]"&amp;$O$2&amp;"!G15")</f>
        <v>4</v>
      </c>
      <c r="Q15" s="215">
        <f ca="1">IF(AZ15="active",INDIRECT("[EMPINFO.xlsm]"&amp;$O$2&amp;"!H15"),0)</f>
        <v>40</v>
      </c>
      <c r="R15" s="239">
        <f t="shared" ca="1" si="22"/>
        <v>10.261000000000001</v>
      </c>
      <c r="S15" s="216">
        <f t="shared" ca="1" si="1"/>
        <v>1778.5733333333324</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1913.6733333333323</v>
      </c>
      <c r="AA15" s="803">
        <f t="shared" ca="1" si="7"/>
        <v>195</v>
      </c>
      <c r="AB15" s="218">
        <f ca="1">+INDIRECT("[EMPINFO.xlsm]"&amp;$O$2&amp;"!s15")</f>
        <v>0</v>
      </c>
      <c r="AC15" s="292">
        <v>1.5</v>
      </c>
      <c r="AD15" s="218">
        <f t="shared" ca="1" si="8"/>
        <v>0</v>
      </c>
      <c r="AE15" s="220">
        <f t="shared" ca="1" si="9"/>
        <v>0</v>
      </c>
      <c r="AF15" s="218">
        <f t="shared" ca="1" si="10"/>
        <v>195</v>
      </c>
      <c r="AG15" s="803">
        <f t="shared" ca="1" si="11"/>
        <v>410.44000000000005</v>
      </c>
      <c r="AH15" s="218">
        <f t="shared" ca="1" si="12"/>
        <v>164.18</v>
      </c>
      <c r="AI15" s="803">
        <f t="shared" ca="1" si="13"/>
        <v>164.18</v>
      </c>
      <c r="AJ15" s="218">
        <f t="shared" ca="1" si="14"/>
        <v>328.36</v>
      </c>
      <c r="AK15" s="803">
        <f t="shared" ca="1" si="15"/>
        <v>4.93</v>
      </c>
      <c r="AL15" s="218">
        <f t="shared" ca="1" si="23"/>
        <v>2082.7833333333319</v>
      </c>
      <c r="AM15" s="290" t="str">
        <f t="shared" ca="1" si="16"/>
        <v>C</v>
      </c>
      <c r="AN15" s="291" t="str">
        <f t="shared" ca="1" si="17"/>
        <v>FT</v>
      </c>
      <c r="AO15" s="223">
        <f ca="1">+INDIRECT("[EMPINFO.xlsm]"&amp;$O$2&amp;"!t15")</f>
        <v>31</v>
      </c>
      <c r="AP15" s="226">
        <f ca="1">+INDIRECT("[EMPINFO.xlsm]"&amp;$O$2&amp;"!o15")</f>
        <v>-160</v>
      </c>
      <c r="AQ15" s="840">
        <f ca="1">+INDIRECT("[EMPINFO.xlsm]"&amp;$O$2&amp;"!p15")</f>
        <v>-1715.53</v>
      </c>
      <c r="AR15" s="226">
        <f ca="1">+INDIRECT("[EMPINFO.xlsm]"&amp;$O$2&amp;"!j15")</f>
        <v>0</v>
      </c>
      <c r="AS15" s="840">
        <f ca="1">+INDIRECT("[EMPINFO.xlsm]"&amp;$O$2&amp;"!k15")</f>
        <v>217.41999999999996</v>
      </c>
      <c r="AT15" s="226">
        <f ca="1">+INDIRECT("[EMPINFO.xlsm]"&amp;$O$2&amp;"!m15")</f>
        <v>0</v>
      </c>
      <c r="AU15" s="844">
        <f ca="1">+INDIRECT("[EMPINFO.xlsm]"&amp;$O$2&amp;"!n15")</f>
        <v>232</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0.25</v>
      </c>
      <c r="BC15" s="289">
        <f t="shared" ca="1" si="21"/>
        <v>3400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21342.87999999999</v>
      </c>
      <c r="T16" s="221">
        <f t="shared" ca="1" si="24"/>
        <v>0</v>
      </c>
      <c r="U16" s="217">
        <f t="shared" ca="1" si="24"/>
        <v>0</v>
      </c>
      <c r="V16" s="221">
        <f t="shared" ca="1" si="24"/>
        <v>0</v>
      </c>
      <c r="W16" s="217">
        <f t="shared" ca="1" si="24"/>
        <v>512.52</v>
      </c>
      <c r="X16" s="217">
        <f t="shared" ca="1" si="24"/>
        <v>0</v>
      </c>
      <c r="Y16" s="804">
        <f t="shared" ca="1" si="24"/>
        <v>0</v>
      </c>
      <c r="Z16" s="217">
        <f t="shared" ca="1" si="24"/>
        <v>21855.399999999991</v>
      </c>
      <c r="AA16" s="804">
        <f t="shared" ca="1" si="24"/>
        <v>2060</v>
      </c>
      <c r="AB16" s="217">
        <f ca="1">+INDIRECT("[EMPINFO.xlsm]"&amp;$O$2&amp;"!S16")</f>
        <v>0</v>
      </c>
      <c r="AC16" s="221" t="s">
        <v>150</v>
      </c>
      <c r="AD16" s="217">
        <f ca="1">SUM(AD4:AD15)</f>
        <v>0</v>
      </c>
      <c r="AE16" s="221">
        <f ca="1">SUM(AE4:AE15)</f>
        <v>0</v>
      </c>
      <c r="AF16" s="217">
        <f ca="1">SUM(AF4:AF15)</f>
        <v>2060</v>
      </c>
      <c r="AG16" s="221"/>
      <c r="AH16" s="217">
        <f ca="1">SUM(AH4:AH15)</f>
        <v>2134.3200000000002</v>
      </c>
      <c r="AI16" s="803">
        <f ca="1">SUM(AI4:AI15)</f>
        <v>2134.3200000000002</v>
      </c>
      <c r="AJ16" s="217">
        <f t="shared" ca="1" si="14"/>
        <v>4268.6400000000003</v>
      </c>
      <c r="AK16" s="835">
        <f ca="1">SUM(AK4:AK15)</f>
        <v>64.079999999999984</v>
      </c>
      <c r="AL16" s="217">
        <f ca="1">+SUM(AL4:AL15)</f>
        <v>24053.799999999988</v>
      </c>
      <c r="AM16" s="298"/>
      <c r="AN16" s="297"/>
      <c r="AO16" s="224">
        <f ca="1">+INDIRECT("[EMPINFO.xlsm]"&amp;$O$2&amp;"!T16")</f>
        <v>365</v>
      </c>
      <c r="AP16" s="299">
        <f>+[1]RGaldes!O16</f>
        <v>0</v>
      </c>
      <c r="AQ16" s="841">
        <f ca="1">+INDIRECT("[EMPINFO.xlsm]"&amp;$O$2&amp;"!p16")</f>
        <v>-1715.53</v>
      </c>
      <c r="AR16" s="299"/>
      <c r="AS16" s="841">
        <f ca="1">+INDIRECT("[EMPINFO.xlsm]"&amp;$O$2&amp;"!k16")</f>
        <v>217.41999999999996</v>
      </c>
      <c r="AT16" s="299">
        <f ca="1">+INDIRECT("[EMPINFO.xlsm]"&amp;$O$2&amp;"!m16")</f>
        <v>8</v>
      </c>
      <c r="AU16" s="841">
        <f ca="1">+INDIRECT("[EMPINFO.xlsm]"&amp;$O$2&amp;"!n16")</f>
        <v>232</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21855</v>
      </c>
      <c r="I17" s="456"/>
      <c r="K17" s="317" t="s">
        <v>151</v>
      </c>
      <c r="L17" s="101"/>
      <c r="M17" s="256">
        <v>10.130000000000001</v>
      </c>
      <c r="N17" s="257" t="s">
        <v>152</v>
      </c>
      <c r="O17" s="258">
        <f ca="1">+Med_Tot</f>
        <v>21855.399999999991</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-1715.53</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Haneena Aishathul</v>
      </c>
      <c r="P19" s="374" t="str">
        <f>+IDCard</f>
        <v>395389A</v>
      </c>
      <c r="Q19" s="375" t="str">
        <f>+designation</f>
        <v>7. Sup. Dental Assistant</v>
      </c>
      <c r="R19" s="376" t="s">
        <v>156</v>
      </c>
      <c r="S19" s="377">
        <f ca="1">+S20+S23+S22+S24+S25+S26+S21</f>
        <v>1778.5733333333324</v>
      </c>
      <c r="T19" s="378" t="str">
        <f>+FS4_Status</f>
        <v>SIN</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1778.5733333333324</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328.36</v>
      </c>
      <c r="U21" s="372">
        <f ca="1">INDEX(PYRL_Summary,MATCH(O21,months,0),22)</f>
        <v>164.18</v>
      </c>
      <c r="V21" s="373">
        <f ca="1">INDEX(PYRL_Summary,MATCH(O21,months,0),23)</f>
        <v>164.18</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4.93</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21855</v>
      </c>
      <c r="I23" s="466"/>
      <c r="J23" s="318" t="s">
        <v>169</v>
      </c>
      <c r="K23" s="916"/>
      <c r="L23" s="917"/>
      <c r="N23" s="420"/>
      <c r="O23" s="344">
        <f>+ID</f>
        <v>2023007</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161</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MT37VALL22013000000050020334861</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1453.3933333333323</v>
      </c>
      <c r="V26" s="418"/>
      <c r="W26" s="575" t="s">
        <v>244</v>
      </c>
      <c r="X26" s="575"/>
    </row>
    <row r="27" spans="1:56" ht="24" customHeight="1" thickBot="1" x14ac:dyDescent="0.3">
      <c r="A27" s="54"/>
      <c r="B27" s="73" t="s">
        <v>52</v>
      </c>
      <c r="G27" s="73" t="s">
        <v>53</v>
      </c>
      <c r="H27" s="8">
        <f ca="1">IF(OR(Timer="PT", Timer="pt_casual"),0,AA16)</f>
        <v>2060</v>
      </c>
      <c r="I27" s="319" t="s">
        <v>179</v>
      </c>
      <c r="J27" s="96"/>
      <c r="L27" s="322">
        <v>0</v>
      </c>
      <c r="N27" s="421" t="s">
        <v>180</v>
      </c>
      <c r="O27" s="360" t="s">
        <v>181</v>
      </c>
      <c r="P27" s="361">
        <f>+O21-1</f>
        <v>46022</v>
      </c>
      <c r="Q27" s="362"/>
      <c r="R27" s="363" t="s">
        <v>182</v>
      </c>
      <c r="S27" s="364">
        <f ca="1">(INDEX(PYRL_Summary,MATCH(P27,months,0),33))</f>
        <v>7</v>
      </c>
      <c r="T27" s="544">
        <f>IF(Y27=0, "DO NOT INPUT HERE. USE HIGHLIGHTED ",Y27)</f>
        <v>173404283</v>
      </c>
      <c r="U27" s="545"/>
      <c r="V27" s="546"/>
      <c r="W27" s="73" t="s">
        <v>183</v>
      </c>
      <c r="Y27" s="436">
        <v>173404283</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217.41999999999996</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Haneena Aishathul</v>
      </c>
      <c r="P29" s="394" t="str">
        <f>+IDCard</f>
        <v>395389A</v>
      </c>
      <c r="Q29" s="395" t="str">
        <f>+designation</f>
        <v>7. Sup. Dental Assistant</v>
      </c>
      <c r="R29" s="396" t="s">
        <v>156</v>
      </c>
      <c r="S29" s="397">
        <f ca="1">+S30+S33+S32+S34+S35+S36+S31</f>
        <v>1778.5733333333324</v>
      </c>
      <c r="T29" s="431" t="str">
        <f>+FS4_Status</f>
        <v>SIN</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1778.5733333333324</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2060</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328.36</v>
      </c>
      <c r="U31" s="358">
        <f ca="1">INDEX(PYRL_Summary,MATCH(O31,months,0),22)</f>
        <v>164.18</v>
      </c>
      <c r="V31" s="359">
        <f ca="1">INDEX(PYRL_Summary,MATCH(O31,months,0),23)</f>
        <v>164.18</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4.93</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2023007</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161</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MT37VALL22013000000050020334861</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1453.3933333333323</v>
      </c>
      <c r="V36" s="418"/>
      <c r="W36" s="575" t="s">
        <v>244</v>
      </c>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13.58</v>
      </c>
      <c r="R37" s="354"/>
      <c r="S37" s="356"/>
      <c r="T37" s="544" t="str">
        <f>IF(Y37=0, "DO NOT INPUT HERE. USE HIGHLIGHTED ",Y37)</f>
        <v>Transaction ID is: 174692961</v>
      </c>
      <c r="U37" s="545"/>
      <c r="V37" s="546"/>
      <c r="W37" s="73" t="s">
        <v>183</v>
      </c>
      <c r="Y37" s="574" t="s">
        <v>640</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1.5987211554602254E-14</v>
      </c>
      <c r="R38" s="410" t="s">
        <v>188</v>
      </c>
      <c r="S38" s="411">
        <f ca="1">INDEX(PYRL_Summary,MATCH(O31,months,0),33)</f>
        <v>217.41999999999996</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Haneena Aishathul</v>
      </c>
      <c r="P39" s="374" t="str">
        <f>+IDCard</f>
        <v>395389A</v>
      </c>
      <c r="Q39" s="375" t="str">
        <f>+designation</f>
        <v>7. Sup. Dental Assistant</v>
      </c>
      <c r="R39" s="376" t="s">
        <v>156</v>
      </c>
      <c r="S39" s="377">
        <f ca="1">+S40+S43+S42+S44+S45+S46+S41</f>
        <v>1899.7333333333324</v>
      </c>
      <c r="T39" s="378" t="str">
        <f>+FS4_Status</f>
        <v>SIN</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1778.5733333333324</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410.44</v>
      </c>
      <c r="U41" s="372">
        <f ca="1">INDEX(PYRL_Summary,MATCH(O41,months,0),22)</f>
        <v>205.22</v>
      </c>
      <c r="V41" s="373">
        <f ca="1">INDEX(PYRL_Summary,MATCH(O41,months,0),23)</f>
        <v>205.22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6.16</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2023007</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191</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MT37VALL22013000000050020334861</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1503.5133333333324</v>
      </c>
      <c r="V46" s="418"/>
      <c r="W46" s="575" t="s">
        <v>244</v>
      </c>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4.4700000000000433</v>
      </c>
      <c r="R48" s="392" t="s">
        <v>188</v>
      </c>
      <c r="S48" s="393">
        <f ca="1">INDEX(PYRL_Summary,MATCH(O41,months,0),33)</f>
        <v>217.41999999999996</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Haneena Aishathul</v>
      </c>
      <c r="P49" s="394" t="str">
        <f>+IDCard</f>
        <v>395389A</v>
      </c>
      <c r="Q49" s="395" t="str">
        <f>+designation</f>
        <v>7. Sup. Dental Assistant</v>
      </c>
      <c r="R49" s="396" t="s">
        <v>156</v>
      </c>
      <c r="S49" s="397">
        <f ca="1">+S50+S53+S52+S54+S55+S56+S51</f>
        <v>1778.5733333333324</v>
      </c>
      <c r="T49" s="431" t="str">
        <f>+FS4_Status</f>
        <v>SIN</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1778.5733333333324</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328.36</v>
      </c>
      <c r="U51" s="358">
        <f ca="1">INDEX(PYRL_Summary,MATCH(O51,months,0),22)</f>
        <v>164.18</v>
      </c>
      <c r="V51" s="359">
        <f ca="1">INDEX(PYRL_Summary,MATCH(O51,months,0),23)</f>
        <v>164.18</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4.93</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2023007</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161</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MT37VALL22013000000050020334861</v>
      </c>
      <c r="U55" s="890"/>
      <c r="V55" s="891"/>
    </row>
    <row r="56" spans="1:37" ht="16.5" customHeight="1" thickBot="1" x14ac:dyDescent="0.3">
      <c r="E56" s="116" t="s">
        <v>215</v>
      </c>
      <c r="F56" s="115" t="str">
        <f>INDEX([1]!empdata,MATCH(ID,[1]!empid,0),17)</f>
        <v>MT37VALL22013000000050020334861</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1453.3933333333323</v>
      </c>
      <c r="V56" s="418"/>
    </row>
    <row r="57" spans="1:37" ht="26.25" customHeight="1" thickBot="1" x14ac:dyDescent="0.3">
      <c r="E57" s="116" t="s">
        <v>216</v>
      </c>
      <c r="F57" s="340" t="str">
        <f>INDEX([1]!empdata,MATCH(ID,[1]!empid,0),12)</f>
        <v>hananaannu@gmail.com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36248</v>
      </c>
      <c r="G58" s="56"/>
      <c r="H58" s="63"/>
      <c r="N58" s="406">
        <f ca="1">INDEX(PYRL_Summary,MATCH(O51,months,0),4)</f>
        <v>4</v>
      </c>
      <c r="O58" s="407" t="s">
        <v>187</v>
      </c>
      <c r="P58" s="408">
        <f>+O41</f>
        <v>46082</v>
      </c>
      <c r="Q58" s="409">
        <f ca="1">INDEX(PYRL_Summary,MATCH(P58,months,0),31)</f>
        <v>-155.52999999999994</v>
      </c>
      <c r="R58" s="410" t="s">
        <v>188</v>
      </c>
      <c r="S58" s="411">
        <f ca="1">INDEX(PYRL_Summary,MATCH(O51,months,0),33)</f>
        <v>217.41999999999996</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45201</v>
      </c>
      <c r="G59" s="56"/>
      <c r="H59" s="63"/>
      <c r="N59" s="386">
        <f ca="1">IF(OR(INDEX(PYRL_Summary,MATCH(O61,months,0),28)="pt",INDEX(PYRL_Summary,MATCH(O61,months,0),28)="pt_casual"),0,IF(N62-N61&gt;=1,1,0))</f>
        <v>1</v>
      </c>
      <c r="O59" s="894" t="str">
        <f>Surname&amp;" "&amp;Name</f>
        <v>Haneena Aishathul</v>
      </c>
      <c r="P59" s="374" t="str">
        <f>+IDCard</f>
        <v>395389A</v>
      </c>
      <c r="Q59" s="375" t="str">
        <f>+designation</f>
        <v>7. Sup. Dental Assistant</v>
      </c>
      <c r="R59" s="376" t="s">
        <v>156</v>
      </c>
      <c r="S59" s="377">
        <f ca="1">+S60+S63+S62+S64+S65+S66+S61</f>
        <v>1778.5733333333324</v>
      </c>
      <c r="T59" s="378" t="str">
        <f>+FS4_Status</f>
        <v>SIN</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7. Sup. Dental Assistant</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1778.5733333333324</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328.36</v>
      </c>
      <c r="U61" s="372">
        <f ca="1">INDEX(PYRL_Summary,MATCH(O61,months,0),22)</f>
        <v>164.18</v>
      </c>
      <c r="V61" s="373">
        <f ca="1">INDEX(PYRL_Summary,MATCH(O61,months,0),23)</f>
        <v>164.18</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4.93</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2023007</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161</v>
      </c>
      <c r="X64" s="577"/>
    </row>
    <row r="65" spans="5:37" ht="15.75" customHeight="1" thickBot="1" x14ac:dyDescent="0.3">
      <c r="E65" s="925" t="s">
        <v>224</v>
      </c>
      <c r="F65" s="926"/>
      <c r="G65" s="103">
        <f ca="1">+Med_Tot</f>
        <v>21855.399999999991</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MT37VALL22013000000050020334861</v>
      </c>
      <c r="U65" s="890"/>
      <c r="V65" s="891"/>
    </row>
    <row r="66" spans="5:37" ht="16.5" customHeight="1" thickBot="1" x14ac:dyDescent="0.3">
      <c r="E66" s="952" t="s">
        <v>226</v>
      </c>
      <c r="F66" s="953"/>
      <c r="G66" s="112">
        <f ca="1">+PREVFS3+Med_Tot</f>
        <v>21855.399999999991</v>
      </c>
      <c r="H66" s="114">
        <f ca="1">IF(grossyearly&lt;F68,1,IF(grossyearly&lt;F69,2,IF(grossyearly&lt;F70,3,IF(grossyearly&lt;F71,4,5))))</f>
        <v>4</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1453.3933333333323</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4</v>
      </c>
      <c r="O68" s="389" t="s">
        <v>187</v>
      </c>
      <c r="P68" s="390">
        <f>+O51</f>
        <v>46113</v>
      </c>
      <c r="Q68" s="391">
        <f ca="1">INDEX(PYRL_Summary,MATCH(P68,months,0),31)</f>
        <v>-315.52999999999997</v>
      </c>
      <c r="R68" s="392" t="s">
        <v>188</v>
      </c>
      <c r="S68" s="393">
        <f ca="1">INDEX(PYRL_Summary,MATCH(O61,months,0),33)</f>
        <v>217.41999999999996</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1</v>
      </c>
      <c r="O69" s="908" t="str">
        <f>Surname&amp;" "&amp;Name</f>
        <v>Haneena Aishathul</v>
      </c>
      <c r="P69" s="394" t="str">
        <f>+IDCard</f>
        <v>395389A</v>
      </c>
      <c r="Q69" s="395" t="str">
        <f>+designation</f>
        <v>7. Sup. Dental Assistant</v>
      </c>
      <c r="R69" s="396" t="s">
        <v>156</v>
      </c>
      <c r="S69" s="397">
        <f ca="1">+S70+S73+S72+S74+S75+S76+S71</f>
        <v>1913.6733333333323</v>
      </c>
      <c r="T69" s="431" t="str">
        <f>+FS4_Status</f>
        <v>SIN</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1778.5733333333324</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410.44</v>
      </c>
      <c r="U71" s="358">
        <f ca="1">INDEX(PYRL_Summary,MATCH(O71,months,0),22)</f>
        <v>205.22</v>
      </c>
      <c r="V71" s="359">
        <f ca="1">INDEX(PYRL_Summary,MATCH(O71,months,0),23)</f>
        <v>205.22</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6.16</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2023007</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195</v>
      </c>
      <c r="X74" s="577"/>
    </row>
    <row r="75" spans="5:37" ht="15.75" customHeight="1" thickBot="1" x14ac:dyDescent="0.3">
      <c r="E75" s="293"/>
      <c r="F75" s="294" t="s">
        <v>130</v>
      </c>
      <c r="G75" s="295">
        <f ca="1">IF(AND(Timer="pt",grossyearly&lt;10000),+ptrate,IF(grossyearly&lt;$F$68,$G$68,IF(grossyearly&lt;$F$69,$G$69,IF(grossyearly&lt;$F$70,$G$70,IF(grossyearly&lt;$F$71,$G$71,$G$72)))))</f>
        <v>0.25</v>
      </c>
      <c r="H75" s="296">
        <f ca="1">IF(grossyearly&lt;$F$68,$H$68,IF(grossyearly&lt;$F$69,$H$69,IF(grossyearly&lt;$F$70,$H$70,IF(grossyearly&lt;$F$71,$H$71,$H$72))))</f>
        <v>3400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MT37VALL22013000000050020334861</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1513.4533333333322</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-515.53</v>
      </c>
      <c r="R78" s="410" t="s">
        <v>188</v>
      </c>
      <c r="S78" s="411">
        <f ca="1">INDEX(PYRL_Summary,MATCH(O71,months,0),33)</f>
        <v>217.41999999999996</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Haneena Aishathul</v>
      </c>
      <c r="P79" s="374" t="str">
        <f>+IDCard</f>
        <v>395389A</v>
      </c>
      <c r="Q79" s="375" t="str">
        <f>+designation</f>
        <v>7. Sup. Dental Assistant</v>
      </c>
      <c r="R79" s="376" t="s">
        <v>156</v>
      </c>
      <c r="S79" s="377">
        <f ca="1">+S80+S83+S82+S84+S85+S86+S81</f>
        <v>1778.5733333333324</v>
      </c>
      <c r="T79" s="378" t="str">
        <f>+FS4_Status</f>
        <v>SIN</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1778.5733333333324</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328.36</v>
      </c>
      <c r="U81" s="372">
        <f ca="1">INDEX(PYRL_Summary,MATCH(O81,months,0),22)</f>
        <v>164.18</v>
      </c>
      <c r="V81" s="373">
        <f ca="1">INDEX(PYRL_Summary,MATCH(O81,months,0),23)</f>
        <v>164.18</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4.93</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2023007</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161</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MT37VALL22013000000050020334861</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1453.3933333333323</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217.41999999999996</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Haneena Aishathul</v>
      </c>
      <c r="P89" s="394" t="str">
        <f>+IDCard</f>
        <v>395389A</v>
      </c>
      <c r="Q89" s="395" t="str">
        <f>+designation</f>
        <v>7. Sup. Dental Assistant</v>
      </c>
      <c r="R89" s="396" t="s">
        <v>156</v>
      </c>
      <c r="S89" s="397">
        <f ca="1">+S90+S93+S92+S94+S95+S96+S91</f>
        <v>1778.5733333333324</v>
      </c>
      <c r="T89" s="431" t="str">
        <f>+FS4_Status</f>
        <v>SIN</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1778.5733333333324</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410.44</v>
      </c>
      <c r="U91" s="358">
        <f ca="1">INDEX(PYRL_Summary,MATCH(O91,months,0),22)</f>
        <v>205.22</v>
      </c>
      <c r="V91" s="359">
        <f ca="1">INDEX(PYRL_Summary,MATCH(O91,months,0),23)</f>
        <v>205.22</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6.16</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2023007</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161</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MT37VALL22013000000050020334861</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1412.3533333333323</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-835.53</v>
      </c>
      <c r="R98" s="410" t="s">
        <v>188</v>
      </c>
      <c r="S98" s="411">
        <f ca="1">INDEX(PYRL_Summary,MATCH(O91,months,0),33)</f>
        <v>217.41999999999996</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Haneena Aishathul</v>
      </c>
      <c r="P99" s="374" t="str">
        <f>+IDCard</f>
        <v>395389A</v>
      </c>
      <c r="Q99" s="375" t="str">
        <f>+designation</f>
        <v>7. Sup. Dental Assistant</v>
      </c>
      <c r="R99" s="376" t="s">
        <v>156</v>
      </c>
      <c r="S99" s="377">
        <f ca="1">+S100+S103+S102+S104+S105+S106+S101</f>
        <v>1899.7333333333324</v>
      </c>
      <c r="T99" s="378" t="str">
        <f>+FS4_Status</f>
        <v>SIN</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1778.5733333333324</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328.36</v>
      </c>
      <c r="U101" s="372">
        <f ca="1">INDEX(PYRL_Summary,MATCH(O101,months,0),22)</f>
        <v>164.18</v>
      </c>
      <c r="V101" s="373">
        <f ca="1">INDEX(PYRL_Summary,MATCH(O101,months,0),23)</f>
        <v>164.18</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4.93</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2023007</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191</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MT37VALL22013000000050020334861</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1544.5533333333324</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-1035.53</v>
      </c>
      <c r="R108" s="392" t="s">
        <v>188</v>
      </c>
      <c r="S108" s="393">
        <f ca="1">INDEX(PYRL_Summary,MATCH(O101,months,0),33)</f>
        <v>217.41999999999996</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Haneena Aishathul</v>
      </c>
      <c r="P109" s="394" t="str">
        <f>+IDCard</f>
        <v>395389A</v>
      </c>
      <c r="Q109" s="395" t="str">
        <f>+designation</f>
        <v>7. Sup. Dental Assistant</v>
      </c>
      <c r="R109" s="396" t="s">
        <v>156</v>
      </c>
      <c r="S109" s="397">
        <f ca="1">+S110+S113+S112+S114+S115+S116+S111</f>
        <v>1778.5733333333324</v>
      </c>
      <c r="T109" s="431" t="str">
        <f>+FS4_Status</f>
        <v>SIN</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1778.5733333333324</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328.36</v>
      </c>
      <c r="U111" s="358">
        <f ca="1">INDEX(PYRL_Summary,MATCH(W109,months,0),22)</f>
        <v>164.18</v>
      </c>
      <c r="V111" s="359">
        <f ca="1">INDEX(PYRL_Summary,MATCH(W109,months,0),23)</f>
        <v>164.18</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4.93</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2023007</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161</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MT37VALL22013000000050020334861</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1453.3933333333323</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-1195.53</v>
      </c>
      <c r="R118" s="410" t="s">
        <v>188</v>
      </c>
      <c r="S118" s="411">
        <f ca="1">INDEX(PYRL_Summary,MATCH(W109,months,0),33)</f>
        <v>217.41999999999996</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Haneena Aishathul</v>
      </c>
      <c r="P119" s="374" t="str">
        <f>+IDCard</f>
        <v>395389A</v>
      </c>
      <c r="Q119" s="375" t="str">
        <f>+designation</f>
        <v>7. Sup. Dental Assistant</v>
      </c>
      <c r="R119" s="376" t="s">
        <v>156</v>
      </c>
      <c r="S119" s="377">
        <f ca="1">+S120+S123+S122+S124+S125+S126+S121</f>
        <v>1778.5733333333324</v>
      </c>
      <c r="T119" s="378" t="str">
        <f>+FS4_Status</f>
        <v>SIN</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1778.5733333333324</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410.44</v>
      </c>
      <c r="U121" s="372">
        <f ca="1">INDEX(PYRL_Summary,MATCH(W119,months,0),22)</f>
        <v>205.22</v>
      </c>
      <c r="V121" s="373">
        <f ca="1">INDEX(PYRL_Summary,MATCH(W119,months,0),23)</f>
        <v>205.22</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6.16</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2023007</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161</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MT37VALL22013000000050020334861</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1412.3533333333323</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-1395.53</v>
      </c>
      <c r="R128" s="392" t="s">
        <v>188</v>
      </c>
      <c r="S128" s="393">
        <f ca="1">INDEX(PYRL_Summary,MATCH(W119,months,0),33)</f>
        <v>217.41999999999996</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Haneena Aishathul</v>
      </c>
      <c r="P129" s="394" t="str">
        <f>+IDCard</f>
        <v>395389A</v>
      </c>
      <c r="Q129" s="395" t="str">
        <f>+designation</f>
        <v>7. Sup. Dental Assistant</v>
      </c>
      <c r="R129" s="396" t="s">
        <v>156</v>
      </c>
      <c r="S129" s="397">
        <f ca="1">+S130+S133+S132+S134+S135+S136+S131</f>
        <v>1913.6733333333323</v>
      </c>
      <c r="T129" s="431" t="str">
        <f>+FS4_Status</f>
        <v>SIN</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1778.5733333333324</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328.36</v>
      </c>
      <c r="U131" s="358">
        <f ca="1">INDEX(PYRL_Summary,MATCH(W129,months,0),22)</f>
        <v>164.18</v>
      </c>
      <c r="V131" s="359">
        <f ca="1">INDEX(PYRL_Summary,MATCH(W129,months,0),23)</f>
        <v>164.18</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4.93</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2023007</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195</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MT37VALL22013000000050020334861</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1554.4933333333322</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-1555.53</v>
      </c>
      <c r="R138" s="410" t="s">
        <v>188</v>
      </c>
      <c r="S138" s="411">
        <f ca="1">INDEX(PYRL_Summary,MATCH(W129,months,0),33)</f>
        <v>217.41999999999996</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377" priority="29">
      <formula>$P25=0</formula>
    </cfRule>
  </conditionalFormatting>
  <conditionalFormatting sqref="Q25:R25">
    <cfRule type="expression" dxfId="376" priority="28">
      <formula>$R25=0</formula>
    </cfRule>
  </conditionalFormatting>
  <conditionalFormatting sqref="S25">
    <cfRule type="expression" dxfId="375" priority="27">
      <formula>$S25=0</formula>
    </cfRule>
  </conditionalFormatting>
  <conditionalFormatting sqref="S26">
    <cfRule type="expression" dxfId="374" priority="25">
      <formula>$S$46&gt;0.01</formula>
    </cfRule>
    <cfRule type="expression" dxfId="373" priority="26">
      <formula>$S$46=0</formula>
    </cfRule>
  </conditionalFormatting>
  <conditionalFormatting sqref="T23 T33 T43 T53 T63 T73 T83 T93 T103 T113 T123 T133">
    <cfRule type="expression" dxfId="372" priority="24" stopIfTrue="1">
      <formula>"$R$23=0"""</formula>
    </cfRule>
  </conditionalFormatting>
  <conditionalFormatting sqref="O26:Q26">
    <cfRule type="expression" dxfId="371" priority="23">
      <formula>$Q$26=0</formula>
    </cfRule>
  </conditionalFormatting>
  <conditionalFormatting sqref="V23">
    <cfRule type="expression" dxfId="370" priority="22">
      <formula>$V$23=0</formula>
    </cfRule>
  </conditionalFormatting>
  <conditionalFormatting sqref="O35:P35">
    <cfRule type="expression" dxfId="369" priority="21">
      <formula>$P35=0</formula>
    </cfRule>
  </conditionalFormatting>
  <conditionalFormatting sqref="Q35:R35">
    <cfRule type="expression" dxfId="368" priority="20">
      <formula>$R35=0</formula>
    </cfRule>
  </conditionalFormatting>
  <conditionalFormatting sqref="S35">
    <cfRule type="expression" dxfId="367" priority="19">
      <formula>$S35=0</formula>
    </cfRule>
  </conditionalFormatting>
  <conditionalFormatting sqref="S36">
    <cfRule type="expression" dxfId="366" priority="17">
      <formula>$S$46&gt;0.01</formula>
    </cfRule>
    <cfRule type="expression" dxfId="365" priority="18">
      <formula>$S$46=0</formula>
    </cfRule>
  </conditionalFormatting>
  <conditionalFormatting sqref="O36:Q36">
    <cfRule type="expression" dxfId="364" priority="16">
      <formula>$Q$26=0</formula>
    </cfRule>
  </conditionalFormatting>
  <conditionalFormatting sqref="V33">
    <cfRule type="expression" dxfId="363" priority="15">
      <formula>$V$23=0</formula>
    </cfRule>
  </conditionalFormatting>
  <conditionalFormatting sqref="O45:P45 O65:P65 O85:P85 O105:P105 O125:P125">
    <cfRule type="expression" dxfId="362" priority="14">
      <formula>$P45=0</formula>
    </cfRule>
  </conditionalFormatting>
  <conditionalFormatting sqref="Q45:R45 Q65:R65 Q85:R85 Q105:R105 Q125:R125">
    <cfRule type="expression" dxfId="361" priority="13">
      <formula>$R45=0</formula>
    </cfRule>
  </conditionalFormatting>
  <conditionalFormatting sqref="S45 S65 S85 S105 S125">
    <cfRule type="expression" dxfId="360" priority="12">
      <formula>$S45=0</formula>
    </cfRule>
  </conditionalFormatting>
  <conditionalFormatting sqref="S46 S66 S86 S106 S126">
    <cfRule type="expression" dxfId="359" priority="10">
      <formula>$S$46&gt;0.01</formula>
    </cfRule>
    <cfRule type="expression" dxfId="358" priority="11">
      <formula>$S$46=0</formula>
    </cfRule>
  </conditionalFormatting>
  <conditionalFormatting sqref="O46:Q46 O66:Q66 O86:Q86 O106:Q106 O126:Q126">
    <cfRule type="expression" dxfId="357" priority="9">
      <formula>$Q$26=0</formula>
    </cfRule>
  </conditionalFormatting>
  <conditionalFormatting sqref="V43 V63 V83 V103 V123">
    <cfRule type="expression" dxfId="356" priority="8">
      <formula>$V$23=0</formula>
    </cfRule>
  </conditionalFormatting>
  <conditionalFormatting sqref="O55:P55 O75:P75 O95:P95 O115:P115 O135:P135">
    <cfRule type="expression" dxfId="355" priority="7">
      <formula>$P55=0</formula>
    </cfRule>
  </conditionalFormatting>
  <conditionalFormatting sqref="Q55:R55 Q75:R75 Q95:R95 Q115:R115 Q135:R135">
    <cfRule type="expression" dxfId="354" priority="6">
      <formula>$R55=0</formula>
    </cfRule>
  </conditionalFormatting>
  <conditionalFormatting sqref="S55 S75 S95 S115 S135">
    <cfRule type="expression" dxfId="353" priority="5">
      <formula>$S55=0</formula>
    </cfRule>
  </conditionalFormatting>
  <conditionalFormatting sqref="S56 S76 S96 S116 S136">
    <cfRule type="expression" dxfId="352" priority="3">
      <formula>$S$46&gt;0.01</formula>
    </cfRule>
    <cfRule type="expression" dxfId="351" priority="4">
      <formula>$S$46=0</formula>
    </cfRule>
  </conditionalFormatting>
  <conditionalFormatting sqref="O56:Q56 O76:Q76 O96:Q96 O116:Q116 O136:Q136">
    <cfRule type="expression" dxfId="350" priority="2">
      <formula>$Q$26=0</formula>
    </cfRule>
  </conditionalFormatting>
  <conditionalFormatting sqref="V53 V73 V93 V113 V133">
    <cfRule type="expression" dxfId="349" priority="1">
      <formula>$V$23=0</formula>
    </cfRule>
  </conditionalFormatting>
  <hyperlinks>
    <hyperlink ref="F57" r:id="rId1" display="drchrisgauci@gmail.com" xr:uid="{00000000-0004-0000-0E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8705"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8706"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8707"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8708"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8709"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8710"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8711"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8712"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8713"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8714"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8715"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8716"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8717"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3">
    <tabColor rgb="FF7030A0"/>
  </sheetPr>
  <dimension ref="A1:BJ149"/>
  <sheetViews>
    <sheetView topLeftCell="I19" workbookViewId="0">
      <selection activeCell="Y37" sqref="Y37"/>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ELama</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2023008</v>
      </c>
      <c r="O2" s="810" t="str">
        <f>CONCATENATE(LEFT(Name,1),Surname)</f>
        <v>ELama</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10.130000000000001</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10.261000000000001</v>
      </c>
      <c r="O4" s="213">
        <f>+DATA!A3</f>
        <v>46023</v>
      </c>
      <c r="P4" s="219">
        <f ca="1">+INDIRECT("[EMPINFO.xlsm]"&amp;$O$2&amp;"!G4")</f>
        <v>4</v>
      </c>
      <c r="Q4" s="215">
        <f ca="1">IF(AZ4="active",INDIRECT("[EMPINFO.xlsm]"&amp;$O$2&amp;"!H4"),0)</f>
        <v>40</v>
      </c>
      <c r="R4" s="239">
        <f ca="1">IF(AZ4&lt;&gt;"active",0,N3+COLA)</f>
        <v>10.261000000000001</v>
      </c>
      <c r="S4" s="216">
        <f t="shared" ref="S4:S15" ca="1" si="1">+Q4*R4*4.33333333333333*AO4/AX4</f>
        <v>1778.5733333333324</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1778.5733333333324</v>
      </c>
      <c r="AA4" s="803">
        <f t="shared" ref="AA4:AA15" ca="1" si="7">IF(OR(AN4="PT",AN4="PT_Casual"),TRUNC((Z4*PT_Rate),0),(TRUNC((Z4*BB4)-(BC4/12),0)))</f>
        <v>136</v>
      </c>
      <c r="AB4" s="218">
        <f ca="1">+INDIRECT("[EMPINFO.xlsm]"&amp;$O$2&amp;"!s4")</f>
        <v>0</v>
      </c>
      <c r="AC4" s="292">
        <v>1.5</v>
      </c>
      <c r="AD4" s="218">
        <f t="shared" ref="AD4:AD15" ca="1" si="8">+AB4*(R4*AC4)</f>
        <v>0</v>
      </c>
      <c r="AE4" s="220">
        <f t="shared" ref="AE4:AE15" ca="1" si="9">+TRUNC((AD4*0.15),0)</f>
        <v>0</v>
      </c>
      <c r="AF4" s="218">
        <f t="shared" ref="AF4:AF15" ca="1" si="10">+AA4+AE4</f>
        <v>136</v>
      </c>
      <c r="AG4" s="803">
        <f t="shared" ref="AG4:AG15" ca="1" si="11">+R4*Q4</f>
        <v>410.44000000000005</v>
      </c>
      <c r="AH4" s="218">
        <f t="shared" ref="AH4:AH15" ca="1" si="12">ROUND(IF(AN4="",0,IF(OR(AN4="PT",AN4="PT_Casual"),0,IF(AM4="B",ROUND(SSCBemployermultiplier*P4,2),IF(AM4="c",SOCSECCRATE*AG4*P4,IF(AM4="D",ROUND(socsecrateD*P4,2)))))),2)</f>
        <v>164.18</v>
      </c>
      <c r="AI4" s="803">
        <f t="shared" ref="AI4:AI15" ca="1" si="13">ROUND(IF(AN4="",0,IF(OR(AN4="PT",AN4="PT_Casual"),0,IF(AM4="B",ROUND(SSCBemployermultiplier*P4,2),IF(AM4="c",SOCSECCRATE*AG4*P4,IF(AM4="D",ROUND(socsecrateD*P4,2)))))),2)</f>
        <v>164.18</v>
      </c>
      <c r="AJ4" s="218">
        <f t="shared" ref="AJ4:AJ16" ca="1" si="14">+AH4+AI4</f>
        <v>328.36</v>
      </c>
      <c r="AK4" s="803">
        <f t="shared" ref="AK4:AK15" ca="1" si="15">ROUND(IF(AN4="",0,IF(OR(AN4="PT",AN4="PT_Casual"),0,IF(AM4="B",SSCBmlfmultiplier*P4,IF(AM4="c",SSCCmlfmultiplier*P4*AG4,IF(AM4="D",SSCDmlfmultiplier*P4))))),2)</f>
        <v>4.93</v>
      </c>
      <c r="AL4" s="218">
        <f ca="1">+Z4+AH4+AK4</f>
        <v>1947.6833333333325</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0</v>
      </c>
      <c r="AQ4" s="840">
        <f ca="1">+INDIRECT("[EMPINFO.xlsm]"&amp;$O$2&amp;"!p4")</f>
        <v>0</v>
      </c>
      <c r="AR4" s="226">
        <f ca="1">+INDIRECT("[EMPINFO.xlsm]"&amp;$O$2&amp;"!j4")</f>
        <v>56.900000000000006</v>
      </c>
      <c r="AS4" s="840">
        <f ca="1">+INDIRECT("[EMPINFO.xlsm]"&amp;$O$2&amp;"!k4")</f>
        <v>167.09999999999997</v>
      </c>
      <c r="AT4" s="226">
        <f ca="1">+INDIRECT("[EMPINFO.xlsm]"&amp;$O$2&amp;"!m4")</f>
        <v>0</v>
      </c>
      <c r="AU4" s="844">
        <f ca="1">+INDIRECT("[EMPINFO.xlsm]"&amp;$O$2&amp;"!n4")</f>
        <v>240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0.25</v>
      </c>
      <c r="BC4" s="289">
        <f t="shared" ref="BC4:BC15" ca="1" si="21">IF((Z4*12)&lt;$F$68,$H$68,IF((Z4*12)&lt;$F$69,$H$69,IF((Z4*12)&lt;$F$70,$H$70,IF((Z4*12)&lt;$F$71,$H$71,$H$72))))</f>
        <v>3700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10.261000000000001</v>
      </c>
      <c r="O5" s="213">
        <f>+DATA!A4</f>
        <v>46054</v>
      </c>
      <c r="P5" s="219">
        <f ca="1">+INDIRECT("[EMPINFO.xlsm]"&amp;$O$2&amp;"!G5")</f>
        <v>4</v>
      </c>
      <c r="Q5" s="215">
        <f ca="1">IF(AZ5="active",INDIRECT("[EMPINFO.xlsm]"&amp;$O$2&amp;"!H5"),0)</f>
        <v>40</v>
      </c>
      <c r="R5" s="239">
        <f t="shared" ref="R5:R15" ca="1" si="22">+R4</f>
        <v>10.261000000000001</v>
      </c>
      <c r="S5" s="216">
        <f t="shared" ca="1" si="1"/>
        <v>1778.5733333333324</v>
      </c>
      <c r="T5" s="220">
        <f t="shared" ca="1" si="2"/>
        <v>0</v>
      </c>
      <c r="U5" s="218">
        <f t="shared" ca="1" si="3"/>
        <v>0</v>
      </c>
      <c r="V5" s="220">
        <f ca="1">+feboth*febhrrt</f>
        <v>0</v>
      </c>
      <c r="W5" s="201"/>
      <c r="X5" s="218">
        <f t="shared" ca="1" si="4"/>
        <v>0</v>
      </c>
      <c r="Y5" s="803">
        <f t="shared" ca="1" si="5"/>
        <v>0</v>
      </c>
      <c r="Z5" s="218">
        <f t="shared" ca="1" si="6"/>
        <v>1778.5733333333324</v>
      </c>
      <c r="AA5" s="803">
        <f t="shared" ca="1" si="7"/>
        <v>136</v>
      </c>
      <c r="AB5" s="218">
        <f ca="1">+INDIRECT("[EMPINFO.xlsm]"&amp;$O$2&amp;"!s5")</f>
        <v>0</v>
      </c>
      <c r="AC5" s="292">
        <v>1.5</v>
      </c>
      <c r="AD5" s="218">
        <f t="shared" ca="1" si="8"/>
        <v>0</v>
      </c>
      <c r="AE5" s="220">
        <f t="shared" ca="1" si="9"/>
        <v>0</v>
      </c>
      <c r="AF5" s="218">
        <f t="shared" ca="1" si="10"/>
        <v>136</v>
      </c>
      <c r="AG5" s="803">
        <f t="shared" ca="1" si="11"/>
        <v>410.44000000000005</v>
      </c>
      <c r="AH5" s="218">
        <f t="shared" ca="1" si="12"/>
        <v>164.18</v>
      </c>
      <c r="AI5" s="803">
        <f t="shared" ca="1" si="13"/>
        <v>164.18</v>
      </c>
      <c r="AJ5" s="218">
        <f t="shared" ca="1" si="14"/>
        <v>328.36</v>
      </c>
      <c r="AK5" s="803">
        <f t="shared" ca="1" si="15"/>
        <v>4.93</v>
      </c>
      <c r="AL5" s="218">
        <f t="shared" ref="AL5:AL15" ca="1" si="23">+Z5+AI5+AK5</f>
        <v>1947.6833333333325</v>
      </c>
      <c r="AM5" s="290" t="str">
        <f t="shared" ca="1" si="16"/>
        <v>C</v>
      </c>
      <c r="AN5" s="291" t="str">
        <f t="shared" ca="1" si="17"/>
        <v>FT</v>
      </c>
      <c r="AO5" s="223">
        <f ca="1">+INDIRECT("[EMPINFO.xlsm]"&amp;$O$2&amp;"!t5")</f>
        <v>28</v>
      </c>
      <c r="AP5" s="226">
        <f ca="1">+INDIRECT("[EMPINFO.xlsm]"&amp;$O$2&amp;"!o5")</f>
        <v>0.15000000000000568</v>
      </c>
      <c r="AQ5" s="840">
        <f ca="1">+INDIRECT("[EMPINFO.xlsm]"&amp;$O$2&amp;"!p5")</f>
        <v>0.15000000000000568</v>
      </c>
      <c r="AR5" s="226">
        <f ca="1">+INDIRECT("[EMPINFO.xlsm]"&amp;$O$2&amp;"!j5")</f>
        <v>28</v>
      </c>
      <c r="AS5" s="840">
        <f ca="1">+INDIRECT("[EMPINFO.xlsm]"&amp;$O$2&amp;"!k5")</f>
        <v>139.09999999999997</v>
      </c>
      <c r="AT5" s="226">
        <f ca="1">+INDIRECT("[EMPINFO.xlsm]"&amp;$O$2&amp;"!m5")</f>
        <v>0</v>
      </c>
      <c r="AU5" s="844">
        <f ca="1">+INDIRECT("[EMPINFO.xlsm]"&amp;$O$2&amp;"!n5")</f>
        <v>240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0.25</v>
      </c>
      <c r="BC5" s="289">
        <f t="shared" ca="1" si="21"/>
        <v>3700</v>
      </c>
      <c r="BD5" s="255"/>
      <c r="BE5" s="205"/>
      <c r="BG5" s="27"/>
      <c r="BH5" s="28"/>
    </row>
    <row r="6" spans="1:62" ht="15.75" customHeight="1" thickBot="1" x14ac:dyDescent="0.3">
      <c r="A6" s="54"/>
      <c r="B6" s="2" t="s">
        <v>135</v>
      </c>
      <c r="C6" s="921" t="str">
        <f>INDEX([1]!empdata,MATCH(ID,[1]!empid,0),3)</f>
        <v>Lama</v>
      </c>
      <c r="D6" s="922"/>
      <c r="E6" s="922"/>
      <c r="F6" s="886"/>
      <c r="I6" s="312" t="s">
        <v>136</v>
      </c>
      <c r="L6" s="101"/>
      <c r="M6" s="303"/>
      <c r="N6" s="211">
        <f t="shared" ca="1" si="0"/>
        <v>10.261000000000001</v>
      </c>
      <c r="O6" s="213">
        <f>+DATA!A5</f>
        <v>46082</v>
      </c>
      <c r="P6" s="219">
        <f ca="1">+INDIRECT("[EMPINFO.xlsm]"&amp;$O$2&amp;"!G6")</f>
        <v>5</v>
      </c>
      <c r="Q6" s="215">
        <f ca="1">IF(AZ6="active",INDIRECT("[EMPINFO.xlsm]"&amp;$O$2&amp;"!H6"),0)</f>
        <v>40</v>
      </c>
      <c r="R6" s="239">
        <f t="shared" ca="1" si="22"/>
        <v>10.261000000000001</v>
      </c>
      <c r="S6" s="216">
        <f t="shared" ca="1" si="1"/>
        <v>1778.5733333333324</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1899.7333333333324</v>
      </c>
      <c r="AA6" s="803">
        <f t="shared" ca="1" si="7"/>
        <v>166</v>
      </c>
      <c r="AB6" s="218">
        <f ca="1">+INDIRECT("[EMPINFO.xlsm]"&amp;$O$2&amp;"!s6")</f>
        <v>0</v>
      </c>
      <c r="AC6" s="292">
        <v>1.5</v>
      </c>
      <c r="AD6" s="218">
        <f t="shared" ca="1" si="8"/>
        <v>0</v>
      </c>
      <c r="AE6" s="220">
        <f t="shared" ca="1" si="9"/>
        <v>0</v>
      </c>
      <c r="AF6" s="218">
        <f t="shared" ca="1" si="10"/>
        <v>166</v>
      </c>
      <c r="AG6" s="803">
        <f t="shared" ca="1" si="11"/>
        <v>410.44000000000005</v>
      </c>
      <c r="AH6" s="218">
        <f t="shared" ca="1" si="12"/>
        <v>205.22</v>
      </c>
      <c r="AI6" s="803">
        <f t="shared" ca="1" si="13"/>
        <v>205.22</v>
      </c>
      <c r="AJ6" s="218">
        <f t="shared" ca="1" si="14"/>
        <v>410.44</v>
      </c>
      <c r="AK6" s="803">
        <f t="shared" ca="1" si="15"/>
        <v>6.16</v>
      </c>
      <c r="AL6" s="218">
        <f t="shared" ca="1" si="23"/>
        <v>2111.1133333333323</v>
      </c>
      <c r="AM6" s="290" t="str">
        <f t="shared" ca="1" si="16"/>
        <v>C</v>
      </c>
      <c r="AN6" s="291" t="str">
        <f t="shared" ca="1" si="17"/>
        <v>FT</v>
      </c>
      <c r="AO6" s="223">
        <f ca="1">+INDIRECT("[EMPINFO.xlsm]"&amp;$O$2&amp;"!t6")</f>
        <v>31</v>
      </c>
      <c r="AP6" s="226">
        <f ca="1">+INDIRECT("[EMPINFO.xlsm]"&amp;$O$2&amp;"!o6")</f>
        <v>-160</v>
      </c>
      <c r="AQ6" s="840">
        <f ca="1">+INDIRECT("[EMPINFO.xlsm]"&amp;$O$2&amp;"!p6")</f>
        <v>-159.85</v>
      </c>
      <c r="AR6" s="226">
        <f ca="1">+INDIRECT("[EMPINFO.xlsm]"&amp;$O$2&amp;"!j6")</f>
        <v>0</v>
      </c>
      <c r="AS6" s="840">
        <f ca="1">+INDIRECT("[EMPINFO.xlsm]"&amp;$O$2&amp;"!k6")</f>
        <v>139.09999999999997</v>
      </c>
      <c r="AT6" s="226">
        <f ca="1">+INDIRECT("[EMPINFO.xlsm]"&amp;$O$2&amp;"!m6")</f>
        <v>0</v>
      </c>
      <c r="AU6" s="844">
        <f ca="1">+INDIRECT("[EMPINFO.xlsm]"&amp;$O$2&amp;"!n6")</f>
        <v>240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0.25</v>
      </c>
      <c r="BC6" s="289">
        <f t="shared" ca="1" si="21"/>
        <v>3700</v>
      </c>
      <c r="BD6" s="255"/>
      <c r="BE6" s="206"/>
    </row>
    <row r="7" spans="1:62" ht="15.75" customHeight="1" thickBot="1" x14ac:dyDescent="0.3">
      <c r="A7" s="54"/>
      <c r="B7" s="3" t="s">
        <v>137</v>
      </c>
      <c r="C7" s="921" t="str">
        <f>INDEX([1]!empdata,MATCH(ID,[1]!empid,0),4)</f>
        <v>Elda</v>
      </c>
      <c r="D7" s="922"/>
      <c r="E7" s="922"/>
      <c r="F7" s="886"/>
      <c r="H7" s="312" t="s">
        <v>138</v>
      </c>
      <c r="I7" s="927" t="str">
        <f>INDEX([1]!empdata,MATCH(ID,[1]!empid,0),6)</f>
        <v>293733A</v>
      </c>
      <c r="J7" s="859"/>
      <c r="K7" s="857"/>
      <c r="L7" s="101"/>
      <c r="M7" s="303"/>
      <c r="N7" s="211">
        <f t="shared" ca="1" si="0"/>
        <v>10.261000000000001</v>
      </c>
      <c r="O7" s="213">
        <f>+DATA!A6</f>
        <v>46113</v>
      </c>
      <c r="P7" s="219">
        <f ca="1">+INDIRECT("[EMPINFO.xlsm]"&amp;$O$2&amp;"!G7")</f>
        <v>4</v>
      </c>
      <c r="Q7" s="215">
        <f ca="1">IF(AZ7="active",INDIRECT("[EMPINFO.xlsm]"&amp;$O$2&amp;"!H7"),0)</f>
        <v>40</v>
      </c>
      <c r="R7" s="239">
        <f t="shared" ca="1" si="22"/>
        <v>10.261000000000001</v>
      </c>
      <c r="S7" s="216">
        <f t="shared" ca="1" si="1"/>
        <v>1778.5733333333324</v>
      </c>
      <c r="T7" s="220">
        <f t="shared" ca="1" si="2"/>
        <v>0</v>
      </c>
      <c r="U7" s="218">
        <f t="shared" ca="1" si="3"/>
        <v>0</v>
      </c>
      <c r="V7" s="220">
        <f ca="1">+aproth*aprhrrt</f>
        <v>0</v>
      </c>
      <c r="W7" s="201"/>
      <c r="X7" s="218">
        <f t="shared" ca="1" si="4"/>
        <v>0</v>
      </c>
      <c r="Y7" s="803">
        <f t="shared" ca="1" si="5"/>
        <v>0</v>
      </c>
      <c r="Z7" s="218">
        <f t="shared" ca="1" si="6"/>
        <v>1778.5733333333324</v>
      </c>
      <c r="AA7" s="803">
        <f t="shared" ca="1" si="7"/>
        <v>136</v>
      </c>
      <c r="AB7" s="218">
        <f ca="1">+INDIRECT("[EMPINFO.xlsm]"&amp;$O$2&amp;"!s7")</f>
        <v>0</v>
      </c>
      <c r="AC7" s="292">
        <v>1.5</v>
      </c>
      <c r="AD7" s="218">
        <f t="shared" ca="1" si="8"/>
        <v>0</v>
      </c>
      <c r="AE7" s="220">
        <f t="shared" ca="1" si="9"/>
        <v>0</v>
      </c>
      <c r="AF7" s="218">
        <f t="shared" ca="1" si="10"/>
        <v>136</v>
      </c>
      <c r="AG7" s="803">
        <f t="shared" ca="1" si="11"/>
        <v>410.44000000000005</v>
      </c>
      <c r="AH7" s="218">
        <f t="shared" ca="1" si="12"/>
        <v>164.18</v>
      </c>
      <c r="AI7" s="803">
        <f t="shared" ca="1" si="13"/>
        <v>164.18</v>
      </c>
      <c r="AJ7" s="218">
        <f t="shared" ca="1" si="14"/>
        <v>328.36</v>
      </c>
      <c r="AK7" s="803">
        <f t="shared" ca="1" si="15"/>
        <v>4.93</v>
      </c>
      <c r="AL7" s="218">
        <f t="shared" ca="1" si="23"/>
        <v>1947.6833333333325</v>
      </c>
      <c r="AM7" s="290" t="str">
        <f t="shared" ca="1" si="16"/>
        <v>C</v>
      </c>
      <c r="AN7" s="291" t="str">
        <f t="shared" ca="1" si="17"/>
        <v>FT</v>
      </c>
      <c r="AO7" s="223">
        <f ca="1">+INDIRECT("[EMPINFO.xlsm]"&amp;$O$2&amp;"!t7")</f>
        <v>30</v>
      </c>
      <c r="AP7" s="226">
        <f ca="1">+INDIRECT("[EMPINFO.xlsm]"&amp;$O$2&amp;"!o7")</f>
        <v>-160</v>
      </c>
      <c r="AQ7" s="840">
        <f ca="1">+INDIRECT("[EMPINFO.xlsm]"&amp;$O$2&amp;"!p7")</f>
        <v>-319.85000000000002</v>
      </c>
      <c r="AR7" s="226">
        <f ca="1">+INDIRECT("[EMPINFO.xlsm]"&amp;$O$2&amp;"!j7")</f>
        <v>0</v>
      </c>
      <c r="AS7" s="840">
        <f ca="1">+INDIRECT("[EMPINFO.xlsm]"&amp;$O$2&amp;"!k7")</f>
        <v>139.09999999999997</v>
      </c>
      <c r="AT7" s="226">
        <f ca="1">+INDIRECT("[EMPINFO.xlsm]"&amp;$O$2&amp;"!m7")</f>
        <v>0</v>
      </c>
      <c r="AU7" s="844">
        <f ca="1">+INDIRECT("[EMPINFO.xlsm]"&amp;$O$2&amp;"!n7")</f>
        <v>240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0.25</v>
      </c>
      <c r="BC7" s="289">
        <f t="shared" ca="1" si="21"/>
        <v>3700</v>
      </c>
      <c r="BD7" s="255"/>
      <c r="BE7" s="206"/>
    </row>
    <row r="8" spans="1:62" ht="15.75" customHeight="1" thickBot="1" x14ac:dyDescent="0.3">
      <c r="A8" s="54"/>
      <c r="B8" s="3" t="s">
        <v>139</v>
      </c>
      <c r="C8" s="921" t="str">
        <f>INDEX([1]!empdata,MATCH(ID,[1]!empid,0),18)</f>
        <v>Nevada Court, Block A, Flat 5,</v>
      </c>
      <c r="D8" s="922"/>
      <c r="E8" s="922"/>
      <c r="F8" s="886"/>
      <c r="I8" s="312" t="s">
        <v>140</v>
      </c>
      <c r="L8" s="101"/>
      <c r="M8" s="303"/>
      <c r="N8" s="211">
        <f t="shared" ca="1" si="0"/>
        <v>10.261000000000001</v>
      </c>
      <c r="O8" s="213">
        <f>+DATA!A7</f>
        <v>46143</v>
      </c>
      <c r="P8" s="219">
        <f ca="1">+INDIRECT("[EMPINFO.xlsm]"&amp;$O$2&amp;"!G8")</f>
        <v>4</v>
      </c>
      <c r="Q8" s="215">
        <f ca="1">IF(AZ8="active",INDIRECT("[EMPINFO.xlsm]"&amp;$O$2&amp;"!H8"),0)</f>
        <v>40</v>
      </c>
      <c r="R8" s="239">
        <f t="shared" ca="1" si="22"/>
        <v>10.261000000000001</v>
      </c>
      <c r="S8" s="216">
        <f t="shared" ca="1" si="1"/>
        <v>1778.5733333333324</v>
      </c>
      <c r="T8" s="220">
        <f t="shared" ca="1" si="2"/>
        <v>0</v>
      </c>
      <c r="U8" s="218">
        <f t="shared" ca="1" si="3"/>
        <v>0</v>
      </c>
      <c r="V8" s="220">
        <f ca="1">+mayoth*mayhrrt</f>
        <v>0</v>
      </c>
      <c r="W8" s="201"/>
      <c r="X8" s="218">
        <f t="shared" ca="1" si="4"/>
        <v>0</v>
      </c>
      <c r="Y8" s="803">
        <f t="shared" ca="1" si="5"/>
        <v>0</v>
      </c>
      <c r="Z8" s="218">
        <f t="shared" ca="1" si="6"/>
        <v>1778.5733333333324</v>
      </c>
      <c r="AA8" s="803">
        <f t="shared" ca="1" si="7"/>
        <v>136</v>
      </c>
      <c r="AB8" s="218">
        <f ca="1">+INDIRECT("[EMPINFO.xlsm]"&amp;$O$2&amp;"!s8")</f>
        <v>0</v>
      </c>
      <c r="AC8" s="292">
        <v>1.5</v>
      </c>
      <c r="AD8" s="218">
        <f t="shared" ca="1" si="8"/>
        <v>0</v>
      </c>
      <c r="AE8" s="220">
        <f t="shared" ca="1" si="9"/>
        <v>0</v>
      </c>
      <c r="AF8" s="218">
        <f t="shared" ca="1" si="10"/>
        <v>136</v>
      </c>
      <c r="AG8" s="803">
        <f t="shared" ca="1" si="11"/>
        <v>410.44000000000005</v>
      </c>
      <c r="AH8" s="218">
        <f t="shared" ca="1" si="12"/>
        <v>164.18</v>
      </c>
      <c r="AI8" s="803">
        <f t="shared" ca="1" si="13"/>
        <v>164.18</v>
      </c>
      <c r="AJ8" s="218">
        <f t="shared" ca="1" si="14"/>
        <v>328.36</v>
      </c>
      <c r="AK8" s="803">
        <f t="shared" ca="1" si="15"/>
        <v>4.93</v>
      </c>
      <c r="AL8" s="218">
        <f t="shared" ca="1" si="23"/>
        <v>1947.6833333333325</v>
      </c>
      <c r="AM8" s="290" t="str">
        <f t="shared" ca="1" si="16"/>
        <v>C</v>
      </c>
      <c r="AN8" s="291" t="str">
        <f t="shared" ca="1" si="17"/>
        <v>FT</v>
      </c>
      <c r="AO8" s="223">
        <f ca="1">+INDIRECT("[EMPINFO.xlsm]"&amp;$O$2&amp;"!t8")</f>
        <v>31</v>
      </c>
      <c r="AP8" s="226">
        <f ca="1">+INDIRECT("[EMPINFO.xlsm]"&amp;$O$2&amp;"!o8")</f>
        <v>-200</v>
      </c>
      <c r="AQ8" s="840">
        <f ca="1">+INDIRECT("[EMPINFO.xlsm]"&amp;$O$2&amp;"!p8")</f>
        <v>-519.85</v>
      </c>
      <c r="AR8" s="226">
        <f ca="1">+INDIRECT("[EMPINFO.xlsm]"&amp;$O$2&amp;"!j8")</f>
        <v>0</v>
      </c>
      <c r="AS8" s="840">
        <f ca="1">+INDIRECT("[EMPINFO.xlsm]"&amp;$O$2&amp;"!k8")</f>
        <v>139.09999999999997</v>
      </c>
      <c r="AT8" s="226">
        <f ca="1">+INDIRECT("[EMPINFO.xlsm]"&amp;$O$2&amp;"!m8")</f>
        <v>0</v>
      </c>
      <c r="AU8" s="844">
        <f ca="1">+INDIRECT("[EMPINFO.xlsm]"&amp;$O$2&amp;"!n8")</f>
        <v>240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0.25</v>
      </c>
      <c r="BC8" s="289">
        <f t="shared" ca="1" si="21"/>
        <v>3700</v>
      </c>
      <c r="BD8" s="255"/>
      <c r="BE8" s="206"/>
    </row>
    <row r="9" spans="1:62" ht="15.75" customHeight="1" thickBot="1" x14ac:dyDescent="0.3">
      <c r="A9" s="54"/>
      <c r="B9" s="4" t="s">
        <v>141</v>
      </c>
      <c r="C9" s="921" t="str">
        <f>INDEX([1]!empdata,MATCH(ID,[1]!empid,0),19)</f>
        <v>Triq Apap Bologna</v>
      </c>
      <c r="D9" s="922"/>
      <c r="E9" s="922"/>
      <c r="F9" s="886"/>
      <c r="H9" s="312" t="s">
        <v>20</v>
      </c>
      <c r="I9" s="927" t="str">
        <f>INDEX([1]!empdata,MATCH(ID,[1]!empid,0),14)</f>
        <v>C68076339</v>
      </c>
      <c r="J9" s="859"/>
      <c r="K9" s="857"/>
      <c r="L9" s="101"/>
      <c r="M9" s="303"/>
      <c r="N9" s="211">
        <f t="shared" ca="1" si="0"/>
        <v>10.261000000000001</v>
      </c>
      <c r="O9" s="213">
        <f>+DATA!A8</f>
        <v>46174</v>
      </c>
      <c r="P9" s="219">
        <f ca="1">+INDIRECT("[EMPINFO.xlsm]"&amp;$O$2&amp;"!G9")</f>
        <v>5</v>
      </c>
      <c r="Q9" s="215">
        <f ca="1">IF(AZ9="active",INDIRECT("[EMPINFO.xlsm]"&amp;$O$2&amp;"!H9"),0)</f>
        <v>40</v>
      </c>
      <c r="R9" s="239">
        <f t="shared" ca="1" si="22"/>
        <v>10.261000000000001</v>
      </c>
      <c r="S9" s="216">
        <f t="shared" ca="1" si="1"/>
        <v>1778.5733333333324</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1913.6733333333323</v>
      </c>
      <c r="AA9" s="803">
        <f t="shared" ca="1" si="7"/>
        <v>170</v>
      </c>
      <c r="AB9" s="218">
        <f ca="1">+INDIRECT("[EMPINFO.xlsm]"&amp;$O$2&amp;"!s9")</f>
        <v>0</v>
      </c>
      <c r="AC9" s="292">
        <v>1.5</v>
      </c>
      <c r="AD9" s="218">
        <f t="shared" ca="1" si="8"/>
        <v>0</v>
      </c>
      <c r="AE9" s="220">
        <f t="shared" ca="1" si="9"/>
        <v>0</v>
      </c>
      <c r="AF9" s="218">
        <f t="shared" ca="1" si="10"/>
        <v>170</v>
      </c>
      <c r="AG9" s="803">
        <f t="shared" ca="1" si="11"/>
        <v>410.44000000000005</v>
      </c>
      <c r="AH9" s="218">
        <f t="shared" ca="1" si="12"/>
        <v>205.22</v>
      </c>
      <c r="AI9" s="803">
        <f t="shared" ca="1" si="13"/>
        <v>205.22</v>
      </c>
      <c r="AJ9" s="218">
        <f t="shared" ca="1" si="14"/>
        <v>410.44</v>
      </c>
      <c r="AK9" s="803">
        <f t="shared" ca="1" si="15"/>
        <v>6.16</v>
      </c>
      <c r="AL9" s="218">
        <f t="shared" ca="1" si="23"/>
        <v>2125.0533333333319</v>
      </c>
      <c r="AM9" s="290" t="str">
        <f t="shared" ca="1" si="16"/>
        <v>C</v>
      </c>
      <c r="AN9" s="291" t="str">
        <f t="shared" ca="1" si="17"/>
        <v>FT</v>
      </c>
      <c r="AO9" s="223">
        <f ca="1">+INDIRECT("[EMPINFO.xlsm]"&amp;$O$2&amp;"!t9")</f>
        <v>30</v>
      </c>
      <c r="AP9" s="226">
        <f ca="1">+INDIRECT("[EMPINFO.xlsm]"&amp;$O$2&amp;"!o9")</f>
        <v>-160</v>
      </c>
      <c r="AQ9" s="840">
        <f ca="1">+INDIRECT("[EMPINFO.xlsm]"&amp;$O$2&amp;"!p9")</f>
        <v>-679.85</v>
      </c>
      <c r="AR9" s="226">
        <f ca="1">+INDIRECT("[EMPINFO.xlsm]"&amp;$O$2&amp;"!j9")</f>
        <v>0</v>
      </c>
      <c r="AS9" s="840">
        <f ca="1">+INDIRECT("[EMPINFO.xlsm]"&amp;$O$2&amp;"!k9")</f>
        <v>139.09999999999997</v>
      </c>
      <c r="AT9" s="226">
        <f ca="1">+INDIRECT("[EMPINFO.xlsm]"&amp;$O$2&amp;"!m9")</f>
        <v>0</v>
      </c>
      <c r="AU9" s="844">
        <f ca="1">+INDIRECT("[EMPINFO.xlsm]"&amp;$O$2&amp;"!n9")</f>
        <v>240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0.25</v>
      </c>
      <c r="BC9" s="289">
        <f t="shared" ca="1" si="21"/>
        <v>3700</v>
      </c>
      <c r="BD9" s="255"/>
      <c r="BE9" s="206"/>
    </row>
    <row r="10" spans="1:62" ht="15.75" customHeight="1" thickBot="1" x14ac:dyDescent="0.3">
      <c r="A10" s="54"/>
      <c r="B10" s="5" t="s">
        <v>142</v>
      </c>
      <c r="C10" s="921" t="str">
        <f>INDEX([1]!empdata,MATCH(ID,[1]!empid,0),20)</f>
        <v>Marsascala</v>
      </c>
      <c r="D10" s="922"/>
      <c r="E10" s="922"/>
      <c r="F10" s="886"/>
      <c r="I10" s="312" t="s">
        <v>143</v>
      </c>
      <c r="L10" s="101"/>
      <c r="M10" s="303"/>
      <c r="N10" s="211">
        <f t="shared" ca="1" si="0"/>
        <v>10.261000000000001</v>
      </c>
      <c r="O10" s="213">
        <f>+DATA!A9</f>
        <v>46204</v>
      </c>
      <c r="P10" s="219">
        <f ca="1">+INDIRECT("[EMPINFO.xlsm]"&amp;$O$2&amp;"!G10")</f>
        <v>4</v>
      </c>
      <c r="Q10" s="215">
        <f ca="1">IF(AZ10="active",INDIRECT("[EMPINFO.xlsm]"&amp;$O$2&amp;"!H10"),0)</f>
        <v>40</v>
      </c>
      <c r="R10" s="239">
        <f t="shared" ca="1" si="22"/>
        <v>10.261000000000001</v>
      </c>
      <c r="S10" s="216">
        <f t="shared" ca="1" si="1"/>
        <v>1778.5733333333324</v>
      </c>
      <c r="T10" s="220">
        <f t="shared" ca="1" si="2"/>
        <v>0</v>
      </c>
      <c r="U10" s="218">
        <f t="shared" ca="1" si="3"/>
        <v>0</v>
      </c>
      <c r="V10" s="220">
        <f ca="1">+juloth*julhrrt</f>
        <v>0</v>
      </c>
      <c r="W10" s="201"/>
      <c r="X10" s="218">
        <f t="shared" ca="1" si="4"/>
        <v>0</v>
      </c>
      <c r="Y10" s="803">
        <f t="shared" ca="1" si="5"/>
        <v>0</v>
      </c>
      <c r="Z10" s="218">
        <f t="shared" ca="1" si="6"/>
        <v>1778.5733333333324</v>
      </c>
      <c r="AA10" s="803">
        <f t="shared" ca="1" si="7"/>
        <v>136</v>
      </c>
      <c r="AB10" s="218">
        <f ca="1">+INDIRECT("[EMPINFO.xlsm]"&amp;$O$2&amp;"!s10")</f>
        <v>0</v>
      </c>
      <c r="AC10" s="292">
        <v>1.5</v>
      </c>
      <c r="AD10" s="218">
        <f t="shared" ca="1" si="8"/>
        <v>0</v>
      </c>
      <c r="AE10" s="220">
        <f t="shared" ca="1" si="9"/>
        <v>0</v>
      </c>
      <c r="AF10" s="218">
        <f t="shared" ca="1" si="10"/>
        <v>136</v>
      </c>
      <c r="AG10" s="803">
        <f t="shared" ca="1" si="11"/>
        <v>410.44000000000005</v>
      </c>
      <c r="AH10" s="218">
        <f t="shared" ca="1" si="12"/>
        <v>164.18</v>
      </c>
      <c r="AI10" s="803">
        <f t="shared" ca="1" si="13"/>
        <v>164.18</v>
      </c>
      <c r="AJ10" s="218">
        <f t="shared" ca="1" si="14"/>
        <v>328.36</v>
      </c>
      <c r="AK10" s="803">
        <f t="shared" ca="1" si="15"/>
        <v>4.93</v>
      </c>
      <c r="AL10" s="218">
        <f t="shared" ca="1" si="23"/>
        <v>1947.6833333333325</v>
      </c>
      <c r="AM10" s="290" t="str">
        <f t="shared" ca="1" si="16"/>
        <v>C</v>
      </c>
      <c r="AN10" s="291" t="str">
        <f t="shared" ca="1" si="17"/>
        <v>FT</v>
      </c>
      <c r="AO10" s="223">
        <f ca="1">+INDIRECT("[EMPINFO.xlsm]"&amp;$O$2&amp;"!t10")</f>
        <v>31</v>
      </c>
      <c r="AP10" s="226">
        <f ca="1">+INDIRECT("[EMPINFO.xlsm]"&amp;$O$2&amp;"!o10")</f>
        <v>-160</v>
      </c>
      <c r="AQ10" s="840">
        <f ca="1">+INDIRECT("[EMPINFO.xlsm]"&amp;$O$2&amp;"!p10")</f>
        <v>-839.85</v>
      </c>
      <c r="AR10" s="226">
        <f ca="1">+INDIRECT("[EMPINFO.xlsm]"&amp;$O$2&amp;"!j10")</f>
        <v>0</v>
      </c>
      <c r="AS10" s="840">
        <f ca="1">+INDIRECT("[EMPINFO.xlsm]"&amp;$O$2&amp;"!k10")</f>
        <v>139.09999999999997</v>
      </c>
      <c r="AT10" s="226">
        <f ca="1">+INDIRECT("[EMPINFO.xlsm]"&amp;$O$2&amp;"!m10")</f>
        <v>0</v>
      </c>
      <c r="AU10" s="844">
        <f ca="1">+INDIRECT("[EMPINFO.xlsm]"&amp;$O$2&amp;"!n10")</f>
        <v>240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0.25</v>
      </c>
      <c r="BC10" s="289">
        <f t="shared" ca="1" si="21"/>
        <v>3700</v>
      </c>
      <c r="BD10" s="255"/>
      <c r="BE10" s="206"/>
      <c r="BF10" s="32"/>
      <c r="BH10" s="32"/>
      <c r="BI10" s="30"/>
      <c r="BJ10" s="31"/>
    </row>
    <row r="11" spans="1:62" ht="15.75" customHeight="1" thickBot="1" x14ac:dyDescent="0.3">
      <c r="A11" s="54"/>
      <c r="B11" s="6" t="s">
        <v>144</v>
      </c>
      <c r="C11" s="921" t="str">
        <f>INDEX([1]!empdata,MATCH(ID,[1]!empid,0),21)</f>
        <v>MSK2743</v>
      </c>
      <c r="D11" s="922"/>
      <c r="E11" s="922"/>
      <c r="F11" s="886"/>
      <c r="H11" s="312" t="s">
        <v>31</v>
      </c>
      <c r="I11" s="927" t="str">
        <f>INDEX([1]!empdata,MATCH(ID,[1]!empid,0),7)</f>
        <v>261247M</v>
      </c>
      <c r="J11" s="859"/>
      <c r="K11" s="857"/>
      <c r="L11" s="101"/>
      <c r="M11" s="303"/>
      <c r="N11" s="211">
        <f t="shared" ca="1" si="0"/>
        <v>10.261000000000001</v>
      </c>
      <c r="O11" s="213">
        <f>+DATA!A10</f>
        <v>46235</v>
      </c>
      <c r="P11" s="219">
        <f ca="1">+INDIRECT("[EMPINFO.xlsm]"&amp;$O$2&amp;"!G11")</f>
        <v>5</v>
      </c>
      <c r="Q11" s="215">
        <f ca="1">IF(AZ11="active",INDIRECT("[EMPINFO.xlsm]"&amp;$O$2&amp;"!H11"),0)</f>
        <v>40</v>
      </c>
      <c r="R11" s="239">
        <f t="shared" ca="1" si="22"/>
        <v>10.261000000000001</v>
      </c>
      <c r="S11" s="216">
        <f t="shared" ca="1" si="1"/>
        <v>1778.5733333333324</v>
      </c>
      <c r="T11" s="220">
        <f t="shared" ca="1" si="2"/>
        <v>0</v>
      </c>
      <c r="U11" s="218">
        <f t="shared" ca="1" si="3"/>
        <v>0</v>
      </c>
      <c r="V11" s="220">
        <f ca="1">+augoth*aughrrt</f>
        <v>0</v>
      </c>
      <c r="W11" s="201"/>
      <c r="X11" s="218">
        <f t="shared" ca="1" si="4"/>
        <v>0</v>
      </c>
      <c r="Y11" s="803">
        <f t="shared" ca="1" si="5"/>
        <v>0</v>
      </c>
      <c r="Z11" s="218">
        <f t="shared" ca="1" si="6"/>
        <v>1778.5733333333324</v>
      </c>
      <c r="AA11" s="803">
        <f t="shared" ca="1" si="7"/>
        <v>136</v>
      </c>
      <c r="AB11" s="218">
        <f ca="1">+INDIRECT("[EMPINFO.xlsm]"&amp;$O$2&amp;"!s11")</f>
        <v>0</v>
      </c>
      <c r="AC11" s="292">
        <v>1.5</v>
      </c>
      <c r="AD11" s="218">
        <f t="shared" ca="1" si="8"/>
        <v>0</v>
      </c>
      <c r="AE11" s="220">
        <f t="shared" ca="1" si="9"/>
        <v>0</v>
      </c>
      <c r="AF11" s="218">
        <f t="shared" ca="1" si="10"/>
        <v>136</v>
      </c>
      <c r="AG11" s="803">
        <f t="shared" ca="1" si="11"/>
        <v>410.44000000000005</v>
      </c>
      <c r="AH11" s="218">
        <f t="shared" ca="1" si="12"/>
        <v>205.22</v>
      </c>
      <c r="AI11" s="803">
        <f t="shared" ca="1" si="13"/>
        <v>205.22</v>
      </c>
      <c r="AJ11" s="218">
        <f t="shared" ca="1" si="14"/>
        <v>410.44</v>
      </c>
      <c r="AK11" s="803">
        <f t="shared" ca="1" si="15"/>
        <v>6.16</v>
      </c>
      <c r="AL11" s="218">
        <f t="shared" ca="1" si="23"/>
        <v>1989.9533333333325</v>
      </c>
      <c r="AM11" s="290" t="str">
        <f t="shared" ca="1" si="16"/>
        <v>C</v>
      </c>
      <c r="AN11" s="291" t="str">
        <f t="shared" ca="1" si="17"/>
        <v>FT</v>
      </c>
      <c r="AO11" s="223">
        <f ca="1">+INDIRECT("[EMPINFO.xlsm]"&amp;$O$2&amp;"!t11")</f>
        <v>31</v>
      </c>
      <c r="AP11" s="226">
        <f ca="1">+INDIRECT("[EMPINFO.xlsm]"&amp;$O$2&amp;"!o11")</f>
        <v>-200</v>
      </c>
      <c r="AQ11" s="840">
        <f ca="1">+INDIRECT("[EMPINFO.xlsm]"&amp;$O$2&amp;"!p11")</f>
        <v>-1039.8499999999999</v>
      </c>
      <c r="AR11" s="226">
        <f ca="1">+INDIRECT("[EMPINFO.xlsm]"&amp;$O$2&amp;"!j11")</f>
        <v>0</v>
      </c>
      <c r="AS11" s="840">
        <f ca="1">+INDIRECT("[EMPINFO.xlsm]"&amp;$O$2&amp;"!k11")</f>
        <v>139.09999999999997</v>
      </c>
      <c r="AT11" s="226">
        <f ca="1">+INDIRECT("[EMPINFO.xlsm]"&amp;$O$2&amp;"!m11")</f>
        <v>0</v>
      </c>
      <c r="AU11" s="844">
        <f ca="1">+INDIRECT("[EMPINFO.xlsm]"&amp;$O$2&amp;"!n11")</f>
        <v>240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0.25</v>
      </c>
      <c r="BC11" s="289">
        <f t="shared" ca="1" si="21"/>
        <v>3700</v>
      </c>
      <c r="BD11" s="255"/>
      <c r="BE11" s="206"/>
      <c r="BF11" s="27"/>
      <c r="BH11" s="27"/>
    </row>
    <row r="12" spans="1:62" ht="17.45" customHeight="1" thickBot="1" x14ac:dyDescent="0.3">
      <c r="A12" s="313"/>
      <c r="B12" s="91" t="s">
        <v>14</v>
      </c>
      <c r="C12" s="945">
        <f>INDEX([1]!empdata,MATCH(ID,[1]!empid,0),10)</f>
        <v>99556467</v>
      </c>
      <c r="D12" s="946"/>
      <c r="E12" s="946"/>
      <c r="F12" s="947"/>
      <c r="G12" s="85"/>
      <c r="H12" s="85"/>
      <c r="I12" s="85"/>
      <c r="J12" s="85"/>
      <c r="K12" s="85"/>
      <c r="L12" s="314"/>
      <c r="M12" s="303"/>
      <c r="N12" s="211">
        <f t="shared" ca="1" si="0"/>
        <v>10.261000000000001</v>
      </c>
      <c r="O12" s="213">
        <f>+DATA!A11</f>
        <v>46266</v>
      </c>
      <c r="P12" s="219">
        <f ca="1">+INDIRECT("[EMPINFO.xlsm]"&amp;$O$2&amp;"!G12")</f>
        <v>4</v>
      </c>
      <c r="Q12" s="215">
        <f ca="1">IF(AZ12="active",INDIRECT("[EMPINFO.xlsm]"&amp;$O$2&amp;"!H12"),0)</f>
        <v>40</v>
      </c>
      <c r="R12" s="239">
        <f t="shared" ca="1" si="22"/>
        <v>10.261000000000001</v>
      </c>
      <c r="S12" s="216">
        <f t="shared" ca="1" si="1"/>
        <v>1778.5733333333324</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1899.7333333333324</v>
      </c>
      <c r="AA12" s="803">
        <f t="shared" ca="1" si="7"/>
        <v>166</v>
      </c>
      <c r="AB12" s="218">
        <f ca="1">+INDIRECT("[EMPINFO.xlsm]"&amp;$O$2&amp;"!s12")</f>
        <v>0</v>
      </c>
      <c r="AC12" s="292">
        <v>1.5</v>
      </c>
      <c r="AD12" s="218">
        <f t="shared" ca="1" si="8"/>
        <v>0</v>
      </c>
      <c r="AE12" s="220">
        <f t="shared" ca="1" si="9"/>
        <v>0</v>
      </c>
      <c r="AF12" s="218">
        <f t="shared" ca="1" si="10"/>
        <v>166</v>
      </c>
      <c r="AG12" s="803">
        <f t="shared" ca="1" si="11"/>
        <v>410.44000000000005</v>
      </c>
      <c r="AH12" s="218">
        <f t="shared" ca="1" si="12"/>
        <v>164.18</v>
      </c>
      <c r="AI12" s="803">
        <f t="shared" ca="1" si="13"/>
        <v>164.18</v>
      </c>
      <c r="AJ12" s="218">
        <f t="shared" ca="1" si="14"/>
        <v>328.36</v>
      </c>
      <c r="AK12" s="803">
        <f t="shared" ca="1" si="15"/>
        <v>4.93</v>
      </c>
      <c r="AL12" s="218">
        <f t="shared" ca="1" si="23"/>
        <v>2068.8433333333323</v>
      </c>
      <c r="AM12" s="290" t="str">
        <f t="shared" ca="1" si="16"/>
        <v>C</v>
      </c>
      <c r="AN12" s="291" t="str">
        <f t="shared" ca="1" si="17"/>
        <v>FT</v>
      </c>
      <c r="AO12" s="223">
        <f ca="1">+INDIRECT("[EMPINFO.xlsm]"&amp;$O$2&amp;"!t12")</f>
        <v>30</v>
      </c>
      <c r="AP12" s="226">
        <f ca="1">+INDIRECT("[EMPINFO.xlsm]"&amp;$O$2&amp;"!o12")</f>
        <v>-160</v>
      </c>
      <c r="AQ12" s="840">
        <f ca="1">+INDIRECT("[EMPINFO.xlsm]"&amp;$O$2&amp;"!p12")</f>
        <v>-1199.8499999999999</v>
      </c>
      <c r="AR12" s="226">
        <f ca="1">+INDIRECT("[EMPINFO.xlsm]"&amp;$O$2&amp;"!j12")</f>
        <v>0</v>
      </c>
      <c r="AS12" s="840">
        <f ca="1">+INDIRECT("[EMPINFO.xlsm]"&amp;$O$2&amp;"!k12")</f>
        <v>139.09999999999997</v>
      </c>
      <c r="AT12" s="226">
        <f ca="1">+INDIRECT("[EMPINFO.xlsm]"&amp;$O$2&amp;"!m12")</f>
        <v>0</v>
      </c>
      <c r="AU12" s="844">
        <f ca="1">+INDIRECT("[EMPINFO.xlsm]"&amp;$O$2&amp;"!n12")</f>
        <v>240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0.25</v>
      </c>
      <c r="BC12" s="289">
        <f t="shared" ca="1" si="21"/>
        <v>3700</v>
      </c>
      <c r="BD12" s="255"/>
      <c r="BE12" s="206"/>
    </row>
    <row r="13" spans="1:62" ht="15.75" customHeight="1" thickBot="1" x14ac:dyDescent="0.3">
      <c r="A13" s="54"/>
      <c r="L13" s="101"/>
      <c r="M13" s="303"/>
      <c r="N13" s="211">
        <f t="shared" ca="1" si="0"/>
        <v>10.261000000000001</v>
      </c>
      <c r="O13" s="213">
        <f>+DATA!A12</f>
        <v>46296</v>
      </c>
      <c r="P13" s="219">
        <f ca="1">+INDIRECT("[EMPINFO.xlsm]"&amp;$O$2&amp;"!G13")</f>
        <v>4</v>
      </c>
      <c r="Q13" s="215">
        <f ca="1">IF(AZ13="active",INDIRECT("[EMPINFO.xlsm]"&amp;$O$2&amp;"!H13"),0)</f>
        <v>40</v>
      </c>
      <c r="R13" s="239">
        <f t="shared" ca="1" si="22"/>
        <v>10.261000000000001</v>
      </c>
      <c r="S13" s="216">
        <f t="shared" ca="1" si="1"/>
        <v>1778.5733333333324</v>
      </c>
      <c r="T13" s="220">
        <f t="shared" ca="1" si="2"/>
        <v>0</v>
      </c>
      <c r="U13" s="218">
        <f t="shared" ca="1" si="3"/>
        <v>0</v>
      </c>
      <c r="V13" s="220">
        <f ca="1">+octoth*octhrrt</f>
        <v>0</v>
      </c>
      <c r="W13" s="201"/>
      <c r="X13" s="218">
        <f t="shared" ca="1" si="4"/>
        <v>0</v>
      </c>
      <c r="Y13" s="803">
        <f t="shared" ca="1" si="5"/>
        <v>0</v>
      </c>
      <c r="Z13" s="218">
        <f t="shared" ca="1" si="6"/>
        <v>1778.5733333333324</v>
      </c>
      <c r="AA13" s="803">
        <f t="shared" ca="1" si="7"/>
        <v>136</v>
      </c>
      <c r="AB13" s="218">
        <f ca="1">+INDIRECT("[EMPINFO.xlsm]"&amp;$O$2&amp;"!s13")</f>
        <v>0</v>
      </c>
      <c r="AC13" s="292">
        <v>1.5</v>
      </c>
      <c r="AD13" s="218">
        <f t="shared" ca="1" si="8"/>
        <v>0</v>
      </c>
      <c r="AE13" s="220">
        <f t="shared" ca="1" si="9"/>
        <v>0</v>
      </c>
      <c r="AF13" s="218">
        <f t="shared" ca="1" si="10"/>
        <v>136</v>
      </c>
      <c r="AG13" s="803">
        <f t="shared" ca="1" si="11"/>
        <v>410.44000000000005</v>
      </c>
      <c r="AH13" s="218">
        <f t="shared" ca="1" si="12"/>
        <v>164.18</v>
      </c>
      <c r="AI13" s="803">
        <f t="shared" ca="1" si="13"/>
        <v>164.18</v>
      </c>
      <c r="AJ13" s="218">
        <f t="shared" ca="1" si="14"/>
        <v>328.36</v>
      </c>
      <c r="AK13" s="803">
        <f t="shared" ca="1" si="15"/>
        <v>4.93</v>
      </c>
      <c r="AL13" s="218">
        <f t="shared" ca="1" si="23"/>
        <v>1947.6833333333325</v>
      </c>
      <c r="AM13" s="290" t="str">
        <f t="shared" ca="1" si="16"/>
        <v>C</v>
      </c>
      <c r="AN13" s="291" t="str">
        <f t="shared" ca="1" si="17"/>
        <v>FT</v>
      </c>
      <c r="AO13" s="223">
        <f ca="1">+INDIRECT("[EMPINFO.xlsm]"&amp;$O$2&amp;"!t13")</f>
        <v>31</v>
      </c>
      <c r="AP13" s="226">
        <f ca="1">+INDIRECT("[EMPINFO.xlsm]"&amp;$O$2&amp;"!o13")</f>
        <v>-200</v>
      </c>
      <c r="AQ13" s="840">
        <f ca="1">+INDIRECT("[EMPINFO.xlsm]"&amp;$O$2&amp;"!p13")</f>
        <v>-1399.85</v>
      </c>
      <c r="AR13" s="226">
        <f ca="1">+INDIRECT("[EMPINFO.xlsm]"&amp;$O$2&amp;"!j13")</f>
        <v>0</v>
      </c>
      <c r="AS13" s="840">
        <f ca="1">+INDIRECT("[EMPINFO.xlsm]"&amp;$O$2&amp;"!k13")</f>
        <v>139.09999999999997</v>
      </c>
      <c r="AT13" s="226">
        <f ca="1">+INDIRECT("[EMPINFO.xlsm]"&amp;$O$2&amp;"!m13")</f>
        <v>0</v>
      </c>
      <c r="AU13" s="844">
        <f ca="1">+INDIRECT("[EMPINFO.xlsm]"&amp;$O$2&amp;"!n13")</f>
        <v>240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0.25</v>
      </c>
      <c r="BC13" s="289">
        <f t="shared" ca="1" si="21"/>
        <v>3700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10.261000000000001</v>
      </c>
      <c r="O14" s="213">
        <f>+DATA!A13</f>
        <v>46327</v>
      </c>
      <c r="P14" s="219">
        <f ca="1">+INDIRECT("[EMPINFO.xlsm]"&amp;$O$2&amp;"!G14")</f>
        <v>5</v>
      </c>
      <c r="Q14" s="215">
        <f ca="1">IF(AZ14="active",INDIRECT("[EMPINFO.xlsm]"&amp;$O$2&amp;"!H14"),0)</f>
        <v>40</v>
      </c>
      <c r="R14" s="239">
        <f t="shared" ca="1" si="22"/>
        <v>10.261000000000001</v>
      </c>
      <c r="S14" s="216">
        <f t="shared" ca="1" si="1"/>
        <v>1778.5733333333324</v>
      </c>
      <c r="T14" s="220">
        <f t="shared" ca="1" si="2"/>
        <v>0</v>
      </c>
      <c r="U14" s="218">
        <f t="shared" ca="1" si="3"/>
        <v>0</v>
      </c>
      <c r="V14" s="220">
        <f ca="1">+novoth*novhrrt</f>
        <v>0</v>
      </c>
      <c r="W14" s="201"/>
      <c r="X14" s="218">
        <f t="shared" ca="1" si="4"/>
        <v>0</v>
      </c>
      <c r="Y14" s="803">
        <f t="shared" ca="1" si="5"/>
        <v>0</v>
      </c>
      <c r="Z14" s="218">
        <f t="shared" ca="1" si="6"/>
        <v>1778.5733333333324</v>
      </c>
      <c r="AA14" s="803">
        <f t="shared" ca="1" si="7"/>
        <v>136</v>
      </c>
      <c r="AB14" s="218">
        <f ca="1">+INDIRECT("[EMPINFO.xlsm]"&amp;$O$2&amp;"!s14")</f>
        <v>0</v>
      </c>
      <c r="AC14" s="292">
        <v>1.5</v>
      </c>
      <c r="AD14" s="218">
        <f t="shared" ca="1" si="8"/>
        <v>0</v>
      </c>
      <c r="AE14" s="220">
        <f t="shared" ca="1" si="9"/>
        <v>0</v>
      </c>
      <c r="AF14" s="218">
        <f t="shared" ca="1" si="10"/>
        <v>136</v>
      </c>
      <c r="AG14" s="803">
        <f t="shared" ca="1" si="11"/>
        <v>410.44000000000005</v>
      </c>
      <c r="AH14" s="218">
        <f t="shared" ca="1" si="12"/>
        <v>205.22</v>
      </c>
      <c r="AI14" s="803">
        <f t="shared" ca="1" si="13"/>
        <v>205.22</v>
      </c>
      <c r="AJ14" s="218">
        <f t="shared" ca="1" si="14"/>
        <v>410.44</v>
      </c>
      <c r="AK14" s="803">
        <f t="shared" ca="1" si="15"/>
        <v>6.16</v>
      </c>
      <c r="AL14" s="218">
        <f t="shared" ca="1" si="23"/>
        <v>1989.9533333333325</v>
      </c>
      <c r="AM14" s="290" t="str">
        <f t="shared" ca="1" si="16"/>
        <v>C</v>
      </c>
      <c r="AN14" s="291" t="str">
        <f t="shared" ca="1" si="17"/>
        <v>FT</v>
      </c>
      <c r="AO14" s="223">
        <f ca="1">+INDIRECT("[EMPINFO.xlsm]"&amp;$O$2&amp;"!t14")</f>
        <v>30</v>
      </c>
      <c r="AP14" s="226">
        <f ca="1">+INDIRECT("[EMPINFO.xlsm]"&amp;$O$2&amp;"!o14")</f>
        <v>-160</v>
      </c>
      <c r="AQ14" s="840">
        <f ca="1">+INDIRECT("[EMPINFO.xlsm]"&amp;$O$2&amp;"!p14")</f>
        <v>-1559.85</v>
      </c>
      <c r="AR14" s="226">
        <f ca="1">+INDIRECT("[EMPINFO.xlsm]"&amp;$O$2&amp;"!j14")</f>
        <v>0</v>
      </c>
      <c r="AS14" s="840">
        <f ca="1">+INDIRECT("[EMPINFO.xlsm]"&amp;$O$2&amp;"!k14")</f>
        <v>139.09999999999997</v>
      </c>
      <c r="AT14" s="226">
        <f ca="1">+INDIRECT("[EMPINFO.xlsm]"&amp;$O$2&amp;"!m14")</f>
        <v>0</v>
      </c>
      <c r="AU14" s="844">
        <f ca="1">+INDIRECT("[EMPINFO.xlsm]"&amp;$O$2&amp;"!n14")</f>
        <v>240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0.25</v>
      </c>
      <c r="BC14" s="289">
        <f t="shared" ca="1" si="21"/>
        <v>3700</v>
      </c>
      <c r="BD14" s="255"/>
      <c r="BE14" s="206"/>
      <c r="BF14" s="32"/>
      <c r="BH14" s="32"/>
    </row>
    <row r="15" spans="1:62" ht="15.75" customHeight="1" thickBot="1" x14ac:dyDescent="0.3">
      <c r="A15" s="54"/>
      <c r="L15" s="101"/>
      <c r="M15" s="303"/>
      <c r="N15" s="211">
        <f t="shared" ca="1" si="0"/>
        <v>10.261000000000001</v>
      </c>
      <c r="O15" s="213">
        <f>+DATA!A14</f>
        <v>46357</v>
      </c>
      <c r="P15" s="219">
        <f ca="1">+INDIRECT("[EMPINFO.xlsm]"&amp;$O$2&amp;"!G15")</f>
        <v>4</v>
      </c>
      <c r="Q15" s="215">
        <f ca="1">IF(AZ15="active",INDIRECT("[EMPINFO.xlsm]"&amp;$O$2&amp;"!H15"),0)</f>
        <v>40</v>
      </c>
      <c r="R15" s="239">
        <f t="shared" ca="1" si="22"/>
        <v>10.261000000000001</v>
      </c>
      <c r="S15" s="216">
        <f t="shared" ca="1" si="1"/>
        <v>1778.5733333333324</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1913.6733333333323</v>
      </c>
      <c r="AA15" s="803">
        <f t="shared" ca="1" si="7"/>
        <v>170</v>
      </c>
      <c r="AB15" s="218">
        <f ca="1">+INDIRECT("[EMPINFO.xlsm]"&amp;$O$2&amp;"!s15")</f>
        <v>0</v>
      </c>
      <c r="AC15" s="292">
        <v>1.5</v>
      </c>
      <c r="AD15" s="218">
        <f t="shared" ca="1" si="8"/>
        <v>0</v>
      </c>
      <c r="AE15" s="220">
        <f t="shared" ca="1" si="9"/>
        <v>0</v>
      </c>
      <c r="AF15" s="218">
        <f t="shared" ca="1" si="10"/>
        <v>170</v>
      </c>
      <c r="AG15" s="803">
        <f t="shared" ca="1" si="11"/>
        <v>410.44000000000005</v>
      </c>
      <c r="AH15" s="218">
        <f t="shared" ca="1" si="12"/>
        <v>164.18</v>
      </c>
      <c r="AI15" s="803">
        <f t="shared" ca="1" si="13"/>
        <v>164.18</v>
      </c>
      <c r="AJ15" s="218">
        <f t="shared" ca="1" si="14"/>
        <v>328.36</v>
      </c>
      <c r="AK15" s="803">
        <f t="shared" ca="1" si="15"/>
        <v>4.93</v>
      </c>
      <c r="AL15" s="218">
        <f t="shared" ca="1" si="23"/>
        <v>2082.7833333333319</v>
      </c>
      <c r="AM15" s="290" t="str">
        <f t="shared" ca="1" si="16"/>
        <v>C</v>
      </c>
      <c r="AN15" s="291" t="str">
        <f t="shared" ca="1" si="17"/>
        <v>FT</v>
      </c>
      <c r="AO15" s="223">
        <f ca="1">+INDIRECT("[EMPINFO.xlsm]"&amp;$O$2&amp;"!t15")</f>
        <v>31</v>
      </c>
      <c r="AP15" s="226">
        <f ca="1">+INDIRECT("[EMPINFO.xlsm]"&amp;$O$2&amp;"!o15")</f>
        <v>-160</v>
      </c>
      <c r="AQ15" s="840">
        <f ca="1">+INDIRECT("[EMPINFO.xlsm]"&amp;$O$2&amp;"!p15")</f>
        <v>-1719.85</v>
      </c>
      <c r="AR15" s="226">
        <f ca="1">+INDIRECT("[EMPINFO.xlsm]"&amp;$O$2&amp;"!j15")</f>
        <v>0</v>
      </c>
      <c r="AS15" s="840">
        <f ca="1">+INDIRECT("[EMPINFO.xlsm]"&amp;$O$2&amp;"!k15")</f>
        <v>139.09999999999997</v>
      </c>
      <c r="AT15" s="226">
        <f ca="1">+INDIRECT("[EMPINFO.xlsm]"&amp;$O$2&amp;"!m15")</f>
        <v>0</v>
      </c>
      <c r="AU15" s="844">
        <f ca="1">+INDIRECT("[EMPINFO.xlsm]"&amp;$O$2&amp;"!n15")</f>
        <v>240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0.25</v>
      </c>
      <c r="BC15" s="289">
        <f t="shared" ca="1" si="21"/>
        <v>3700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21342.87999999999</v>
      </c>
      <c r="T16" s="221">
        <f t="shared" ca="1" si="24"/>
        <v>0</v>
      </c>
      <c r="U16" s="217">
        <f t="shared" ca="1" si="24"/>
        <v>0</v>
      </c>
      <c r="V16" s="221">
        <f t="shared" ca="1" si="24"/>
        <v>0</v>
      </c>
      <c r="W16" s="217">
        <f t="shared" ca="1" si="24"/>
        <v>512.52</v>
      </c>
      <c r="X16" s="217">
        <f t="shared" ca="1" si="24"/>
        <v>0</v>
      </c>
      <c r="Y16" s="804">
        <f t="shared" ca="1" si="24"/>
        <v>0</v>
      </c>
      <c r="Z16" s="217">
        <f t="shared" ca="1" si="24"/>
        <v>21855.399999999991</v>
      </c>
      <c r="AA16" s="804">
        <f t="shared" ca="1" si="24"/>
        <v>1760</v>
      </c>
      <c r="AB16" s="217">
        <f ca="1">+INDIRECT("[EMPINFO.xlsm]"&amp;$O$2&amp;"!S16")</f>
        <v>0</v>
      </c>
      <c r="AC16" s="221" t="s">
        <v>150</v>
      </c>
      <c r="AD16" s="217">
        <f ca="1">SUM(AD4:AD15)</f>
        <v>0</v>
      </c>
      <c r="AE16" s="221">
        <f ca="1">SUM(AE4:AE15)</f>
        <v>0</v>
      </c>
      <c r="AF16" s="217">
        <f ca="1">SUM(AF4:AF15)</f>
        <v>1760</v>
      </c>
      <c r="AG16" s="221"/>
      <c r="AH16" s="217">
        <f ca="1">SUM(AH4:AH15)</f>
        <v>2134.3200000000002</v>
      </c>
      <c r="AI16" s="803">
        <f ca="1">SUM(AI4:AI15)</f>
        <v>2134.3200000000002</v>
      </c>
      <c r="AJ16" s="217">
        <f t="shared" ca="1" si="14"/>
        <v>4268.6400000000003</v>
      </c>
      <c r="AK16" s="835">
        <f ca="1">SUM(AK4:AK15)</f>
        <v>64.079999999999984</v>
      </c>
      <c r="AL16" s="217">
        <f ca="1">+SUM(AL4:AL15)</f>
        <v>24053.799999999988</v>
      </c>
      <c r="AM16" s="298"/>
      <c r="AN16" s="297"/>
      <c r="AO16" s="224">
        <f ca="1">+INDIRECT("[EMPINFO.xlsm]"&amp;$O$2&amp;"!T16")</f>
        <v>365</v>
      </c>
      <c r="AP16" s="299">
        <f>+[1]RGaldes!O16</f>
        <v>0</v>
      </c>
      <c r="AQ16" s="841">
        <f ca="1">+INDIRECT("[EMPINFO.xlsm]"&amp;$O$2&amp;"!p16")</f>
        <v>-1719.85</v>
      </c>
      <c r="AR16" s="299"/>
      <c r="AS16" s="841">
        <f ca="1">+INDIRECT("[EMPINFO.xlsm]"&amp;$O$2&amp;"!k16")</f>
        <v>139.09999999999997</v>
      </c>
      <c r="AT16" s="299">
        <f ca="1">+INDIRECT("[EMPINFO.xlsm]"&amp;$O$2&amp;"!m16")</f>
        <v>0</v>
      </c>
      <c r="AU16" s="841">
        <f ca="1">+INDIRECT("[EMPINFO.xlsm]"&amp;$O$2&amp;"!n16")</f>
        <v>240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21855</v>
      </c>
      <c r="I17" s="456"/>
      <c r="K17" s="317" t="s">
        <v>151</v>
      </c>
      <c r="L17" s="101"/>
      <c r="M17" s="256">
        <v>10.130000000000001</v>
      </c>
      <c r="N17" s="257" t="s">
        <v>152</v>
      </c>
      <c r="O17" s="258">
        <f ca="1">+Med_Tot</f>
        <v>21855.399999999991</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-1719.85</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Lama Elda</v>
      </c>
      <c r="P19" s="374" t="str">
        <f>+IDCard</f>
        <v>293733A</v>
      </c>
      <c r="Q19" s="375" t="str">
        <f>+designation</f>
        <v>7. Sup. Dental Assistant</v>
      </c>
      <c r="R19" s="376" t="s">
        <v>156</v>
      </c>
      <c r="S19" s="377">
        <f ca="1">+S20+S23+S22+S24+S25+S26+S21</f>
        <v>1778.5733333333324</v>
      </c>
      <c r="T19" s="378" t="str">
        <f>+FS4_Status</f>
        <v>PAR</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1778.5733333333324</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328.36</v>
      </c>
      <c r="U21" s="372">
        <f ca="1">INDEX(PYRL_Summary,MATCH(O21,months,0),22)</f>
        <v>164.18</v>
      </c>
      <c r="V21" s="373">
        <f ca="1">INDEX(PYRL_Summary,MATCH(O21,months,0),23)</f>
        <v>164.18</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4.93</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21855</v>
      </c>
      <c r="I23" s="466"/>
      <c r="J23" s="318" t="s">
        <v>169</v>
      </c>
      <c r="K23" s="916"/>
      <c r="L23" s="917"/>
      <c r="N23" s="420"/>
      <c r="O23" s="344">
        <f>+ID</f>
        <v>2023008</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136</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MT41APSB77013000000049071920018</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1478.3933333333323</v>
      </c>
      <c r="V26" s="418"/>
      <c r="W26" s="73" t="s">
        <v>245</v>
      </c>
      <c r="X26" s="575"/>
    </row>
    <row r="27" spans="1:56" ht="24" customHeight="1" thickBot="1" x14ac:dyDescent="0.3">
      <c r="A27" s="54"/>
      <c r="B27" s="73" t="s">
        <v>52</v>
      </c>
      <c r="G27" s="73" t="s">
        <v>53</v>
      </c>
      <c r="H27" s="8">
        <f ca="1">IF(OR(Timer="PT", Timer="pt_casual"),0,AA16)</f>
        <v>1760</v>
      </c>
      <c r="I27" s="319" t="s">
        <v>179</v>
      </c>
      <c r="J27" s="96"/>
      <c r="L27" s="322">
        <v>0</v>
      </c>
      <c r="N27" s="421" t="s">
        <v>180</v>
      </c>
      <c r="O27" s="360" t="s">
        <v>181</v>
      </c>
      <c r="P27" s="361">
        <f>+O21-1</f>
        <v>46022</v>
      </c>
      <c r="Q27" s="362"/>
      <c r="R27" s="363" t="s">
        <v>182</v>
      </c>
      <c r="S27" s="364">
        <f ca="1">(INDEX(PYRL_Summary,MATCH(P27,months,0),33))</f>
        <v>0</v>
      </c>
      <c r="T27" s="544" t="str">
        <f>IF(Y27=0, "DO NOT INPUT HERE. USE HIGHLIGHTED ",Y27)</f>
        <v>revolut</v>
      </c>
      <c r="U27" s="545"/>
      <c r="V27" s="546"/>
      <c r="W27" s="73" t="s">
        <v>183</v>
      </c>
      <c r="Y27" s="436" t="s">
        <v>631</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167.09999999999997</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Lama Elda</v>
      </c>
      <c r="P29" s="394" t="str">
        <f>+IDCard</f>
        <v>293733A</v>
      </c>
      <c r="Q29" s="395" t="str">
        <f>+designation</f>
        <v>7. Sup. Dental Assistant</v>
      </c>
      <c r="R29" s="396" t="s">
        <v>156</v>
      </c>
      <c r="S29" s="397">
        <f ca="1">+S30+S33+S32+S34+S35+S36+S31</f>
        <v>1778.5733333333324</v>
      </c>
      <c r="T29" s="431" t="str">
        <f>+FS4_Status</f>
        <v>PAR</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1778.5733333333324</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1760</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328.36</v>
      </c>
      <c r="U31" s="358">
        <f ca="1">INDEX(PYRL_Summary,MATCH(O31,months,0),22)</f>
        <v>164.18</v>
      </c>
      <c r="V31" s="359">
        <f ca="1">INDEX(PYRL_Summary,MATCH(O31,months,0),23)</f>
        <v>164.18</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4.93</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2023008</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136</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MT41APSB77013000000049071920018</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1478.3933333333323</v>
      </c>
      <c r="V36" s="418"/>
    </row>
    <row r="37" spans="1:37" ht="25.5" customHeight="1" thickBot="1" x14ac:dyDescent="0.3">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56.900000000000006</v>
      </c>
      <c r="R37" s="354"/>
      <c r="S37" s="356"/>
      <c r="T37" s="544" t="str">
        <f>IF(Y37=0, "DO NOT INPUT HERE. USE HIGHLIGHTED ",Y37)</f>
        <v>revolut</v>
      </c>
      <c r="U37" s="545"/>
      <c r="V37" s="546"/>
      <c r="W37" s="73" t="s">
        <v>183</v>
      </c>
      <c r="Y37" s="436" t="s">
        <v>631</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0</v>
      </c>
      <c r="R38" s="410" t="s">
        <v>188</v>
      </c>
      <c r="S38" s="411">
        <f ca="1">INDEX(PYRL_Summary,MATCH(O31,months,0),33)</f>
        <v>139.09999999999997</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Lama Elda</v>
      </c>
      <c r="P39" s="374" t="str">
        <f>+IDCard</f>
        <v>293733A</v>
      </c>
      <c r="Q39" s="375" t="str">
        <f>+designation</f>
        <v>7. Sup. Dental Assistant</v>
      </c>
      <c r="R39" s="376" t="s">
        <v>156</v>
      </c>
      <c r="S39" s="377">
        <f ca="1">+S40+S43+S42+S44+S45+S46+S41</f>
        <v>1899.7333333333324</v>
      </c>
      <c r="T39" s="378" t="str">
        <f>+FS4_Status</f>
        <v>PAR</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1778.5733333333324</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410.44</v>
      </c>
      <c r="U41" s="372">
        <f ca="1">INDEX(PYRL_Summary,MATCH(O41,months,0),22)</f>
        <v>205.22</v>
      </c>
      <c r="V41" s="373">
        <f ca="1">INDEX(PYRL_Summary,MATCH(O41,months,0),23)</f>
        <v>205.22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6.16</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2023008</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166</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MT41APSB77013000000049071920018</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1528.5133333333324</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28</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0.15000000000000568</v>
      </c>
      <c r="R48" s="392" t="s">
        <v>188</v>
      </c>
      <c r="S48" s="393">
        <f ca="1">INDEX(PYRL_Summary,MATCH(O41,months,0),33)</f>
        <v>139.09999999999997</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Lama Elda</v>
      </c>
      <c r="P49" s="394" t="str">
        <f>+IDCard</f>
        <v>293733A</v>
      </c>
      <c r="Q49" s="395" t="str">
        <f>+designation</f>
        <v>7. Sup. Dental Assistant</v>
      </c>
      <c r="R49" s="396" t="s">
        <v>156</v>
      </c>
      <c r="S49" s="397">
        <f ca="1">+S50+S53+S52+S54+S55+S56+S51</f>
        <v>1778.5733333333324</v>
      </c>
      <c r="T49" s="431" t="str">
        <f>+FS4_Status</f>
        <v>PAR</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1778.5733333333324</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328.36</v>
      </c>
      <c r="U51" s="358">
        <f ca="1">INDEX(PYRL_Summary,MATCH(O51,months,0),22)</f>
        <v>164.18</v>
      </c>
      <c r="V51" s="359">
        <f ca="1">INDEX(PYRL_Summary,MATCH(O51,months,0),23)</f>
        <v>164.18</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4.93</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2023008</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136</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MT41APSB77013000000049071920018</v>
      </c>
      <c r="U55" s="890"/>
      <c r="V55" s="891"/>
    </row>
    <row r="56" spans="1:37" ht="16.5" customHeight="1" thickBot="1" x14ac:dyDescent="0.3">
      <c r="E56" s="116" t="s">
        <v>215</v>
      </c>
      <c r="F56" s="115" t="str">
        <f>INDEX([1]!empdata,MATCH(ID,[1]!empid,0),17)</f>
        <v>MT41APSB77013000000049071920018</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1478.3933333333323</v>
      </c>
      <c r="V56" s="418"/>
    </row>
    <row r="57" spans="1:37" ht="26.25" customHeight="1" thickBot="1" x14ac:dyDescent="0.3">
      <c r="E57" s="116" t="s">
        <v>216</v>
      </c>
      <c r="F57" s="340" t="str">
        <f>INDEX([1]!empdata,MATCH(ID,[1]!empid,0),12)</f>
        <v>eldalama90@gmail.com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32947</v>
      </c>
      <c r="G58" s="56"/>
      <c r="H58" s="63"/>
      <c r="N58" s="406">
        <f ca="1">INDEX(PYRL_Summary,MATCH(O51,months,0),4)</f>
        <v>4</v>
      </c>
      <c r="O58" s="407" t="s">
        <v>187</v>
      </c>
      <c r="P58" s="408">
        <f>+O41</f>
        <v>46082</v>
      </c>
      <c r="Q58" s="409">
        <f ca="1">INDEX(PYRL_Summary,MATCH(P58,months,0),31)</f>
        <v>-159.85</v>
      </c>
      <c r="R58" s="410" t="s">
        <v>188</v>
      </c>
      <c r="S58" s="411">
        <f ca="1">INDEX(PYRL_Summary,MATCH(O51,months,0),33)</f>
        <v>139.09999999999997</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45201</v>
      </c>
      <c r="G59" s="56"/>
      <c r="H59" s="63"/>
      <c r="N59" s="386">
        <f ca="1">IF(OR(INDEX(PYRL_Summary,MATCH(O61,months,0),28)="pt",INDEX(PYRL_Summary,MATCH(O61,months,0),28)="pt_casual"),0,IF(N62-N61&gt;=1,1,0))</f>
        <v>1</v>
      </c>
      <c r="O59" s="894" t="str">
        <f>Surname&amp;" "&amp;Name</f>
        <v>Lama Elda</v>
      </c>
      <c r="P59" s="374" t="str">
        <f>+IDCard</f>
        <v>293733A</v>
      </c>
      <c r="Q59" s="375" t="str">
        <f>+designation</f>
        <v>7. Sup. Dental Assistant</v>
      </c>
      <c r="R59" s="376" t="s">
        <v>156</v>
      </c>
      <c r="S59" s="377">
        <f ca="1">+S60+S63+S62+S64+S65+S66+S61</f>
        <v>1778.5733333333324</v>
      </c>
      <c r="T59" s="378" t="str">
        <f>+FS4_Status</f>
        <v>PAR</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7. Sup. Dental Assistant</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1778.5733333333324</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328.36</v>
      </c>
      <c r="U61" s="372">
        <f ca="1">INDEX(PYRL_Summary,MATCH(O61,months,0),22)</f>
        <v>164.18</v>
      </c>
      <c r="V61" s="373">
        <f ca="1">INDEX(PYRL_Summary,MATCH(O61,months,0),23)</f>
        <v>164.18</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PAR</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4.93</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2023008</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136</v>
      </c>
      <c r="X64" s="577"/>
    </row>
    <row r="65" spans="5:37" ht="15.75" customHeight="1" thickBot="1" x14ac:dyDescent="0.3">
      <c r="E65" s="925" t="s">
        <v>224</v>
      </c>
      <c r="F65" s="926"/>
      <c r="G65" s="103">
        <f ca="1">+Med_Tot</f>
        <v>21855.399999999991</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MT41APSB77013000000049071920018</v>
      </c>
      <c r="U65" s="890"/>
      <c r="V65" s="891"/>
    </row>
    <row r="66" spans="5:37" ht="16.5" customHeight="1" thickBot="1" x14ac:dyDescent="0.3">
      <c r="E66" s="952" t="s">
        <v>226</v>
      </c>
      <c r="F66" s="953"/>
      <c r="G66" s="112">
        <f ca="1">+PREVFS3+Med_Tot</f>
        <v>21855.399999999991</v>
      </c>
      <c r="H66" s="114">
        <f ca="1">IF(grossyearly&lt;F68,1,IF(grossyearly&lt;F69,2,IF(grossyearly&lt;F70,3,IF(grossyearly&lt;F71,4,5))))</f>
        <v>3</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1478.3933333333323</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PARmax1</v>
      </c>
      <c r="F68" s="66">
        <f>+VLOOKUP(E68,SStable,4,)</f>
        <v>13000</v>
      </c>
      <c r="G68" s="109">
        <f>+VLOOKUP(E68,SStable,5,)</f>
        <v>0</v>
      </c>
      <c r="H68" s="104">
        <f>+VLOOKUP(E68,SStable,6,)</f>
        <v>0</v>
      </c>
      <c r="N68" s="388">
        <f ca="1">INDEX(PYRL_Summary,MATCH(O61,months,0),4)</f>
        <v>4</v>
      </c>
      <c r="O68" s="389" t="s">
        <v>187</v>
      </c>
      <c r="P68" s="390">
        <f>+O51</f>
        <v>46113</v>
      </c>
      <c r="Q68" s="391">
        <f ca="1">INDEX(PYRL_Summary,MATCH(P68,months,0),31)</f>
        <v>-319.85000000000002</v>
      </c>
      <c r="R68" s="392" t="s">
        <v>188</v>
      </c>
      <c r="S68" s="393">
        <f ca="1">INDEX(PYRL_Summary,MATCH(O61,months,0),33)</f>
        <v>139.09999999999997</v>
      </c>
      <c r="T68" s="425" t="str">
        <f>+Clinic_add</f>
        <v>7,  Mediatrix, Sanctuary Str. Zabbar ZBR1010
8, Mediatrix, Guze Duca Str., Qormi QRM9088</v>
      </c>
      <c r="U68" s="426"/>
      <c r="V68" s="427" t="s">
        <v>189</v>
      </c>
    </row>
    <row r="69" spans="5:37" ht="27" customHeight="1" thickBot="1" x14ac:dyDescent="0.3">
      <c r="E69" s="80" t="str">
        <f>CONCATENATE(FS4_Status,"max",2)</f>
        <v>PARmax2</v>
      </c>
      <c r="F69" s="66">
        <f>+VLOOKUP(E69,SStable,4,)</f>
        <v>17500</v>
      </c>
      <c r="G69" s="109">
        <f>+VLOOKUP(E69,SStable,5,)</f>
        <v>0.15</v>
      </c>
      <c r="H69" s="104">
        <f>+VLOOKUP(E69,SStable,6,)</f>
        <v>1950</v>
      </c>
      <c r="N69" s="403">
        <f ca="1">IF(OR(INDEX(PYRL_Summary,MATCH(O71,months,0),28)="pt",INDEX(PYRL_Summary,MATCH(O71,months,0),28)="pt_casual"),0,IF(N72-N71&gt;=1,1,0))</f>
        <v>1</v>
      </c>
      <c r="O69" s="908" t="str">
        <f>Surname&amp;" "&amp;Name</f>
        <v>Lama Elda</v>
      </c>
      <c r="P69" s="394" t="str">
        <f>+IDCard</f>
        <v>293733A</v>
      </c>
      <c r="Q69" s="395" t="str">
        <f>+designation</f>
        <v>7. Sup. Dental Assistant</v>
      </c>
      <c r="R69" s="396" t="s">
        <v>156</v>
      </c>
      <c r="S69" s="397">
        <f ca="1">+S70+S73+S72+S74+S75+S76+S71</f>
        <v>1913.6733333333323</v>
      </c>
      <c r="T69" s="431" t="str">
        <f>+FS4_Status</f>
        <v>PAR</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PARmax3</v>
      </c>
      <c r="F70" s="66">
        <f>+VLOOKUP(E70,SStable,4,)</f>
        <v>60000</v>
      </c>
      <c r="G70" s="109">
        <f>+VLOOKUP(E70,SStable,5,)</f>
        <v>0.25</v>
      </c>
      <c r="H70" s="104">
        <f>+VLOOKUP(E70,SStable,6,)</f>
        <v>3700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1778.5733333333324</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PARmax4</v>
      </c>
      <c r="F71" s="66">
        <f>+VLOOKUP(E71,SStable,4,)</f>
        <v>150000</v>
      </c>
      <c r="G71" s="109">
        <f>+VLOOKUP(E71,SStable,5,)</f>
        <v>0.35</v>
      </c>
      <c r="H71" s="104">
        <f>+VLOOKUP(E71,SStable,6,)</f>
        <v>9700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410.44</v>
      </c>
      <c r="U71" s="358">
        <f ca="1">INDEX(PYRL_Summary,MATCH(O71,months,0),22)</f>
        <v>205.22</v>
      </c>
      <c r="V71" s="359">
        <f ca="1">INDEX(PYRL_Summary,MATCH(O71,months,0),23)</f>
        <v>205.22</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PARmax5</v>
      </c>
      <c r="F72" s="66" t="s">
        <v>230</v>
      </c>
      <c r="G72" s="109">
        <f>+VLOOKUP(E72,SStable,5,)</f>
        <v>0</v>
      </c>
      <c r="H72" s="104">
        <f>+VLOOKUP(E72,SStable,6,)</f>
        <v>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6.16</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2023008</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170</v>
      </c>
      <c r="X74" s="577"/>
    </row>
    <row r="75" spans="5:37" ht="15.75" customHeight="1" thickBot="1" x14ac:dyDescent="0.3">
      <c r="E75" s="293"/>
      <c r="F75" s="294" t="s">
        <v>130</v>
      </c>
      <c r="G75" s="295">
        <f ca="1">IF(AND(Timer="pt",grossyearly&lt;10000),+ptrate,IF(grossyearly&lt;$F$68,$G$68,IF(grossyearly&lt;$F$69,$G$69,IF(grossyearly&lt;$F$70,$G$70,IF(grossyearly&lt;$F$71,$G$71,$G$72)))))</f>
        <v>0.25</v>
      </c>
      <c r="H75" s="296">
        <f ca="1">IF(grossyearly&lt;$F$68,$H$68,IF(grossyearly&lt;$F$69,$H$69,IF(grossyearly&lt;$F$70,$H$70,IF(grossyearly&lt;$F$71,$H$71,$H$72))))</f>
        <v>3700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MT41APSB77013000000049071920018</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1538.4533333333322</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-519.85</v>
      </c>
      <c r="R78" s="410" t="s">
        <v>188</v>
      </c>
      <c r="S78" s="411">
        <f ca="1">INDEX(PYRL_Summary,MATCH(O71,months,0),33)</f>
        <v>139.09999999999997</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Lama Elda</v>
      </c>
      <c r="P79" s="374" t="str">
        <f>+IDCard</f>
        <v>293733A</v>
      </c>
      <c r="Q79" s="375" t="str">
        <f>+designation</f>
        <v>7. Sup. Dental Assistant</v>
      </c>
      <c r="R79" s="376" t="s">
        <v>156</v>
      </c>
      <c r="S79" s="377">
        <f ca="1">+S80+S83+S82+S84+S85+S86+S81</f>
        <v>1778.5733333333324</v>
      </c>
      <c r="T79" s="378" t="str">
        <f>+FS4_Status</f>
        <v>PAR</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1778.5733333333324</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328.36</v>
      </c>
      <c r="U81" s="372">
        <f ca="1">INDEX(PYRL_Summary,MATCH(O81,months,0),22)</f>
        <v>164.18</v>
      </c>
      <c r="V81" s="373">
        <f ca="1">INDEX(PYRL_Summary,MATCH(O81,months,0),23)</f>
        <v>164.18</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4.93</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2023008</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136</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MT41APSB77013000000049071920018</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1478.3933333333323</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139.09999999999997</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Lama Elda</v>
      </c>
      <c r="P89" s="394" t="str">
        <f>+IDCard</f>
        <v>293733A</v>
      </c>
      <c r="Q89" s="395" t="str">
        <f>+designation</f>
        <v>7. Sup. Dental Assistant</v>
      </c>
      <c r="R89" s="396" t="s">
        <v>156</v>
      </c>
      <c r="S89" s="397">
        <f ca="1">+S90+S93+S92+S94+S95+S96+S91</f>
        <v>1778.5733333333324</v>
      </c>
      <c r="T89" s="431" t="str">
        <f>+FS4_Status</f>
        <v>PAR</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1778.5733333333324</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410.44</v>
      </c>
      <c r="U91" s="358">
        <f ca="1">INDEX(PYRL_Summary,MATCH(O91,months,0),22)</f>
        <v>205.22</v>
      </c>
      <c r="V91" s="359">
        <f ca="1">INDEX(PYRL_Summary,MATCH(O91,months,0),23)</f>
        <v>205.22</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6.16</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2023008</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136</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MT41APSB77013000000049071920018</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1437.3533333333323</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-839.85</v>
      </c>
      <c r="R98" s="410" t="s">
        <v>188</v>
      </c>
      <c r="S98" s="411">
        <f ca="1">INDEX(PYRL_Summary,MATCH(O91,months,0),33)</f>
        <v>139.09999999999997</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Lama Elda</v>
      </c>
      <c r="P99" s="374" t="str">
        <f>+IDCard</f>
        <v>293733A</v>
      </c>
      <c r="Q99" s="375" t="str">
        <f>+designation</f>
        <v>7. Sup. Dental Assistant</v>
      </c>
      <c r="R99" s="376" t="s">
        <v>156</v>
      </c>
      <c r="S99" s="377">
        <f ca="1">+S100+S103+S102+S104+S105+S106+S101</f>
        <v>1899.7333333333324</v>
      </c>
      <c r="T99" s="378" t="str">
        <f>+FS4_Status</f>
        <v>PAR</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1778.5733333333324</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328.36</v>
      </c>
      <c r="U101" s="372">
        <f ca="1">INDEX(PYRL_Summary,MATCH(O101,months,0),22)</f>
        <v>164.18</v>
      </c>
      <c r="V101" s="373">
        <f ca="1">INDEX(PYRL_Summary,MATCH(O101,months,0),23)</f>
        <v>164.18</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4.93</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2023008</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166</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MT41APSB77013000000049071920018</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1569.5533333333324</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-1039.8499999999999</v>
      </c>
      <c r="R108" s="392" t="s">
        <v>188</v>
      </c>
      <c r="S108" s="393">
        <f ca="1">INDEX(PYRL_Summary,MATCH(O101,months,0),33)</f>
        <v>139.09999999999997</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Lama Elda</v>
      </c>
      <c r="P109" s="394" t="str">
        <f>+IDCard</f>
        <v>293733A</v>
      </c>
      <c r="Q109" s="395" t="str">
        <f>+designation</f>
        <v>7. Sup. Dental Assistant</v>
      </c>
      <c r="R109" s="396" t="s">
        <v>156</v>
      </c>
      <c r="S109" s="397">
        <f ca="1">+S110+S113+S112+S114+S115+S116+S111</f>
        <v>1778.5733333333324</v>
      </c>
      <c r="T109" s="431" t="str">
        <f>+FS4_Status</f>
        <v>PAR</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1778.5733333333324</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328.36</v>
      </c>
      <c r="U111" s="358">
        <f ca="1">INDEX(PYRL_Summary,MATCH(W109,months,0),22)</f>
        <v>164.18</v>
      </c>
      <c r="V111" s="359">
        <f ca="1">INDEX(PYRL_Summary,MATCH(W109,months,0),23)</f>
        <v>164.18</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4.93</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2023008</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136</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MT41APSB77013000000049071920018</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1478.3933333333323</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-1199.8499999999999</v>
      </c>
      <c r="R118" s="410" t="s">
        <v>188</v>
      </c>
      <c r="S118" s="411">
        <f ca="1">INDEX(PYRL_Summary,MATCH(W109,months,0),33)</f>
        <v>139.09999999999997</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Lama Elda</v>
      </c>
      <c r="P119" s="374" t="str">
        <f>+IDCard</f>
        <v>293733A</v>
      </c>
      <c r="Q119" s="375" t="str">
        <f>+designation</f>
        <v>7. Sup. Dental Assistant</v>
      </c>
      <c r="R119" s="376" t="s">
        <v>156</v>
      </c>
      <c r="S119" s="377">
        <f ca="1">+S120+S123+S122+S124+S125+S126+S121</f>
        <v>1778.5733333333324</v>
      </c>
      <c r="T119" s="378" t="str">
        <f>+FS4_Status</f>
        <v>PAR</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1778.5733333333324</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410.44</v>
      </c>
      <c r="U121" s="372">
        <f ca="1">INDEX(PYRL_Summary,MATCH(W119,months,0),22)</f>
        <v>205.22</v>
      </c>
      <c r="V121" s="373">
        <f ca="1">INDEX(PYRL_Summary,MATCH(W119,months,0),23)</f>
        <v>205.22</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6.16</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2023008</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136</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MT41APSB77013000000049071920018</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1437.3533333333323</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-1399.85</v>
      </c>
      <c r="R128" s="392" t="s">
        <v>188</v>
      </c>
      <c r="S128" s="393">
        <f ca="1">INDEX(PYRL_Summary,MATCH(W119,months,0),33)</f>
        <v>139.09999999999997</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Lama Elda</v>
      </c>
      <c r="P129" s="394" t="str">
        <f>+IDCard</f>
        <v>293733A</v>
      </c>
      <c r="Q129" s="395" t="str">
        <f>+designation</f>
        <v>7. Sup. Dental Assistant</v>
      </c>
      <c r="R129" s="396" t="s">
        <v>156</v>
      </c>
      <c r="S129" s="397">
        <f ca="1">+S130+S133+S132+S134+S135+S136+S131</f>
        <v>1913.6733333333323</v>
      </c>
      <c r="T129" s="431" t="str">
        <f>+FS4_Status</f>
        <v>PAR</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1778.5733333333324</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328.36</v>
      </c>
      <c r="U131" s="358">
        <f ca="1">INDEX(PYRL_Summary,MATCH(W129,months,0),22)</f>
        <v>164.18</v>
      </c>
      <c r="V131" s="359">
        <f ca="1">INDEX(PYRL_Summary,MATCH(W129,months,0),23)</f>
        <v>164.18</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4.93</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2023008</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170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MT41APSB77013000000049071920018</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1579.4933333333322</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-1559.85</v>
      </c>
      <c r="R138" s="410" t="s">
        <v>188</v>
      </c>
      <c r="S138" s="411">
        <f ca="1">INDEX(PYRL_Summary,MATCH(W129,months,0),33)</f>
        <v>139.09999999999997</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348" priority="29">
      <formula>$P25=0</formula>
    </cfRule>
  </conditionalFormatting>
  <conditionalFormatting sqref="Q25:R25">
    <cfRule type="expression" dxfId="347" priority="28">
      <formula>$R25=0</formula>
    </cfRule>
  </conditionalFormatting>
  <conditionalFormatting sqref="S25">
    <cfRule type="expression" dxfId="346" priority="27">
      <formula>$S25=0</formula>
    </cfRule>
  </conditionalFormatting>
  <conditionalFormatting sqref="S26">
    <cfRule type="expression" dxfId="345" priority="25">
      <formula>$S$46&gt;0.01</formula>
    </cfRule>
    <cfRule type="expression" dxfId="344" priority="26">
      <formula>$S$46=0</formula>
    </cfRule>
  </conditionalFormatting>
  <conditionalFormatting sqref="T23 T33 T43 T53 T63 T73 T83 T93 T103 T113 T123 T133">
    <cfRule type="expression" dxfId="343" priority="24" stopIfTrue="1">
      <formula>"$R$23=0"""</formula>
    </cfRule>
  </conditionalFormatting>
  <conditionalFormatting sqref="O26:Q26">
    <cfRule type="expression" dxfId="342" priority="23">
      <formula>$Q$26=0</formula>
    </cfRule>
  </conditionalFormatting>
  <conditionalFormatting sqref="V23">
    <cfRule type="expression" dxfId="341" priority="22">
      <formula>$V$23=0</formula>
    </cfRule>
  </conditionalFormatting>
  <conditionalFormatting sqref="O35:P35">
    <cfRule type="expression" dxfId="340" priority="21">
      <formula>$P35=0</formula>
    </cfRule>
  </conditionalFormatting>
  <conditionalFormatting sqref="Q35:R35">
    <cfRule type="expression" dxfId="339" priority="20">
      <formula>$R35=0</formula>
    </cfRule>
  </conditionalFormatting>
  <conditionalFormatting sqref="S35">
    <cfRule type="expression" dxfId="338" priority="19">
      <formula>$S35=0</formula>
    </cfRule>
  </conditionalFormatting>
  <conditionalFormatting sqref="S36">
    <cfRule type="expression" dxfId="337" priority="17">
      <formula>$S$46&gt;0.01</formula>
    </cfRule>
    <cfRule type="expression" dxfId="336" priority="18">
      <formula>$S$46=0</formula>
    </cfRule>
  </conditionalFormatting>
  <conditionalFormatting sqref="O36:Q36">
    <cfRule type="expression" dxfId="335" priority="16">
      <formula>$Q$26=0</formula>
    </cfRule>
  </conditionalFormatting>
  <conditionalFormatting sqref="V33">
    <cfRule type="expression" dxfId="334" priority="15">
      <formula>$V$23=0</formula>
    </cfRule>
  </conditionalFormatting>
  <conditionalFormatting sqref="O45:P45 O65:P65 O85:P85 O105:P105 O125:P125">
    <cfRule type="expression" dxfId="333" priority="14">
      <formula>$P45=0</formula>
    </cfRule>
  </conditionalFormatting>
  <conditionalFormatting sqref="Q45:R45 Q65:R65 Q85:R85 Q105:R105 Q125:R125">
    <cfRule type="expression" dxfId="332" priority="13">
      <formula>$R45=0</formula>
    </cfRule>
  </conditionalFormatting>
  <conditionalFormatting sqref="S45 S65 S85 S105 S125">
    <cfRule type="expression" dxfId="331" priority="12">
      <formula>$S45=0</formula>
    </cfRule>
  </conditionalFormatting>
  <conditionalFormatting sqref="S46 S66 S86 S106 S126">
    <cfRule type="expression" dxfId="330" priority="10">
      <formula>$S$46&gt;0.01</formula>
    </cfRule>
    <cfRule type="expression" dxfId="329" priority="11">
      <formula>$S$46=0</formula>
    </cfRule>
  </conditionalFormatting>
  <conditionalFormatting sqref="O46:Q46 O66:Q66 O86:Q86 O106:Q106 O126:Q126">
    <cfRule type="expression" dxfId="328" priority="9">
      <formula>$Q$26=0</formula>
    </cfRule>
  </conditionalFormatting>
  <conditionalFormatting sqref="V43 V63 V83 V103 V123">
    <cfRule type="expression" dxfId="327" priority="8">
      <formula>$V$23=0</formula>
    </cfRule>
  </conditionalFormatting>
  <conditionalFormatting sqref="O55:P55 O75:P75 O95:P95 O115:P115 O135:P135">
    <cfRule type="expression" dxfId="326" priority="7">
      <formula>$P55=0</formula>
    </cfRule>
  </conditionalFormatting>
  <conditionalFormatting sqref="Q55:R55 Q75:R75 Q95:R95 Q115:R115 Q135:R135">
    <cfRule type="expression" dxfId="325" priority="6">
      <formula>$R55=0</formula>
    </cfRule>
  </conditionalFormatting>
  <conditionalFormatting sqref="S55 S75 S95 S115 S135">
    <cfRule type="expression" dxfId="324" priority="5">
      <formula>$S55=0</formula>
    </cfRule>
  </conditionalFormatting>
  <conditionalFormatting sqref="S56 S76 S96 S116 S136">
    <cfRule type="expression" dxfId="323" priority="3">
      <formula>$S$46&gt;0.01</formula>
    </cfRule>
    <cfRule type="expression" dxfId="322" priority="4">
      <formula>$S$46=0</formula>
    </cfRule>
  </conditionalFormatting>
  <conditionalFormatting sqref="O56:Q56 O76:Q76 O96:Q96 O116:Q116 O136:Q136">
    <cfRule type="expression" dxfId="321" priority="2">
      <formula>$Q$26=0</formula>
    </cfRule>
  </conditionalFormatting>
  <conditionalFormatting sqref="V53 V73 V93 V113 V133">
    <cfRule type="expression" dxfId="320" priority="1">
      <formula>$V$23=0</formula>
    </cfRule>
  </conditionalFormatting>
  <hyperlinks>
    <hyperlink ref="F57" r:id="rId1" display="drchrisgauci@gmail.com" xr:uid="{00000000-0004-0000-0F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9729"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9730"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9731"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9732"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9733"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9734"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9735"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9736"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9737"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9738"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9739"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9740"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9741"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4">
    <tabColor rgb="FF7030A0"/>
  </sheetPr>
  <dimension ref="A1:BJ149"/>
  <sheetViews>
    <sheetView topLeftCell="H25" workbookViewId="0">
      <selection activeCell="Y37" sqref="Y37"/>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8.285156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MAcero_Garzon</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2025001</v>
      </c>
      <c r="O2" s="810" t="str">
        <f>CONCATENATE(LEFT(Name,1),Surname)</f>
        <v>MAcero_Garzon</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9.8699999999999992</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10.000999999999999</v>
      </c>
      <c r="O4" s="213">
        <f>+DATA!A3</f>
        <v>46023</v>
      </c>
      <c r="P4" s="219">
        <f ca="1">+INDIRECT("[EMPINFO.xlsm]"&amp;$O$2&amp;"!G4")</f>
        <v>4</v>
      </c>
      <c r="Q4" s="215">
        <f ca="1">IF(AZ4="active",INDIRECT("[EMPINFO.xlsm]"&amp;$O$2&amp;"!H4"),0)</f>
        <v>40</v>
      </c>
      <c r="R4" s="239">
        <f ca="1">IF(AZ4&lt;&gt;"active",0,N3+COLA)</f>
        <v>10.000999999999999</v>
      </c>
      <c r="S4" s="216">
        <f t="shared" ref="S4:S15" ca="1" si="1">+Q4*R4*4.33333333333333*AO4/AX4</f>
        <v>1733.5066666666653</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1733.5066666666653</v>
      </c>
      <c r="AA4" s="803">
        <f t="shared" ref="AA4:AA15" ca="1" si="7">IF(OR(AN4="PT",AN4="PT_Casual"),TRUNC((Z4*PT_Rate),0),(TRUNC((Z4*BB4)-(BC4/12),0)))</f>
        <v>150</v>
      </c>
      <c r="AB4" s="218">
        <f ca="1">+INDIRECT("[EMPINFO.xlsm]"&amp;$O$2&amp;"!s4")</f>
        <v>0</v>
      </c>
      <c r="AC4" s="292">
        <v>1.5</v>
      </c>
      <c r="AD4" s="218">
        <f t="shared" ref="AD4:AD15" ca="1" si="8">+AB4*(R4*AC4)</f>
        <v>0</v>
      </c>
      <c r="AE4" s="220">
        <f t="shared" ref="AE4:AE15" ca="1" si="9">+TRUNC((AD4*0.15),0)</f>
        <v>0</v>
      </c>
      <c r="AF4" s="218">
        <f t="shared" ref="AF4:AF15" ca="1" si="10">+AA4+AE4</f>
        <v>150</v>
      </c>
      <c r="AG4" s="803">
        <f t="shared" ref="AG4:AG15" ca="1" si="11">+R4*Q4</f>
        <v>400.03999999999996</v>
      </c>
      <c r="AH4" s="218">
        <f t="shared" ref="AH4:AH15" ca="1" si="12">ROUND(IF(AN4="",0,IF(OR(AN4="PT",AN4="PT_Casual"),0,IF(AM4="B",ROUND(SSCBemployermultiplier*P4,2),IF(AM4="c",SOCSECCRATE*AG4*P4,IF(AM4="D",ROUND(socsecrateD*P4,2)))))),2)</f>
        <v>160.02000000000001</v>
      </c>
      <c r="AI4" s="803">
        <f t="shared" ref="AI4:AI15" ca="1" si="13">ROUND(IF(AN4="",0,IF(OR(AN4="PT",AN4="PT_Casual"),0,IF(AM4="B",ROUND(SSCBemployermultiplier*P4,2),IF(AM4="c",SOCSECCRATE*AG4*P4,IF(AM4="D",ROUND(socsecrateD*P4,2)))))),2)</f>
        <v>160.02000000000001</v>
      </c>
      <c r="AJ4" s="218">
        <f t="shared" ref="AJ4:AJ16" ca="1" si="14">+AH4+AI4</f>
        <v>320.04000000000002</v>
      </c>
      <c r="AK4" s="803">
        <f t="shared" ref="AK4:AK15" ca="1" si="15">ROUND(IF(AN4="",0,IF(OR(AN4="PT",AN4="PT_Casual"),0,IF(AM4="B",SSCBmlfmultiplier*P4,IF(AM4="c",SSCCmlfmultiplier*P4*AG4,IF(AM4="D",SSCDmlfmultiplier*P4))))),2)</f>
        <v>4.8</v>
      </c>
      <c r="AL4" s="218">
        <f ca="1">+Z4+AH4+AK4</f>
        <v>1898.3266666666652</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1.7763568394002505E-14</v>
      </c>
      <c r="AQ4" s="840">
        <f ca="1">+INDIRECT("[EMPINFO.xlsm]"&amp;$O$2&amp;"!p4")</f>
        <v>1.7763568394002505E-14</v>
      </c>
      <c r="AR4" s="226">
        <f ca="1">+INDIRECT("[EMPINFO.xlsm]"&amp;$O$2&amp;"!j4")</f>
        <v>27.55</v>
      </c>
      <c r="AS4" s="840">
        <f ca="1">+INDIRECT("[EMPINFO.xlsm]"&amp;$O$2&amp;"!k4")</f>
        <v>196.44999999999996</v>
      </c>
      <c r="AT4" s="226">
        <f ca="1">+INDIRECT("[EMPINFO.xlsm]"&amp;$O$2&amp;"!m4")</f>
        <v>0</v>
      </c>
      <c r="AU4" s="844">
        <f ca="1">+INDIRECT("[EMPINFO.xlsm]"&amp;$O$2&amp;"!n4")</f>
        <v>240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0.25</v>
      </c>
      <c r="BC4" s="289">
        <f t="shared" ref="BC4:BC15" ca="1" si="21">IF((Z4*12)&lt;$F$68,$H$68,IF((Z4*12)&lt;$F$69,$H$69,IF((Z4*12)&lt;$F$70,$H$70,IF((Z4*12)&lt;$F$71,$H$71,$H$72))))</f>
        <v>3400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10.000999999999999</v>
      </c>
      <c r="O5" s="213">
        <f>+DATA!A4</f>
        <v>46054</v>
      </c>
      <c r="P5" s="219">
        <f ca="1">+INDIRECT("[EMPINFO.xlsm]"&amp;$O$2&amp;"!G5")</f>
        <v>4</v>
      </c>
      <c r="Q5" s="215">
        <f ca="1">IF(AZ5="active",INDIRECT("[EMPINFO.xlsm]"&amp;$O$2&amp;"!H5"),0)</f>
        <v>40</v>
      </c>
      <c r="R5" s="239">
        <f t="shared" ref="R5:R15" ca="1" si="22">+R4</f>
        <v>10.000999999999999</v>
      </c>
      <c r="S5" s="216">
        <f t="shared" ca="1" si="1"/>
        <v>1733.5066666666655</v>
      </c>
      <c r="T5" s="220">
        <f t="shared" ca="1" si="2"/>
        <v>0</v>
      </c>
      <c r="U5" s="218">
        <f t="shared" ca="1" si="3"/>
        <v>0</v>
      </c>
      <c r="V5" s="220">
        <f ca="1">+feboth*febhrrt</f>
        <v>0</v>
      </c>
      <c r="W5" s="201"/>
      <c r="X5" s="218">
        <f t="shared" ca="1" si="4"/>
        <v>0</v>
      </c>
      <c r="Y5" s="803">
        <f t="shared" ca="1" si="5"/>
        <v>0</v>
      </c>
      <c r="Z5" s="218">
        <f t="shared" ca="1" si="6"/>
        <v>1733.5066666666655</v>
      </c>
      <c r="AA5" s="803">
        <f t="shared" ca="1" si="7"/>
        <v>150</v>
      </c>
      <c r="AB5" s="218">
        <f ca="1">+INDIRECT("[EMPINFO.xlsm]"&amp;$O$2&amp;"!s5")</f>
        <v>0</v>
      </c>
      <c r="AC5" s="292">
        <v>1.5</v>
      </c>
      <c r="AD5" s="218">
        <f t="shared" ca="1" si="8"/>
        <v>0</v>
      </c>
      <c r="AE5" s="220">
        <f t="shared" ca="1" si="9"/>
        <v>0</v>
      </c>
      <c r="AF5" s="218">
        <f t="shared" ca="1" si="10"/>
        <v>150</v>
      </c>
      <c r="AG5" s="803">
        <f t="shared" ca="1" si="11"/>
        <v>400.03999999999996</v>
      </c>
      <c r="AH5" s="218">
        <f t="shared" ca="1" si="12"/>
        <v>160.02000000000001</v>
      </c>
      <c r="AI5" s="803">
        <f t="shared" ca="1" si="13"/>
        <v>160.02000000000001</v>
      </c>
      <c r="AJ5" s="218">
        <f t="shared" ca="1" si="14"/>
        <v>320.04000000000002</v>
      </c>
      <c r="AK5" s="803">
        <f t="shared" ca="1" si="15"/>
        <v>4.8</v>
      </c>
      <c r="AL5" s="218">
        <f t="shared" ref="AL5:AL15" ca="1" si="23">+Z5+AI5+AK5</f>
        <v>1898.3266666666655</v>
      </c>
      <c r="AM5" s="290" t="str">
        <f t="shared" ca="1" si="16"/>
        <v>C</v>
      </c>
      <c r="AN5" s="291" t="str">
        <f t="shared" ca="1" si="17"/>
        <v>FT</v>
      </c>
      <c r="AO5" s="223">
        <f ca="1">+INDIRECT("[EMPINFO.xlsm]"&amp;$O$2&amp;"!t5")</f>
        <v>28</v>
      </c>
      <c r="AP5" s="226">
        <f ca="1">+INDIRECT("[EMPINFO.xlsm]"&amp;$O$2&amp;"!o5")</f>
        <v>0.75</v>
      </c>
      <c r="AQ5" s="840">
        <f ca="1">+INDIRECT("[EMPINFO.xlsm]"&amp;$O$2&amp;"!p5")</f>
        <v>0.75000000000001776</v>
      </c>
      <c r="AR5" s="226">
        <f ca="1">+INDIRECT("[EMPINFO.xlsm]"&amp;$O$2&amp;"!j5")</f>
        <v>8.5</v>
      </c>
      <c r="AS5" s="840">
        <f ca="1">+INDIRECT("[EMPINFO.xlsm]"&amp;$O$2&amp;"!k5")</f>
        <v>187.94999999999996</v>
      </c>
      <c r="AT5" s="226">
        <f ca="1">+INDIRECT("[EMPINFO.xlsm]"&amp;$O$2&amp;"!m5")</f>
        <v>15</v>
      </c>
      <c r="AU5" s="844">
        <f ca="1">+INDIRECT("[EMPINFO.xlsm]"&amp;$O$2&amp;"!n5")</f>
        <v>225</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0.25</v>
      </c>
      <c r="BC5" s="289">
        <f t="shared" ca="1" si="21"/>
        <v>3400</v>
      </c>
      <c r="BD5" s="255"/>
      <c r="BE5" s="205"/>
      <c r="BG5" s="27"/>
      <c r="BH5" s="28"/>
    </row>
    <row r="6" spans="1:62" ht="15.75" customHeight="1" thickBot="1" x14ac:dyDescent="0.3">
      <c r="A6" s="54"/>
      <c r="B6" s="2" t="s">
        <v>135</v>
      </c>
      <c r="C6" s="921" t="str">
        <f>INDEX([1]!empdata,MATCH(ID,[1]!empid,0),3)</f>
        <v>Acero_Garzon</v>
      </c>
      <c r="D6" s="922"/>
      <c r="E6" s="922"/>
      <c r="F6" s="886"/>
      <c r="I6" s="312" t="s">
        <v>136</v>
      </c>
      <c r="L6" s="101"/>
      <c r="M6" s="303"/>
      <c r="N6" s="211">
        <f t="shared" ca="1" si="0"/>
        <v>10.000999999999999</v>
      </c>
      <c r="O6" s="213">
        <f>+DATA!A5</f>
        <v>46082</v>
      </c>
      <c r="P6" s="219">
        <f ca="1">+INDIRECT("[EMPINFO.xlsm]"&amp;$O$2&amp;"!G6")</f>
        <v>5</v>
      </c>
      <c r="Q6" s="215">
        <f ca="1">IF(AZ6="active",INDIRECT("[EMPINFO.xlsm]"&amp;$O$2&amp;"!H6"),0)</f>
        <v>40</v>
      </c>
      <c r="R6" s="239">
        <f t="shared" ca="1" si="22"/>
        <v>10.000999999999999</v>
      </c>
      <c r="S6" s="216">
        <f t="shared" ca="1" si="1"/>
        <v>1733.5066666666653</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1854.6666666666654</v>
      </c>
      <c r="AA6" s="803">
        <f t="shared" ca="1" si="7"/>
        <v>180</v>
      </c>
      <c r="AB6" s="218">
        <f ca="1">+INDIRECT("[EMPINFO.xlsm]"&amp;$O$2&amp;"!s6")</f>
        <v>0</v>
      </c>
      <c r="AC6" s="292">
        <v>1.5</v>
      </c>
      <c r="AD6" s="218">
        <f t="shared" ca="1" si="8"/>
        <v>0</v>
      </c>
      <c r="AE6" s="220">
        <f t="shared" ca="1" si="9"/>
        <v>0</v>
      </c>
      <c r="AF6" s="218">
        <f t="shared" ca="1" si="10"/>
        <v>180</v>
      </c>
      <c r="AG6" s="803">
        <f t="shared" ca="1" si="11"/>
        <v>400.03999999999996</v>
      </c>
      <c r="AH6" s="218">
        <f t="shared" ca="1" si="12"/>
        <v>200.02</v>
      </c>
      <c r="AI6" s="803">
        <f t="shared" ca="1" si="13"/>
        <v>200.02</v>
      </c>
      <c r="AJ6" s="218">
        <f t="shared" ca="1" si="14"/>
        <v>400.04</v>
      </c>
      <c r="AK6" s="803">
        <f t="shared" ca="1" si="15"/>
        <v>6</v>
      </c>
      <c r="AL6" s="218">
        <f t="shared" ca="1" si="23"/>
        <v>2060.6866666666656</v>
      </c>
      <c r="AM6" s="290" t="str">
        <f t="shared" ca="1" si="16"/>
        <v>C</v>
      </c>
      <c r="AN6" s="291" t="str">
        <f t="shared" ca="1" si="17"/>
        <v>FT</v>
      </c>
      <c r="AO6" s="223">
        <f ca="1">+INDIRECT("[EMPINFO.xlsm]"&amp;$O$2&amp;"!t6")</f>
        <v>31</v>
      </c>
      <c r="AP6" s="226">
        <f ca="1">+INDIRECT("[EMPINFO.xlsm]"&amp;$O$2&amp;"!o6")</f>
        <v>-160</v>
      </c>
      <c r="AQ6" s="840">
        <f ca="1">+INDIRECT("[EMPINFO.xlsm]"&amp;$O$2&amp;"!p6")</f>
        <v>-159.24999999999997</v>
      </c>
      <c r="AR6" s="226">
        <f ca="1">+INDIRECT("[EMPINFO.xlsm]"&amp;$O$2&amp;"!j6")</f>
        <v>0</v>
      </c>
      <c r="AS6" s="840">
        <f ca="1">+INDIRECT("[EMPINFO.xlsm]"&amp;$O$2&amp;"!k6")</f>
        <v>187.94999999999996</v>
      </c>
      <c r="AT6" s="226">
        <f ca="1">+INDIRECT("[EMPINFO.xlsm]"&amp;$O$2&amp;"!m6")</f>
        <v>0</v>
      </c>
      <c r="AU6" s="844">
        <f ca="1">+INDIRECT("[EMPINFO.xlsm]"&amp;$O$2&amp;"!n6")</f>
        <v>225</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0.25</v>
      </c>
      <c r="BC6" s="289">
        <f t="shared" ca="1" si="21"/>
        <v>3400</v>
      </c>
      <c r="BD6" s="255"/>
      <c r="BE6" s="206"/>
    </row>
    <row r="7" spans="1:62" ht="15.75" customHeight="1" thickBot="1" x14ac:dyDescent="0.3">
      <c r="A7" s="54"/>
      <c r="B7" s="3" t="s">
        <v>137</v>
      </c>
      <c r="C7" s="921" t="str">
        <f>INDEX([1]!empdata,MATCH(ID,[1]!empid,0),4)</f>
        <v>Maria_Cristina</v>
      </c>
      <c r="D7" s="922"/>
      <c r="E7" s="922"/>
      <c r="F7" s="886"/>
      <c r="H7" s="312" t="s">
        <v>138</v>
      </c>
      <c r="I7" s="927" t="str">
        <f>INDEX([1]!empdata,MATCH(ID,[1]!empid,0),6)</f>
        <v>469971A</v>
      </c>
      <c r="J7" s="859"/>
      <c r="K7" s="857"/>
      <c r="L7" s="101"/>
      <c r="M7" s="303"/>
      <c r="N7" s="211">
        <f t="shared" ca="1" si="0"/>
        <v>10.000999999999999</v>
      </c>
      <c r="O7" s="213">
        <f>+DATA!A6</f>
        <v>46113</v>
      </c>
      <c r="P7" s="219">
        <f ca="1">+INDIRECT("[EMPINFO.xlsm]"&amp;$O$2&amp;"!G7")</f>
        <v>4</v>
      </c>
      <c r="Q7" s="215">
        <f ca="1">IF(AZ7="active",INDIRECT("[EMPINFO.xlsm]"&amp;$O$2&amp;"!H7"),0)</f>
        <v>40</v>
      </c>
      <c r="R7" s="239">
        <f t="shared" ca="1" si="22"/>
        <v>10.000999999999999</v>
      </c>
      <c r="S7" s="216">
        <f t="shared" ca="1" si="1"/>
        <v>1733.5066666666653</v>
      </c>
      <c r="T7" s="220">
        <f t="shared" ca="1" si="2"/>
        <v>0</v>
      </c>
      <c r="U7" s="218">
        <f t="shared" ca="1" si="3"/>
        <v>0</v>
      </c>
      <c r="V7" s="220">
        <f ca="1">+aproth*aprhrrt</f>
        <v>0</v>
      </c>
      <c r="W7" s="201"/>
      <c r="X7" s="218">
        <f t="shared" ca="1" si="4"/>
        <v>0</v>
      </c>
      <c r="Y7" s="803">
        <f t="shared" ca="1" si="5"/>
        <v>0</v>
      </c>
      <c r="Z7" s="218">
        <f t="shared" ca="1" si="6"/>
        <v>1733.5066666666653</v>
      </c>
      <c r="AA7" s="803">
        <f t="shared" ca="1" si="7"/>
        <v>150</v>
      </c>
      <c r="AB7" s="218">
        <f ca="1">+INDIRECT("[EMPINFO.xlsm]"&amp;$O$2&amp;"!s7")</f>
        <v>0</v>
      </c>
      <c r="AC7" s="292">
        <v>1.5</v>
      </c>
      <c r="AD7" s="218">
        <f t="shared" ca="1" si="8"/>
        <v>0</v>
      </c>
      <c r="AE7" s="220">
        <f t="shared" ca="1" si="9"/>
        <v>0</v>
      </c>
      <c r="AF7" s="218">
        <f t="shared" ca="1" si="10"/>
        <v>150</v>
      </c>
      <c r="AG7" s="803">
        <f t="shared" ca="1" si="11"/>
        <v>400.03999999999996</v>
      </c>
      <c r="AH7" s="218">
        <f t="shared" ca="1" si="12"/>
        <v>160.02000000000001</v>
      </c>
      <c r="AI7" s="803">
        <f t="shared" ca="1" si="13"/>
        <v>160.02000000000001</v>
      </c>
      <c r="AJ7" s="218">
        <f t="shared" ca="1" si="14"/>
        <v>320.04000000000002</v>
      </c>
      <c r="AK7" s="803">
        <f t="shared" ca="1" si="15"/>
        <v>4.8</v>
      </c>
      <c r="AL7" s="218">
        <f t="shared" ca="1" si="23"/>
        <v>1898.3266666666652</v>
      </c>
      <c r="AM7" s="290" t="str">
        <f t="shared" ca="1" si="16"/>
        <v>C</v>
      </c>
      <c r="AN7" s="291" t="str">
        <f t="shared" ca="1" si="17"/>
        <v>FT</v>
      </c>
      <c r="AO7" s="223">
        <f ca="1">+INDIRECT("[EMPINFO.xlsm]"&amp;$O$2&amp;"!t7")</f>
        <v>30</v>
      </c>
      <c r="AP7" s="226">
        <f ca="1">+INDIRECT("[EMPINFO.xlsm]"&amp;$O$2&amp;"!o7")</f>
        <v>-160</v>
      </c>
      <c r="AQ7" s="840">
        <f ca="1">+INDIRECT("[EMPINFO.xlsm]"&amp;$O$2&amp;"!p7")</f>
        <v>-319.25</v>
      </c>
      <c r="AR7" s="226">
        <f ca="1">+INDIRECT("[EMPINFO.xlsm]"&amp;$O$2&amp;"!j7")</f>
        <v>0</v>
      </c>
      <c r="AS7" s="840">
        <f ca="1">+INDIRECT("[EMPINFO.xlsm]"&amp;$O$2&amp;"!k7")</f>
        <v>187.94999999999996</v>
      </c>
      <c r="AT7" s="226">
        <f ca="1">+INDIRECT("[EMPINFO.xlsm]"&amp;$O$2&amp;"!m7")</f>
        <v>0</v>
      </c>
      <c r="AU7" s="844">
        <f ca="1">+INDIRECT("[EMPINFO.xlsm]"&amp;$O$2&amp;"!n7")</f>
        <v>225</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0.25</v>
      </c>
      <c r="BC7" s="289">
        <f t="shared" ca="1" si="21"/>
        <v>3400</v>
      </c>
      <c r="BD7" s="255"/>
      <c r="BE7" s="206"/>
    </row>
    <row r="8" spans="1:62" ht="15.75" customHeight="1" thickBot="1" x14ac:dyDescent="0.3">
      <c r="A8" s="54"/>
      <c r="B8" s="3" t="s">
        <v>139</v>
      </c>
      <c r="C8" s="921" t="str">
        <f>INDEX([1]!empdata,MATCH(ID,[1]!empid,0),18)</f>
        <v>9, Central Court, Apt 4B</v>
      </c>
      <c r="D8" s="922"/>
      <c r="E8" s="922"/>
      <c r="F8" s="886"/>
      <c r="I8" s="312" t="s">
        <v>140</v>
      </c>
      <c r="L8" s="101"/>
      <c r="M8" s="303"/>
      <c r="N8" s="211">
        <f t="shared" ca="1" si="0"/>
        <v>10.000999999999999</v>
      </c>
      <c r="O8" s="213">
        <f>+DATA!A7</f>
        <v>46143</v>
      </c>
      <c r="P8" s="219">
        <f ca="1">+INDIRECT("[EMPINFO.xlsm]"&amp;$O$2&amp;"!G8")</f>
        <v>4</v>
      </c>
      <c r="Q8" s="215">
        <f ca="1">IF(AZ8="active",INDIRECT("[EMPINFO.xlsm]"&amp;$O$2&amp;"!H8"),0)</f>
        <v>40</v>
      </c>
      <c r="R8" s="239">
        <f t="shared" ca="1" si="22"/>
        <v>10.000999999999999</v>
      </c>
      <c r="S8" s="216">
        <f t="shared" ca="1" si="1"/>
        <v>1733.5066666666653</v>
      </c>
      <c r="T8" s="220">
        <f t="shared" ca="1" si="2"/>
        <v>0</v>
      </c>
      <c r="U8" s="218">
        <f t="shared" ca="1" si="3"/>
        <v>0</v>
      </c>
      <c r="V8" s="220">
        <f ca="1">+mayoth*mayhrrt</f>
        <v>0</v>
      </c>
      <c r="W8" s="201"/>
      <c r="X8" s="218">
        <f t="shared" ca="1" si="4"/>
        <v>0</v>
      </c>
      <c r="Y8" s="803">
        <f t="shared" ca="1" si="5"/>
        <v>0</v>
      </c>
      <c r="Z8" s="218">
        <f t="shared" ca="1" si="6"/>
        <v>1733.5066666666653</v>
      </c>
      <c r="AA8" s="803">
        <f t="shared" ca="1" si="7"/>
        <v>150</v>
      </c>
      <c r="AB8" s="218">
        <f ca="1">+INDIRECT("[EMPINFO.xlsm]"&amp;$O$2&amp;"!s8")</f>
        <v>0</v>
      </c>
      <c r="AC8" s="292">
        <v>1.5</v>
      </c>
      <c r="AD8" s="218">
        <f t="shared" ca="1" si="8"/>
        <v>0</v>
      </c>
      <c r="AE8" s="220">
        <f t="shared" ca="1" si="9"/>
        <v>0</v>
      </c>
      <c r="AF8" s="218">
        <f t="shared" ca="1" si="10"/>
        <v>150</v>
      </c>
      <c r="AG8" s="803">
        <f t="shared" ca="1" si="11"/>
        <v>400.03999999999996</v>
      </c>
      <c r="AH8" s="218">
        <f t="shared" ca="1" si="12"/>
        <v>160.02000000000001</v>
      </c>
      <c r="AI8" s="803">
        <f t="shared" ca="1" si="13"/>
        <v>160.02000000000001</v>
      </c>
      <c r="AJ8" s="218">
        <f t="shared" ca="1" si="14"/>
        <v>320.04000000000002</v>
      </c>
      <c r="AK8" s="803">
        <f t="shared" ca="1" si="15"/>
        <v>4.8</v>
      </c>
      <c r="AL8" s="218">
        <f t="shared" ca="1" si="23"/>
        <v>1898.3266666666652</v>
      </c>
      <c r="AM8" s="290" t="str">
        <f t="shared" ca="1" si="16"/>
        <v>C</v>
      </c>
      <c r="AN8" s="291" t="str">
        <f t="shared" ca="1" si="17"/>
        <v>FT</v>
      </c>
      <c r="AO8" s="223">
        <f ca="1">+INDIRECT("[EMPINFO.xlsm]"&amp;$O$2&amp;"!t8")</f>
        <v>31</v>
      </c>
      <c r="AP8" s="226">
        <f ca="1">+INDIRECT("[EMPINFO.xlsm]"&amp;$O$2&amp;"!o8")</f>
        <v>-200</v>
      </c>
      <c r="AQ8" s="840">
        <f ca="1">+INDIRECT("[EMPINFO.xlsm]"&amp;$O$2&amp;"!p8")</f>
        <v>-519.25</v>
      </c>
      <c r="AR8" s="226">
        <f ca="1">+INDIRECT("[EMPINFO.xlsm]"&amp;$O$2&amp;"!j8")</f>
        <v>0</v>
      </c>
      <c r="AS8" s="840">
        <f ca="1">+INDIRECT("[EMPINFO.xlsm]"&amp;$O$2&amp;"!k8")</f>
        <v>187.94999999999996</v>
      </c>
      <c r="AT8" s="226">
        <f ca="1">+INDIRECT("[EMPINFO.xlsm]"&amp;$O$2&amp;"!m8")</f>
        <v>0</v>
      </c>
      <c r="AU8" s="844">
        <f ca="1">+INDIRECT("[EMPINFO.xlsm]"&amp;$O$2&amp;"!n8")</f>
        <v>225</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0.25</v>
      </c>
      <c r="BC8" s="289">
        <f t="shared" ca="1" si="21"/>
        <v>3400</v>
      </c>
      <c r="BD8" s="255"/>
      <c r="BE8" s="206"/>
    </row>
    <row r="9" spans="1:62" ht="15.75" customHeight="1" thickBot="1" x14ac:dyDescent="0.3">
      <c r="A9" s="54"/>
      <c r="B9" s="4" t="s">
        <v>141</v>
      </c>
      <c r="C9" s="921" t="str">
        <f>INDEX([1]!empdata,MATCH(ID,[1]!empid,0),19)</f>
        <v>Triq Carmen Mallia</v>
      </c>
      <c r="D9" s="922"/>
      <c r="E9" s="922"/>
      <c r="F9" s="886"/>
      <c r="H9" s="312" t="s">
        <v>20</v>
      </c>
      <c r="I9" s="927">
        <f>INDEX([1]!empdata,MATCH(ID,[1]!empid,0),14)</f>
        <v>0</v>
      </c>
      <c r="J9" s="859"/>
      <c r="K9" s="857"/>
      <c r="L9" s="101"/>
      <c r="M9" s="303"/>
      <c r="N9" s="211">
        <f t="shared" ca="1" si="0"/>
        <v>10.000999999999999</v>
      </c>
      <c r="O9" s="213">
        <f>+DATA!A8</f>
        <v>46174</v>
      </c>
      <c r="P9" s="219">
        <f ca="1">+INDIRECT("[EMPINFO.xlsm]"&amp;$O$2&amp;"!G9")</f>
        <v>5</v>
      </c>
      <c r="Q9" s="215">
        <f ca="1">IF(AZ9="active",INDIRECT("[EMPINFO.xlsm]"&amp;$O$2&amp;"!H9"),0)</f>
        <v>40</v>
      </c>
      <c r="R9" s="239">
        <f t="shared" ca="1" si="22"/>
        <v>10.000999999999999</v>
      </c>
      <c r="S9" s="216">
        <f t="shared" ca="1" si="1"/>
        <v>1733.5066666666653</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1868.6066666666652</v>
      </c>
      <c r="AA9" s="803">
        <f t="shared" ca="1" si="7"/>
        <v>183</v>
      </c>
      <c r="AB9" s="218">
        <f ca="1">+INDIRECT("[EMPINFO.xlsm]"&amp;$O$2&amp;"!s9")</f>
        <v>0</v>
      </c>
      <c r="AC9" s="292">
        <v>1.5</v>
      </c>
      <c r="AD9" s="218">
        <f t="shared" ca="1" si="8"/>
        <v>0</v>
      </c>
      <c r="AE9" s="220">
        <f t="shared" ca="1" si="9"/>
        <v>0</v>
      </c>
      <c r="AF9" s="218">
        <f t="shared" ca="1" si="10"/>
        <v>183</v>
      </c>
      <c r="AG9" s="803">
        <f t="shared" ca="1" si="11"/>
        <v>400.03999999999996</v>
      </c>
      <c r="AH9" s="218">
        <f t="shared" ca="1" si="12"/>
        <v>200.02</v>
      </c>
      <c r="AI9" s="803">
        <f t="shared" ca="1" si="13"/>
        <v>200.02</v>
      </c>
      <c r="AJ9" s="218">
        <f t="shared" ca="1" si="14"/>
        <v>400.04</v>
      </c>
      <c r="AK9" s="803">
        <f t="shared" ca="1" si="15"/>
        <v>6</v>
      </c>
      <c r="AL9" s="218">
        <f t="shared" ca="1" si="23"/>
        <v>2074.6266666666652</v>
      </c>
      <c r="AM9" s="290" t="str">
        <f t="shared" ca="1" si="16"/>
        <v>C</v>
      </c>
      <c r="AN9" s="291" t="str">
        <f t="shared" ca="1" si="17"/>
        <v>FT</v>
      </c>
      <c r="AO9" s="223">
        <f ca="1">+INDIRECT("[EMPINFO.xlsm]"&amp;$O$2&amp;"!t9")</f>
        <v>30</v>
      </c>
      <c r="AP9" s="226">
        <f ca="1">+INDIRECT("[EMPINFO.xlsm]"&amp;$O$2&amp;"!o9")</f>
        <v>-160</v>
      </c>
      <c r="AQ9" s="840">
        <f ca="1">+INDIRECT("[EMPINFO.xlsm]"&amp;$O$2&amp;"!p9")</f>
        <v>-679.25</v>
      </c>
      <c r="AR9" s="226">
        <f ca="1">+INDIRECT("[EMPINFO.xlsm]"&amp;$O$2&amp;"!j9")</f>
        <v>0</v>
      </c>
      <c r="AS9" s="840">
        <f ca="1">+INDIRECT("[EMPINFO.xlsm]"&amp;$O$2&amp;"!k9")</f>
        <v>187.94999999999996</v>
      </c>
      <c r="AT9" s="226">
        <f ca="1">+INDIRECT("[EMPINFO.xlsm]"&amp;$O$2&amp;"!m9")</f>
        <v>0</v>
      </c>
      <c r="AU9" s="844">
        <f ca="1">+INDIRECT("[EMPINFO.xlsm]"&amp;$O$2&amp;"!n9")</f>
        <v>225</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0.25</v>
      </c>
      <c r="BC9" s="289">
        <f t="shared" ca="1" si="21"/>
        <v>3400</v>
      </c>
      <c r="BD9" s="255"/>
      <c r="BE9" s="206"/>
    </row>
    <row r="10" spans="1:62" ht="15.75" customHeight="1" thickBot="1" x14ac:dyDescent="0.3">
      <c r="A10" s="54"/>
      <c r="B10" s="5" t="s">
        <v>142</v>
      </c>
      <c r="C10" s="921" t="str">
        <f>INDEX([1]!empdata,MATCH(ID,[1]!empid,0),20)</f>
        <v>San Gwann</v>
      </c>
      <c r="D10" s="922"/>
      <c r="E10" s="922"/>
      <c r="F10" s="886"/>
      <c r="I10" s="312" t="s">
        <v>143</v>
      </c>
      <c r="L10" s="101"/>
      <c r="M10" s="303"/>
      <c r="N10" s="211">
        <f t="shared" ca="1" si="0"/>
        <v>10.000999999999999</v>
      </c>
      <c r="O10" s="213">
        <f>+DATA!A9</f>
        <v>46204</v>
      </c>
      <c r="P10" s="219">
        <f ca="1">+INDIRECT("[EMPINFO.xlsm]"&amp;$O$2&amp;"!G10")</f>
        <v>4</v>
      </c>
      <c r="Q10" s="215">
        <f ca="1">IF(AZ10="active",INDIRECT("[EMPINFO.xlsm]"&amp;$O$2&amp;"!H10"),0)</f>
        <v>40</v>
      </c>
      <c r="R10" s="239">
        <f t="shared" ca="1" si="22"/>
        <v>10.000999999999999</v>
      </c>
      <c r="S10" s="216">
        <f t="shared" ca="1" si="1"/>
        <v>1733.5066666666653</v>
      </c>
      <c r="T10" s="220">
        <f t="shared" ca="1" si="2"/>
        <v>0</v>
      </c>
      <c r="U10" s="218">
        <f t="shared" ca="1" si="3"/>
        <v>0</v>
      </c>
      <c r="V10" s="220">
        <f ca="1">+juloth*julhrrt</f>
        <v>0</v>
      </c>
      <c r="W10" s="201"/>
      <c r="X10" s="218">
        <f t="shared" ca="1" si="4"/>
        <v>0</v>
      </c>
      <c r="Y10" s="803">
        <f t="shared" ca="1" si="5"/>
        <v>0</v>
      </c>
      <c r="Z10" s="218">
        <f t="shared" ca="1" si="6"/>
        <v>1733.5066666666653</v>
      </c>
      <c r="AA10" s="803">
        <f t="shared" ca="1" si="7"/>
        <v>150</v>
      </c>
      <c r="AB10" s="218">
        <f ca="1">+INDIRECT("[EMPINFO.xlsm]"&amp;$O$2&amp;"!s10")</f>
        <v>0</v>
      </c>
      <c r="AC10" s="292">
        <v>1.5</v>
      </c>
      <c r="AD10" s="218">
        <f t="shared" ca="1" si="8"/>
        <v>0</v>
      </c>
      <c r="AE10" s="220">
        <f t="shared" ca="1" si="9"/>
        <v>0</v>
      </c>
      <c r="AF10" s="218">
        <f t="shared" ca="1" si="10"/>
        <v>150</v>
      </c>
      <c r="AG10" s="803">
        <f t="shared" ca="1" si="11"/>
        <v>400.03999999999996</v>
      </c>
      <c r="AH10" s="218">
        <f t="shared" ca="1" si="12"/>
        <v>160.02000000000001</v>
      </c>
      <c r="AI10" s="803">
        <f t="shared" ca="1" si="13"/>
        <v>160.02000000000001</v>
      </c>
      <c r="AJ10" s="218">
        <f t="shared" ca="1" si="14"/>
        <v>320.04000000000002</v>
      </c>
      <c r="AK10" s="803">
        <f t="shared" ca="1" si="15"/>
        <v>4.8</v>
      </c>
      <c r="AL10" s="218">
        <f t="shared" ca="1" si="23"/>
        <v>1898.3266666666652</v>
      </c>
      <c r="AM10" s="290" t="str">
        <f t="shared" ca="1" si="16"/>
        <v>C</v>
      </c>
      <c r="AN10" s="291" t="str">
        <f t="shared" ca="1" si="17"/>
        <v>FT</v>
      </c>
      <c r="AO10" s="223">
        <f ca="1">+INDIRECT("[EMPINFO.xlsm]"&amp;$O$2&amp;"!t10")</f>
        <v>31</v>
      </c>
      <c r="AP10" s="226">
        <f ca="1">+INDIRECT("[EMPINFO.xlsm]"&amp;$O$2&amp;"!o10")</f>
        <v>-160</v>
      </c>
      <c r="AQ10" s="840">
        <f ca="1">+INDIRECT("[EMPINFO.xlsm]"&amp;$O$2&amp;"!p10")</f>
        <v>-839.25</v>
      </c>
      <c r="AR10" s="226">
        <f ca="1">+INDIRECT("[EMPINFO.xlsm]"&amp;$O$2&amp;"!j10")</f>
        <v>0</v>
      </c>
      <c r="AS10" s="840">
        <f ca="1">+INDIRECT("[EMPINFO.xlsm]"&amp;$O$2&amp;"!k10")</f>
        <v>187.94999999999996</v>
      </c>
      <c r="AT10" s="226">
        <f ca="1">+INDIRECT("[EMPINFO.xlsm]"&amp;$O$2&amp;"!m10")</f>
        <v>0</v>
      </c>
      <c r="AU10" s="844">
        <f ca="1">+INDIRECT("[EMPINFO.xlsm]"&amp;$O$2&amp;"!n10")</f>
        <v>225</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0.25</v>
      </c>
      <c r="BC10" s="289">
        <f t="shared" ca="1" si="21"/>
        <v>3400</v>
      </c>
      <c r="BD10" s="255"/>
      <c r="BE10" s="206"/>
      <c r="BF10" s="32"/>
      <c r="BH10" s="32"/>
      <c r="BI10" s="30"/>
      <c r="BJ10" s="31"/>
    </row>
    <row r="11" spans="1:62" ht="15.75" customHeight="1" thickBot="1" x14ac:dyDescent="0.3">
      <c r="A11" s="54"/>
      <c r="B11" s="6" t="s">
        <v>144</v>
      </c>
      <c r="C11" s="921" t="str">
        <f>INDEX([1]!empdata,MATCH(ID,[1]!empid,0),21)</f>
        <v>SGN2201</v>
      </c>
      <c r="D11" s="922"/>
      <c r="E11" s="922"/>
      <c r="F11" s="886"/>
      <c r="H11" s="312" t="s">
        <v>31</v>
      </c>
      <c r="I11" s="927">
        <f>INDEX([1]!empdata,MATCH(ID,[1]!empid,0),7)</f>
        <v>0</v>
      </c>
      <c r="J11" s="859"/>
      <c r="K11" s="857"/>
      <c r="L11" s="101"/>
      <c r="M11" s="303"/>
      <c r="N11" s="211">
        <f t="shared" ca="1" si="0"/>
        <v>10.000999999999999</v>
      </c>
      <c r="O11" s="213">
        <f>+DATA!A10</f>
        <v>46235</v>
      </c>
      <c r="P11" s="219">
        <f ca="1">+INDIRECT("[EMPINFO.xlsm]"&amp;$O$2&amp;"!G11")</f>
        <v>5</v>
      </c>
      <c r="Q11" s="215">
        <f ca="1">IF(AZ11="active",INDIRECT("[EMPINFO.xlsm]"&amp;$O$2&amp;"!H11"),0)</f>
        <v>40</v>
      </c>
      <c r="R11" s="239">
        <f t="shared" ca="1" si="22"/>
        <v>10.000999999999999</v>
      </c>
      <c r="S11" s="216">
        <f t="shared" ca="1" si="1"/>
        <v>1733.5066666666653</v>
      </c>
      <c r="T11" s="220">
        <f t="shared" ca="1" si="2"/>
        <v>0</v>
      </c>
      <c r="U11" s="218">
        <f t="shared" ca="1" si="3"/>
        <v>0</v>
      </c>
      <c r="V11" s="220">
        <f ca="1">+augoth*aughrrt</f>
        <v>0</v>
      </c>
      <c r="W11" s="201"/>
      <c r="X11" s="218">
        <f t="shared" ca="1" si="4"/>
        <v>0</v>
      </c>
      <c r="Y11" s="803">
        <f t="shared" ca="1" si="5"/>
        <v>0</v>
      </c>
      <c r="Z11" s="218">
        <f t="shared" ca="1" si="6"/>
        <v>1733.5066666666653</v>
      </c>
      <c r="AA11" s="803">
        <f t="shared" ca="1" si="7"/>
        <v>150</v>
      </c>
      <c r="AB11" s="218">
        <f ca="1">+INDIRECT("[EMPINFO.xlsm]"&amp;$O$2&amp;"!s11")</f>
        <v>0</v>
      </c>
      <c r="AC11" s="292">
        <v>1.5</v>
      </c>
      <c r="AD11" s="218">
        <f t="shared" ca="1" si="8"/>
        <v>0</v>
      </c>
      <c r="AE11" s="220">
        <f t="shared" ca="1" si="9"/>
        <v>0</v>
      </c>
      <c r="AF11" s="218">
        <f t="shared" ca="1" si="10"/>
        <v>150</v>
      </c>
      <c r="AG11" s="803">
        <f t="shared" ca="1" si="11"/>
        <v>400.03999999999996</v>
      </c>
      <c r="AH11" s="218">
        <f t="shared" ca="1" si="12"/>
        <v>200.02</v>
      </c>
      <c r="AI11" s="803">
        <f t="shared" ca="1" si="13"/>
        <v>200.02</v>
      </c>
      <c r="AJ11" s="218">
        <f t="shared" ca="1" si="14"/>
        <v>400.04</v>
      </c>
      <c r="AK11" s="803">
        <f t="shared" ca="1" si="15"/>
        <v>6</v>
      </c>
      <c r="AL11" s="218">
        <f t="shared" ca="1" si="23"/>
        <v>1939.5266666666653</v>
      </c>
      <c r="AM11" s="290" t="str">
        <f t="shared" ca="1" si="16"/>
        <v>C</v>
      </c>
      <c r="AN11" s="291" t="str">
        <f t="shared" ca="1" si="17"/>
        <v>FT</v>
      </c>
      <c r="AO11" s="223">
        <f ca="1">+INDIRECT("[EMPINFO.xlsm]"&amp;$O$2&amp;"!t11")</f>
        <v>31</v>
      </c>
      <c r="AP11" s="226">
        <f ca="1">+INDIRECT("[EMPINFO.xlsm]"&amp;$O$2&amp;"!o11")</f>
        <v>-200</v>
      </c>
      <c r="AQ11" s="840">
        <f ca="1">+INDIRECT("[EMPINFO.xlsm]"&amp;$O$2&amp;"!p11")</f>
        <v>-1039.25</v>
      </c>
      <c r="AR11" s="226">
        <f ca="1">+INDIRECT("[EMPINFO.xlsm]"&amp;$O$2&amp;"!j11")</f>
        <v>0</v>
      </c>
      <c r="AS11" s="840">
        <f ca="1">+INDIRECT("[EMPINFO.xlsm]"&amp;$O$2&amp;"!k11")</f>
        <v>187.94999999999996</v>
      </c>
      <c r="AT11" s="226">
        <f ca="1">+INDIRECT("[EMPINFO.xlsm]"&amp;$O$2&amp;"!m11")</f>
        <v>0</v>
      </c>
      <c r="AU11" s="844">
        <f ca="1">+INDIRECT("[EMPINFO.xlsm]"&amp;$O$2&amp;"!n11")</f>
        <v>225</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0.25</v>
      </c>
      <c r="BC11" s="289">
        <f t="shared" ca="1" si="21"/>
        <v>3400</v>
      </c>
      <c r="BD11" s="255"/>
      <c r="BE11" s="206"/>
      <c r="BF11" s="27"/>
      <c r="BH11" s="27"/>
    </row>
    <row r="12" spans="1:62" ht="17.45" customHeight="1" thickBot="1" x14ac:dyDescent="0.3">
      <c r="A12" s="313"/>
      <c r="B12" s="91" t="s">
        <v>14</v>
      </c>
      <c r="C12" s="945">
        <f>INDEX([1]!empdata,MATCH(ID,[1]!empid,0),10)</f>
        <v>77214425</v>
      </c>
      <c r="D12" s="946"/>
      <c r="E12" s="946"/>
      <c r="F12" s="947"/>
      <c r="G12" s="85"/>
      <c r="H12" s="85"/>
      <c r="I12" s="85"/>
      <c r="J12" s="85"/>
      <c r="K12" s="85"/>
      <c r="L12" s="314"/>
      <c r="M12" s="303"/>
      <c r="N12" s="211">
        <f t="shared" ca="1" si="0"/>
        <v>10.000999999999999</v>
      </c>
      <c r="O12" s="213">
        <f>+DATA!A11</f>
        <v>46266</v>
      </c>
      <c r="P12" s="219">
        <f ca="1">+INDIRECT("[EMPINFO.xlsm]"&amp;$O$2&amp;"!G12")</f>
        <v>4</v>
      </c>
      <c r="Q12" s="215">
        <f ca="1">IF(AZ12="active",INDIRECT("[EMPINFO.xlsm]"&amp;$O$2&amp;"!H12"),0)</f>
        <v>40</v>
      </c>
      <c r="R12" s="239">
        <f t="shared" ca="1" si="22"/>
        <v>10.000999999999999</v>
      </c>
      <c r="S12" s="216">
        <f t="shared" ca="1" si="1"/>
        <v>1733.5066666666653</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1854.6666666666654</v>
      </c>
      <c r="AA12" s="803">
        <f t="shared" ca="1" si="7"/>
        <v>180</v>
      </c>
      <c r="AB12" s="218">
        <f ca="1">+INDIRECT("[EMPINFO.xlsm]"&amp;$O$2&amp;"!s12")</f>
        <v>0</v>
      </c>
      <c r="AC12" s="292">
        <v>1.5</v>
      </c>
      <c r="AD12" s="218">
        <f t="shared" ca="1" si="8"/>
        <v>0</v>
      </c>
      <c r="AE12" s="220">
        <f t="shared" ca="1" si="9"/>
        <v>0</v>
      </c>
      <c r="AF12" s="218">
        <f t="shared" ca="1" si="10"/>
        <v>180</v>
      </c>
      <c r="AG12" s="803">
        <f t="shared" ca="1" si="11"/>
        <v>400.03999999999996</v>
      </c>
      <c r="AH12" s="218">
        <f t="shared" ca="1" si="12"/>
        <v>160.02000000000001</v>
      </c>
      <c r="AI12" s="803">
        <f t="shared" ca="1" si="13"/>
        <v>160.02000000000001</v>
      </c>
      <c r="AJ12" s="218">
        <f t="shared" ca="1" si="14"/>
        <v>320.04000000000002</v>
      </c>
      <c r="AK12" s="803">
        <f t="shared" ca="1" si="15"/>
        <v>4.8</v>
      </c>
      <c r="AL12" s="218">
        <f t="shared" ca="1" si="23"/>
        <v>2019.4866666666653</v>
      </c>
      <c r="AM12" s="290" t="str">
        <f t="shared" ca="1" si="16"/>
        <v>C</v>
      </c>
      <c r="AN12" s="291" t="str">
        <f t="shared" ca="1" si="17"/>
        <v>FT</v>
      </c>
      <c r="AO12" s="223">
        <f ca="1">+INDIRECT("[EMPINFO.xlsm]"&amp;$O$2&amp;"!t12")</f>
        <v>30</v>
      </c>
      <c r="AP12" s="226">
        <f ca="1">+INDIRECT("[EMPINFO.xlsm]"&amp;$O$2&amp;"!o12")</f>
        <v>-160</v>
      </c>
      <c r="AQ12" s="840">
        <f ca="1">+INDIRECT("[EMPINFO.xlsm]"&amp;$O$2&amp;"!p12")</f>
        <v>-1199.25</v>
      </c>
      <c r="AR12" s="226">
        <f ca="1">+INDIRECT("[EMPINFO.xlsm]"&amp;$O$2&amp;"!j12")</f>
        <v>0</v>
      </c>
      <c r="AS12" s="840">
        <f ca="1">+INDIRECT("[EMPINFO.xlsm]"&amp;$O$2&amp;"!k12")</f>
        <v>187.94999999999996</v>
      </c>
      <c r="AT12" s="226">
        <f ca="1">+INDIRECT("[EMPINFO.xlsm]"&amp;$O$2&amp;"!m12")</f>
        <v>0</v>
      </c>
      <c r="AU12" s="844">
        <f ca="1">+INDIRECT("[EMPINFO.xlsm]"&amp;$O$2&amp;"!n12")</f>
        <v>225</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0.25</v>
      </c>
      <c r="BC12" s="289">
        <f t="shared" ca="1" si="21"/>
        <v>3400</v>
      </c>
      <c r="BD12" s="255"/>
      <c r="BE12" s="206"/>
    </row>
    <row r="13" spans="1:62" ht="15.75" customHeight="1" thickBot="1" x14ac:dyDescent="0.3">
      <c r="A13" s="54"/>
      <c r="L13" s="101"/>
      <c r="M13" s="303"/>
      <c r="N13" s="211">
        <f t="shared" ca="1" si="0"/>
        <v>10.000999999999999</v>
      </c>
      <c r="O13" s="213">
        <f>+DATA!A12</f>
        <v>46296</v>
      </c>
      <c r="P13" s="219">
        <f ca="1">+INDIRECT("[EMPINFO.xlsm]"&amp;$O$2&amp;"!G13")</f>
        <v>4</v>
      </c>
      <c r="Q13" s="215">
        <f ca="1">IF(AZ13="active",INDIRECT("[EMPINFO.xlsm]"&amp;$O$2&amp;"!H13"),0)</f>
        <v>40</v>
      </c>
      <c r="R13" s="239">
        <f t="shared" ca="1" si="22"/>
        <v>10.000999999999999</v>
      </c>
      <c r="S13" s="216">
        <f t="shared" ca="1" si="1"/>
        <v>1733.5066666666653</v>
      </c>
      <c r="T13" s="220">
        <f t="shared" ca="1" si="2"/>
        <v>0</v>
      </c>
      <c r="U13" s="218">
        <f t="shared" ca="1" si="3"/>
        <v>0</v>
      </c>
      <c r="V13" s="220">
        <f ca="1">+octoth*octhrrt</f>
        <v>0</v>
      </c>
      <c r="W13" s="201"/>
      <c r="X13" s="218">
        <f t="shared" ca="1" si="4"/>
        <v>0</v>
      </c>
      <c r="Y13" s="803">
        <f t="shared" ca="1" si="5"/>
        <v>0</v>
      </c>
      <c r="Z13" s="218">
        <f t="shared" ca="1" si="6"/>
        <v>1733.5066666666653</v>
      </c>
      <c r="AA13" s="803">
        <f t="shared" ca="1" si="7"/>
        <v>150</v>
      </c>
      <c r="AB13" s="218">
        <f ca="1">+INDIRECT("[EMPINFO.xlsm]"&amp;$O$2&amp;"!s13")</f>
        <v>0</v>
      </c>
      <c r="AC13" s="292">
        <v>1.5</v>
      </c>
      <c r="AD13" s="218">
        <f t="shared" ca="1" si="8"/>
        <v>0</v>
      </c>
      <c r="AE13" s="220">
        <f t="shared" ca="1" si="9"/>
        <v>0</v>
      </c>
      <c r="AF13" s="218">
        <f t="shared" ca="1" si="10"/>
        <v>150</v>
      </c>
      <c r="AG13" s="803">
        <f t="shared" ca="1" si="11"/>
        <v>400.03999999999996</v>
      </c>
      <c r="AH13" s="218">
        <f t="shared" ca="1" si="12"/>
        <v>160.02000000000001</v>
      </c>
      <c r="AI13" s="803">
        <f t="shared" ca="1" si="13"/>
        <v>160.02000000000001</v>
      </c>
      <c r="AJ13" s="218">
        <f t="shared" ca="1" si="14"/>
        <v>320.04000000000002</v>
      </c>
      <c r="AK13" s="803">
        <f t="shared" ca="1" si="15"/>
        <v>4.8</v>
      </c>
      <c r="AL13" s="218">
        <f t="shared" ca="1" si="23"/>
        <v>1898.3266666666652</v>
      </c>
      <c r="AM13" s="290" t="str">
        <f t="shared" ca="1" si="16"/>
        <v>C</v>
      </c>
      <c r="AN13" s="291" t="str">
        <f t="shared" ca="1" si="17"/>
        <v>FT</v>
      </c>
      <c r="AO13" s="223">
        <f ca="1">+INDIRECT("[EMPINFO.xlsm]"&amp;$O$2&amp;"!t13")</f>
        <v>31</v>
      </c>
      <c r="AP13" s="226">
        <f ca="1">+INDIRECT("[EMPINFO.xlsm]"&amp;$O$2&amp;"!o13")</f>
        <v>-200</v>
      </c>
      <c r="AQ13" s="840">
        <f ca="1">+INDIRECT("[EMPINFO.xlsm]"&amp;$O$2&amp;"!p13")</f>
        <v>-1399.25</v>
      </c>
      <c r="AR13" s="226">
        <f ca="1">+INDIRECT("[EMPINFO.xlsm]"&amp;$O$2&amp;"!j13")</f>
        <v>0</v>
      </c>
      <c r="AS13" s="840">
        <f ca="1">+INDIRECT("[EMPINFO.xlsm]"&amp;$O$2&amp;"!k13")</f>
        <v>187.94999999999996</v>
      </c>
      <c r="AT13" s="226">
        <f ca="1">+INDIRECT("[EMPINFO.xlsm]"&amp;$O$2&amp;"!m13")</f>
        <v>0</v>
      </c>
      <c r="AU13" s="844">
        <f ca="1">+INDIRECT("[EMPINFO.xlsm]"&amp;$O$2&amp;"!n13")</f>
        <v>225</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0.25</v>
      </c>
      <c r="BC13" s="289">
        <f t="shared" ca="1" si="21"/>
        <v>3400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10.000999999999999</v>
      </c>
      <c r="O14" s="213">
        <f>+DATA!A13</f>
        <v>46327</v>
      </c>
      <c r="P14" s="219">
        <f ca="1">+INDIRECT("[EMPINFO.xlsm]"&amp;$O$2&amp;"!G14")</f>
        <v>5</v>
      </c>
      <c r="Q14" s="215">
        <f ca="1">IF(AZ14="active",INDIRECT("[EMPINFO.xlsm]"&amp;$O$2&amp;"!H14"),0)</f>
        <v>40</v>
      </c>
      <c r="R14" s="239">
        <f t="shared" ca="1" si="22"/>
        <v>10.000999999999999</v>
      </c>
      <c r="S14" s="216">
        <f t="shared" ca="1" si="1"/>
        <v>1733.5066666666653</v>
      </c>
      <c r="T14" s="220">
        <f t="shared" ca="1" si="2"/>
        <v>0</v>
      </c>
      <c r="U14" s="218">
        <f t="shared" ca="1" si="3"/>
        <v>0</v>
      </c>
      <c r="V14" s="220">
        <f ca="1">+novoth*novhrrt</f>
        <v>0</v>
      </c>
      <c r="W14" s="201"/>
      <c r="X14" s="218">
        <f t="shared" ca="1" si="4"/>
        <v>0</v>
      </c>
      <c r="Y14" s="803">
        <f t="shared" ca="1" si="5"/>
        <v>0</v>
      </c>
      <c r="Z14" s="218">
        <f t="shared" ca="1" si="6"/>
        <v>1733.5066666666653</v>
      </c>
      <c r="AA14" s="803">
        <f t="shared" ca="1" si="7"/>
        <v>150</v>
      </c>
      <c r="AB14" s="218">
        <f ca="1">+INDIRECT("[EMPINFO.xlsm]"&amp;$O$2&amp;"!s14")</f>
        <v>0</v>
      </c>
      <c r="AC14" s="292">
        <v>1.5</v>
      </c>
      <c r="AD14" s="218">
        <f t="shared" ca="1" si="8"/>
        <v>0</v>
      </c>
      <c r="AE14" s="220">
        <f t="shared" ca="1" si="9"/>
        <v>0</v>
      </c>
      <c r="AF14" s="218">
        <f t="shared" ca="1" si="10"/>
        <v>150</v>
      </c>
      <c r="AG14" s="803">
        <f t="shared" ca="1" si="11"/>
        <v>400.03999999999996</v>
      </c>
      <c r="AH14" s="218">
        <f t="shared" ca="1" si="12"/>
        <v>200.02</v>
      </c>
      <c r="AI14" s="803">
        <f t="shared" ca="1" si="13"/>
        <v>200.02</v>
      </c>
      <c r="AJ14" s="218">
        <f t="shared" ca="1" si="14"/>
        <v>400.04</v>
      </c>
      <c r="AK14" s="803">
        <f t="shared" ca="1" si="15"/>
        <v>6</v>
      </c>
      <c r="AL14" s="218">
        <f t="shared" ca="1" si="23"/>
        <v>1939.5266666666653</v>
      </c>
      <c r="AM14" s="290" t="str">
        <f t="shared" ca="1" si="16"/>
        <v>C</v>
      </c>
      <c r="AN14" s="291" t="str">
        <f t="shared" ca="1" si="17"/>
        <v>FT</v>
      </c>
      <c r="AO14" s="223">
        <f ca="1">+INDIRECT("[EMPINFO.xlsm]"&amp;$O$2&amp;"!t14")</f>
        <v>30</v>
      </c>
      <c r="AP14" s="226">
        <f ca="1">+INDIRECT("[EMPINFO.xlsm]"&amp;$O$2&amp;"!o14")</f>
        <v>-160</v>
      </c>
      <c r="AQ14" s="840">
        <f ca="1">+INDIRECT("[EMPINFO.xlsm]"&amp;$O$2&amp;"!p14")</f>
        <v>-1559.25</v>
      </c>
      <c r="AR14" s="226">
        <f ca="1">+INDIRECT("[EMPINFO.xlsm]"&amp;$O$2&amp;"!j14")</f>
        <v>0</v>
      </c>
      <c r="AS14" s="840">
        <f ca="1">+INDIRECT("[EMPINFO.xlsm]"&amp;$O$2&amp;"!k14")</f>
        <v>187.94999999999996</v>
      </c>
      <c r="AT14" s="226">
        <f ca="1">+INDIRECT("[EMPINFO.xlsm]"&amp;$O$2&amp;"!m14")</f>
        <v>0</v>
      </c>
      <c r="AU14" s="844">
        <f ca="1">+INDIRECT("[EMPINFO.xlsm]"&amp;$O$2&amp;"!n14")</f>
        <v>225</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0.25</v>
      </c>
      <c r="BC14" s="289">
        <f t="shared" ca="1" si="21"/>
        <v>3400</v>
      </c>
      <c r="BD14" s="255"/>
      <c r="BE14" s="206"/>
      <c r="BF14" s="32"/>
      <c r="BH14" s="32"/>
    </row>
    <row r="15" spans="1:62" ht="15.75" customHeight="1" thickBot="1" x14ac:dyDescent="0.3">
      <c r="A15" s="54"/>
      <c r="L15" s="101"/>
      <c r="M15" s="303"/>
      <c r="N15" s="211">
        <f t="shared" ca="1" si="0"/>
        <v>10.000999999999999</v>
      </c>
      <c r="O15" s="213">
        <f>+DATA!A14</f>
        <v>46357</v>
      </c>
      <c r="P15" s="219">
        <f ca="1">+INDIRECT("[EMPINFO.xlsm]"&amp;$O$2&amp;"!G15")</f>
        <v>4</v>
      </c>
      <c r="Q15" s="215">
        <f ca="1">IF(AZ15="active",INDIRECT("[EMPINFO.xlsm]"&amp;$O$2&amp;"!H15"),0)</f>
        <v>40</v>
      </c>
      <c r="R15" s="239">
        <f t="shared" ca="1" si="22"/>
        <v>10.000999999999999</v>
      </c>
      <c r="S15" s="216">
        <f t="shared" ca="1" si="1"/>
        <v>1733.5066666666653</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1868.6066666666652</v>
      </c>
      <c r="AA15" s="803">
        <f t="shared" ca="1" si="7"/>
        <v>183</v>
      </c>
      <c r="AB15" s="218">
        <f ca="1">+INDIRECT("[EMPINFO.xlsm]"&amp;$O$2&amp;"!s15")</f>
        <v>0</v>
      </c>
      <c r="AC15" s="292">
        <v>1.5</v>
      </c>
      <c r="AD15" s="218">
        <f t="shared" ca="1" si="8"/>
        <v>0</v>
      </c>
      <c r="AE15" s="220">
        <f t="shared" ca="1" si="9"/>
        <v>0</v>
      </c>
      <c r="AF15" s="218">
        <f t="shared" ca="1" si="10"/>
        <v>183</v>
      </c>
      <c r="AG15" s="803">
        <f t="shared" ca="1" si="11"/>
        <v>400.03999999999996</v>
      </c>
      <c r="AH15" s="218">
        <f t="shared" ca="1" si="12"/>
        <v>160.02000000000001</v>
      </c>
      <c r="AI15" s="803">
        <f t="shared" ca="1" si="13"/>
        <v>160.02000000000001</v>
      </c>
      <c r="AJ15" s="218">
        <f t="shared" ca="1" si="14"/>
        <v>320.04000000000002</v>
      </c>
      <c r="AK15" s="803">
        <f t="shared" ca="1" si="15"/>
        <v>4.8</v>
      </c>
      <c r="AL15" s="218">
        <f t="shared" ca="1" si="23"/>
        <v>2033.4266666666651</v>
      </c>
      <c r="AM15" s="290" t="str">
        <f t="shared" ca="1" si="16"/>
        <v>C</v>
      </c>
      <c r="AN15" s="291" t="str">
        <f t="shared" ca="1" si="17"/>
        <v>FT</v>
      </c>
      <c r="AO15" s="223">
        <f ca="1">+INDIRECT("[EMPINFO.xlsm]"&amp;$O$2&amp;"!t15")</f>
        <v>31</v>
      </c>
      <c r="AP15" s="226">
        <f ca="1">+INDIRECT("[EMPINFO.xlsm]"&amp;$O$2&amp;"!o15")</f>
        <v>-160</v>
      </c>
      <c r="AQ15" s="840">
        <f ca="1">+INDIRECT("[EMPINFO.xlsm]"&amp;$O$2&amp;"!p15")</f>
        <v>-1719.25</v>
      </c>
      <c r="AR15" s="226">
        <f ca="1">+INDIRECT("[EMPINFO.xlsm]"&amp;$O$2&amp;"!j15")</f>
        <v>0</v>
      </c>
      <c r="AS15" s="840">
        <f ca="1">+INDIRECT("[EMPINFO.xlsm]"&amp;$O$2&amp;"!k15")</f>
        <v>187.94999999999996</v>
      </c>
      <c r="AT15" s="226">
        <f ca="1">+INDIRECT("[EMPINFO.xlsm]"&amp;$O$2&amp;"!m15")</f>
        <v>0</v>
      </c>
      <c r="AU15" s="844">
        <f ca="1">+INDIRECT("[EMPINFO.xlsm]"&amp;$O$2&amp;"!n15")</f>
        <v>225</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0.25</v>
      </c>
      <c r="BC15" s="289">
        <f t="shared" ca="1" si="21"/>
        <v>3400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20802.079999999976</v>
      </c>
      <c r="T16" s="221">
        <f t="shared" ca="1" si="24"/>
        <v>0</v>
      </c>
      <c r="U16" s="217">
        <f t="shared" ca="1" si="24"/>
        <v>0</v>
      </c>
      <c r="V16" s="221">
        <f t="shared" ca="1" si="24"/>
        <v>0</v>
      </c>
      <c r="W16" s="217">
        <f t="shared" ca="1" si="24"/>
        <v>512.52</v>
      </c>
      <c r="X16" s="217">
        <f t="shared" ca="1" si="24"/>
        <v>0</v>
      </c>
      <c r="Y16" s="804">
        <f t="shared" ca="1" si="24"/>
        <v>0</v>
      </c>
      <c r="Z16" s="217">
        <f t="shared" ca="1" si="24"/>
        <v>21314.599999999984</v>
      </c>
      <c r="AA16" s="804">
        <f t="shared" ca="1" si="24"/>
        <v>1926</v>
      </c>
      <c r="AB16" s="217">
        <f ca="1">+INDIRECT("[EMPINFO.xlsm]"&amp;$O$2&amp;"!S16")</f>
        <v>0</v>
      </c>
      <c r="AC16" s="221" t="s">
        <v>150</v>
      </c>
      <c r="AD16" s="217">
        <f ca="1">SUM(AD4:AD15)</f>
        <v>0</v>
      </c>
      <c r="AE16" s="221">
        <f ca="1">SUM(AE4:AE15)</f>
        <v>0</v>
      </c>
      <c r="AF16" s="217">
        <f ca="1">SUM(AF4:AF15)</f>
        <v>1926</v>
      </c>
      <c r="AG16" s="221"/>
      <c r="AH16" s="217">
        <f ca="1">SUM(AH4:AH15)</f>
        <v>2080.2400000000002</v>
      </c>
      <c r="AI16" s="803">
        <f ca="1">SUM(AI4:AI15)</f>
        <v>2080.2400000000002</v>
      </c>
      <c r="AJ16" s="217">
        <f t="shared" ca="1" si="14"/>
        <v>4160.4800000000005</v>
      </c>
      <c r="AK16" s="835">
        <f ca="1">SUM(AK4:AK15)</f>
        <v>62.399999999999991</v>
      </c>
      <c r="AL16" s="217">
        <f ca="1">+SUM(AL4:AL15)</f>
        <v>23457.239999999983</v>
      </c>
      <c r="AM16" s="298"/>
      <c r="AN16" s="297"/>
      <c r="AO16" s="224">
        <f ca="1">+INDIRECT("[EMPINFO.xlsm]"&amp;$O$2&amp;"!T16")</f>
        <v>365</v>
      </c>
      <c r="AP16" s="299">
        <f>+[1]RGaldes!O16</f>
        <v>0</v>
      </c>
      <c r="AQ16" s="841">
        <f ca="1">+INDIRECT("[EMPINFO.xlsm]"&amp;$O$2&amp;"!p16")</f>
        <v>-1719.25</v>
      </c>
      <c r="AR16" s="299"/>
      <c r="AS16" s="841">
        <f ca="1">+INDIRECT("[EMPINFO.xlsm]"&amp;$O$2&amp;"!k16")</f>
        <v>187.94999999999996</v>
      </c>
      <c r="AT16" s="299">
        <f ca="1">+INDIRECT("[EMPINFO.xlsm]"&amp;$O$2&amp;"!m16")</f>
        <v>15</v>
      </c>
      <c r="AU16" s="841">
        <f ca="1">+INDIRECT("[EMPINFO.xlsm]"&amp;$O$2&amp;"!n16")</f>
        <v>225</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21314</v>
      </c>
      <c r="I17" s="456"/>
      <c r="K17" s="317" t="s">
        <v>151</v>
      </c>
      <c r="L17" s="101"/>
      <c r="M17" s="256">
        <v>9</v>
      </c>
      <c r="N17" s="257" t="s">
        <v>152</v>
      </c>
      <c r="O17" s="258">
        <f ca="1">+Med_Tot</f>
        <v>21314.599999999984</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-1719.25</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Acero_Garzon Maria_Cristina</v>
      </c>
      <c r="P19" s="374" t="str">
        <f>+IDCard</f>
        <v>469971A</v>
      </c>
      <c r="Q19" s="375" t="str">
        <f>+designation</f>
        <v>7. Sup. Dental Assistant</v>
      </c>
      <c r="R19" s="376" t="s">
        <v>156</v>
      </c>
      <c r="S19" s="377">
        <f ca="1">+S20+S23+S22+S24+S25+S26+S21</f>
        <v>1733.5066666666653</v>
      </c>
      <c r="T19" s="378" t="str">
        <f>+FS4_Status</f>
        <v>SIN</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1733.5066666666653</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320.04000000000002</v>
      </c>
      <c r="U21" s="372">
        <f ca="1">INDEX(PYRL_Summary,MATCH(O21,months,0),22)</f>
        <v>160.02000000000001</v>
      </c>
      <c r="V21" s="373">
        <f ca="1">INDEX(PYRL_Summary,MATCH(O21,months,0),23)</f>
        <v>160.02000000000001</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4.8</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21314</v>
      </c>
      <c r="I23" s="466"/>
      <c r="J23" s="318" t="s">
        <v>169</v>
      </c>
      <c r="K23" s="916"/>
      <c r="L23" s="917"/>
      <c r="N23" s="420"/>
      <c r="O23" s="344">
        <f>+ID</f>
        <v>2025001</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150</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MT07VALL22013000000050022501702</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1423.4866666666653</v>
      </c>
      <c r="V26" s="418"/>
      <c r="W26" s="73" t="s">
        <v>246</v>
      </c>
      <c r="X26" s="575"/>
    </row>
    <row r="27" spans="1:56" ht="24" customHeight="1" thickBot="1" x14ac:dyDescent="0.3">
      <c r="A27" s="54"/>
      <c r="B27" s="73" t="s">
        <v>52</v>
      </c>
      <c r="G27" s="73" t="s">
        <v>53</v>
      </c>
      <c r="H27" s="8">
        <f ca="1">IF(OR(Timer="PT", Timer="pt_casual"),0,AA16)</f>
        <v>1926</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173404426</v>
      </c>
      <c r="U27" s="545"/>
      <c r="V27" s="546"/>
      <c r="W27" s="73" t="s">
        <v>183</v>
      </c>
      <c r="Y27" s="436">
        <v>173404426</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196.44999999999996</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Acero_Garzon Maria_Cristina</v>
      </c>
      <c r="P29" s="394" t="str">
        <f>+IDCard</f>
        <v>469971A</v>
      </c>
      <c r="Q29" s="395" t="str">
        <f>+designation</f>
        <v>7. Sup. Dental Assistant</v>
      </c>
      <c r="R29" s="396" t="s">
        <v>156</v>
      </c>
      <c r="S29" s="397">
        <f ca="1">+S30+S33+S32+S34+S35+S36+S31</f>
        <v>1733.5066666666655</v>
      </c>
      <c r="T29" s="431" t="str">
        <f>+FS4_Status</f>
        <v>SIN</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1733.5066666666655</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1926</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320.04000000000002</v>
      </c>
      <c r="U31" s="358">
        <f ca="1">INDEX(PYRL_Summary,MATCH(O31,months,0),22)</f>
        <v>160.02000000000001</v>
      </c>
      <c r="V31" s="359">
        <f ca="1">INDEX(PYRL_Summary,MATCH(O31,months,0),23)</f>
        <v>160.02000000000001</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4.8</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2025001</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150</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MT07VALL22013000000050022501702</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1423.4866666666655</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27.55</v>
      </c>
      <c r="R37" s="354"/>
      <c r="S37" s="356"/>
      <c r="T37" s="544" t="str">
        <f>IF(Y37=0, "DO NOT INPUT HERE. USE HIGHLIGHTED ",Y37)</f>
        <v>Transaction ID is: 174693003</v>
      </c>
      <c r="U37" s="545"/>
      <c r="V37" s="546"/>
      <c r="W37" s="73" t="s">
        <v>183</v>
      </c>
      <c r="Y37" s="574" t="s">
        <v>641</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1.7763568394002505E-14</v>
      </c>
      <c r="R38" s="410" t="s">
        <v>188</v>
      </c>
      <c r="S38" s="411">
        <f ca="1">INDEX(PYRL_Summary,MATCH(O31,months,0),33)</f>
        <v>187.94999999999996</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Acero_Garzon Maria_Cristina</v>
      </c>
      <c r="P39" s="374" t="str">
        <f>+IDCard</f>
        <v>469971A</v>
      </c>
      <c r="Q39" s="375" t="str">
        <f>+designation</f>
        <v>7. Sup. Dental Assistant</v>
      </c>
      <c r="R39" s="376" t="s">
        <v>156</v>
      </c>
      <c r="S39" s="377">
        <f ca="1">+S40+S43+S42+S44+S45+S46+S41</f>
        <v>1854.6666666666654</v>
      </c>
      <c r="T39" s="378" t="str">
        <f>+FS4_Status</f>
        <v>SIN</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1733.5066666666653</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400.04</v>
      </c>
      <c r="U41" s="372">
        <f ca="1">INDEX(PYRL_Summary,MATCH(O41,months,0),22)</f>
        <v>200.02</v>
      </c>
      <c r="V41" s="373">
        <f ca="1">INDEX(PYRL_Summary,MATCH(O41,months,0),23)</f>
        <v>200.02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6</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2025001</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180</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MT07VALL22013000000050022501702</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1474.6466666666654</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8.5</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0.75000000000001776</v>
      </c>
      <c r="R48" s="392" t="s">
        <v>188</v>
      </c>
      <c r="S48" s="393">
        <f ca="1">INDEX(PYRL_Summary,MATCH(O41,months,0),33)</f>
        <v>187.94999999999996</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Acero_Garzon Maria_Cristina</v>
      </c>
      <c r="P49" s="394" t="str">
        <f>+IDCard</f>
        <v>469971A</v>
      </c>
      <c r="Q49" s="395" t="str">
        <f>+designation</f>
        <v>7. Sup. Dental Assistant</v>
      </c>
      <c r="R49" s="396" t="s">
        <v>156</v>
      </c>
      <c r="S49" s="397">
        <f ca="1">+S50+S53+S52+S54+S55+S56+S51</f>
        <v>1733.5066666666653</v>
      </c>
      <c r="T49" s="431" t="str">
        <f>+FS4_Status</f>
        <v>SIN</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1733.5066666666653</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320.04000000000002</v>
      </c>
      <c r="U51" s="358">
        <f ca="1">INDEX(PYRL_Summary,MATCH(O51,months,0),22)</f>
        <v>160.02000000000001</v>
      </c>
      <c r="V51" s="359">
        <f ca="1">INDEX(PYRL_Summary,MATCH(O51,months,0),23)</f>
        <v>160.02000000000001</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4.8</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2025001</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150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MT07VALL22013000000050022501702</v>
      </c>
      <c r="U55" s="890"/>
      <c r="V55" s="891"/>
    </row>
    <row r="56" spans="1:37" ht="16.5" customHeight="1" thickBot="1" x14ac:dyDescent="0.3">
      <c r="E56" s="116" t="s">
        <v>215</v>
      </c>
      <c r="F56" s="115" t="str">
        <f>INDEX([1]!empdata,MATCH(ID,[1]!empid,0),17)</f>
        <v>MT07VALL22013000000050022501702</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1423.4866666666653</v>
      </c>
      <c r="V56" s="418"/>
    </row>
    <row r="57" spans="1:37" ht="26.25" customHeight="1" thickBot="1" x14ac:dyDescent="0.3">
      <c r="E57" s="116" t="s">
        <v>216</v>
      </c>
      <c r="F57" s="340" t="str">
        <f>INDEX([1]!empdata,MATCH(ID,[1]!empid,0),12)</f>
        <v>mcacerog@unal.edu.co</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32577</v>
      </c>
      <c r="G58" s="56"/>
      <c r="H58" s="63"/>
      <c r="N58" s="406">
        <f ca="1">INDEX(PYRL_Summary,MATCH(O51,months,0),4)</f>
        <v>4</v>
      </c>
      <c r="O58" s="407" t="s">
        <v>187</v>
      </c>
      <c r="P58" s="408">
        <f>+O41</f>
        <v>46082</v>
      </c>
      <c r="Q58" s="409">
        <f ca="1">INDEX(PYRL_Summary,MATCH(P58,months,0),31)</f>
        <v>-159.24999999999997</v>
      </c>
      <c r="R58" s="410" t="s">
        <v>188</v>
      </c>
      <c r="S58" s="411">
        <f ca="1">INDEX(PYRL_Summary,MATCH(O51,months,0),33)</f>
        <v>187.94999999999996</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45719</v>
      </c>
      <c r="G59" s="56"/>
      <c r="H59" s="63"/>
      <c r="N59" s="386">
        <f ca="1">IF(OR(INDEX(PYRL_Summary,MATCH(O61,months,0),28)="pt",INDEX(PYRL_Summary,MATCH(O61,months,0),28)="pt_casual"),0,IF(N62-N61&gt;=1,1,0))</f>
        <v>1</v>
      </c>
      <c r="O59" s="894" t="str">
        <f>Surname&amp;" "&amp;Name</f>
        <v>Acero_Garzon Maria_Cristina</v>
      </c>
      <c r="P59" s="374" t="str">
        <f>+IDCard</f>
        <v>469971A</v>
      </c>
      <c r="Q59" s="375" t="str">
        <f>+designation</f>
        <v>7. Sup. Dental Assistant</v>
      </c>
      <c r="R59" s="376" t="s">
        <v>156</v>
      </c>
      <c r="S59" s="377">
        <f ca="1">+S60+S63+S62+S64+S65+S66+S61</f>
        <v>1733.5066666666653</v>
      </c>
      <c r="T59" s="378" t="str">
        <f>+FS4_Status</f>
        <v>SIN</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7. Sup. Dental Assistant</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1733.5066666666653</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320.04000000000002</v>
      </c>
      <c r="U61" s="372">
        <f ca="1">INDEX(PYRL_Summary,MATCH(O61,months,0),22)</f>
        <v>160.02000000000001</v>
      </c>
      <c r="V61" s="373">
        <f ca="1">INDEX(PYRL_Summary,MATCH(O61,months,0),23)</f>
        <v>160.02000000000001</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4.8</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2025001</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150</v>
      </c>
      <c r="X64" s="577"/>
    </row>
    <row r="65" spans="5:37" ht="15.75" customHeight="1" thickBot="1" x14ac:dyDescent="0.3">
      <c r="E65" s="925" t="s">
        <v>224</v>
      </c>
      <c r="F65" s="926"/>
      <c r="G65" s="103">
        <f ca="1">+Med_Tot</f>
        <v>21314.599999999984</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MT07VALL22013000000050022501702</v>
      </c>
      <c r="U65" s="890"/>
      <c r="V65" s="891"/>
    </row>
    <row r="66" spans="5:37" ht="16.5" customHeight="1" thickBot="1" x14ac:dyDescent="0.3">
      <c r="E66" s="952" t="s">
        <v>226</v>
      </c>
      <c r="F66" s="953"/>
      <c r="G66" s="112">
        <f ca="1">+PREVFS3+Med_Tot</f>
        <v>21314.599999999984</v>
      </c>
      <c r="H66" s="114">
        <f ca="1">IF(grossyearly&lt;F68,1,IF(grossyearly&lt;F69,2,IF(grossyearly&lt;F70,3,IF(grossyearly&lt;F71,4,5))))</f>
        <v>4</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1423.4866666666653</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4</v>
      </c>
      <c r="O68" s="389" t="s">
        <v>187</v>
      </c>
      <c r="P68" s="390">
        <f>+O51</f>
        <v>46113</v>
      </c>
      <c r="Q68" s="391">
        <f ca="1">INDEX(PYRL_Summary,MATCH(P68,months,0),31)</f>
        <v>-319.25</v>
      </c>
      <c r="R68" s="392" t="s">
        <v>188</v>
      </c>
      <c r="S68" s="393">
        <f ca="1">INDEX(PYRL_Summary,MATCH(O61,months,0),33)</f>
        <v>187.94999999999996</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1</v>
      </c>
      <c r="O69" s="908" t="str">
        <f>Surname&amp;" "&amp;Name</f>
        <v>Acero_Garzon Maria_Cristina</v>
      </c>
      <c r="P69" s="394" t="str">
        <f>+IDCard</f>
        <v>469971A</v>
      </c>
      <c r="Q69" s="395" t="str">
        <f>+designation</f>
        <v>7. Sup. Dental Assistant</v>
      </c>
      <c r="R69" s="396" t="s">
        <v>156</v>
      </c>
      <c r="S69" s="397">
        <f ca="1">+S70+S73+S72+S74+S75+S76+S71</f>
        <v>1868.6066666666652</v>
      </c>
      <c r="T69" s="431" t="str">
        <f>+FS4_Status</f>
        <v>SIN</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1733.5066666666653</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400.04</v>
      </c>
      <c r="U71" s="358">
        <f ca="1">INDEX(PYRL_Summary,MATCH(O71,months,0),22)</f>
        <v>200.02</v>
      </c>
      <c r="V71" s="359">
        <f ca="1">INDEX(PYRL_Summary,MATCH(O71,months,0),23)</f>
        <v>200.02</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6</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2025001</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183</v>
      </c>
      <c r="X74" s="577"/>
    </row>
    <row r="75" spans="5:37" ht="15.75" customHeight="1" thickBot="1" x14ac:dyDescent="0.3">
      <c r="E75" s="293"/>
      <c r="F75" s="294" t="s">
        <v>130</v>
      </c>
      <c r="G75" s="295">
        <f ca="1">IF(AND(Timer="pt",grossyearly&lt;10000),+ptrate,IF(grossyearly&lt;$F$68,$G$68,IF(grossyearly&lt;$F$69,$G$69,IF(grossyearly&lt;$F$70,$G$70,IF(grossyearly&lt;$F$71,$G$71,$G$72)))))</f>
        <v>0.25</v>
      </c>
      <c r="H75" s="296">
        <f ca="1">IF(grossyearly&lt;$F$68,$H$68,IF(grossyearly&lt;$F$69,$H$69,IF(grossyearly&lt;$F$70,$H$70,IF(grossyearly&lt;$F$71,$H$71,$H$72))))</f>
        <v>3400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MT07VALL22013000000050022501702</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1485.5866666666652</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-519.25</v>
      </c>
      <c r="R78" s="410" t="s">
        <v>188</v>
      </c>
      <c r="S78" s="411">
        <f ca="1">INDEX(PYRL_Summary,MATCH(O71,months,0),33)</f>
        <v>187.94999999999996</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Acero_Garzon Maria_Cristina</v>
      </c>
      <c r="P79" s="374" t="str">
        <f>+IDCard</f>
        <v>469971A</v>
      </c>
      <c r="Q79" s="375" t="str">
        <f>+designation</f>
        <v>7. Sup. Dental Assistant</v>
      </c>
      <c r="R79" s="376" t="s">
        <v>156</v>
      </c>
      <c r="S79" s="377">
        <f ca="1">+S80+S83+S82+S84+S85+S86+S81</f>
        <v>1733.5066666666653</v>
      </c>
      <c r="T79" s="378" t="str">
        <f>+FS4_Status</f>
        <v>SIN</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1733.5066666666653</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320.04000000000002</v>
      </c>
      <c r="U81" s="372">
        <f ca="1">INDEX(PYRL_Summary,MATCH(O81,months,0),22)</f>
        <v>160.02000000000001</v>
      </c>
      <c r="V81" s="373">
        <f ca="1">INDEX(PYRL_Summary,MATCH(O81,months,0),23)</f>
        <v>160.02000000000001</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4.8</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2025001</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150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MT07VALL22013000000050022501702</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1423.4866666666653</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187.94999999999996</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Acero_Garzon Maria_Cristina</v>
      </c>
      <c r="P89" s="394" t="str">
        <f>+IDCard</f>
        <v>469971A</v>
      </c>
      <c r="Q89" s="395" t="str">
        <f>+designation</f>
        <v>7. Sup. Dental Assistant</v>
      </c>
      <c r="R89" s="396" t="s">
        <v>156</v>
      </c>
      <c r="S89" s="397">
        <f ca="1">+S90+S93+S92+S94+S95+S96+S91</f>
        <v>1733.5066666666653</v>
      </c>
      <c r="T89" s="431" t="str">
        <f>+FS4_Status</f>
        <v>SIN</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1733.5066666666653</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400.04</v>
      </c>
      <c r="U91" s="358">
        <f ca="1">INDEX(PYRL_Summary,MATCH(O91,months,0),22)</f>
        <v>200.02</v>
      </c>
      <c r="V91" s="359">
        <f ca="1">INDEX(PYRL_Summary,MATCH(O91,months,0),23)</f>
        <v>200.02</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6</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2025001</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150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MT07VALL22013000000050022501702</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1383.4866666666653</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-839.25</v>
      </c>
      <c r="R98" s="410" t="s">
        <v>188</v>
      </c>
      <c r="S98" s="411">
        <f ca="1">INDEX(PYRL_Summary,MATCH(O91,months,0),33)</f>
        <v>187.94999999999996</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Acero_Garzon Maria_Cristina</v>
      </c>
      <c r="P99" s="374" t="str">
        <f>+IDCard</f>
        <v>469971A</v>
      </c>
      <c r="Q99" s="375" t="str">
        <f>+designation</f>
        <v>7. Sup. Dental Assistant</v>
      </c>
      <c r="R99" s="376" t="s">
        <v>156</v>
      </c>
      <c r="S99" s="377">
        <f ca="1">+S100+S103+S102+S104+S105+S106+S101</f>
        <v>1854.6666666666654</v>
      </c>
      <c r="T99" s="378" t="str">
        <f>+FS4_Status</f>
        <v>SIN</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1733.5066666666653</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320.04000000000002</v>
      </c>
      <c r="U101" s="372">
        <f ca="1">INDEX(PYRL_Summary,MATCH(O101,months,0),22)</f>
        <v>160.02000000000001</v>
      </c>
      <c r="V101" s="373">
        <f ca="1">INDEX(PYRL_Summary,MATCH(O101,months,0),23)</f>
        <v>160.02000000000001</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4.8</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2025001</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180</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MT07VALL22013000000050022501702</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1514.6466666666654</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-1039.25</v>
      </c>
      <c r="R108" s="392" t="s">
        <v>188</v>
      </c>
      <c r="S108" s="393">
        <f ca="1">INDEX(PYRL_Summary,MATCH(O101,months,0),33)</f>
        <v>187.94999999999996</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Acero_Garzon Maria_Cristina</v>
      </c>
      <c r="P109" s="394" t="str">
        <f>+IDCard</f>
        <v>469971A</v>
      </c>
      <c r="Q109" s="395" t="str">
        <f>+designation</f>
        <v>7. Sup. Dental Assistant</v>
      </c>
      <c r="R109" s="396" t="s">
        <v>156</v>
      </c>
      <c r="S109" s="397">
        <f ca="1">+S110+S113+S112+S114+S115+S116+S111</f>
        <v>1733.5066666666653</v>
      </c>
      <c r="T109" s="431" t="str">
        <f>+FS4_Status</f>
        <v>SIN</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1733.5066666666653</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320.04000000000002</v>
      </c>
      <c r="U111" s="358">
        <f ca="1">INDEX(PYRL_Summary,MATCH(W109,months,0),22)</f>
        <v>160.02000000000001</v>
      </c>
      <c r="V111" s="359">
        <f ca="1">INDEX(PYRL_Summary,MATCH(W109,months,0),23)</f>
        <v>160.02000000000001</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4.8</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2025001</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150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MT07VALL22013000000050022501702</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1423.4866666666653</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-1199.25</v>
      </c>
      <c r="R118" s="410" t="s">
        <v>188</v>
      </c>
      <c r="S118" s="411">
        <f ca="1">INDEX(PYRL_Summary,MATCH(W109,months,0),33)</f>
        <v>187.94999999999996</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Acero_Garzon Maria_Cristina</v>
      </c>
      <c r="P119" s="374" t="str">
        <f>+IDCard</f>
        <v>469971A</v>
      </c>
      <c r="Q119" s="375" t="str">
        <f>+designation</f>
        <v>7. Sup. Dental Assistant</v>
      </c>
      <c r="R119" s="376" t="s">
        <v>156</v>
      </c>
      <c r="S119" s="377">
        <f ca="1">+S120+S123+S122+S124+S125+S126+S121</f>
        <v>1733.5066666666653</v>
      </c>
      <c r="T119" s="378" t="str">
        <f>+FS4_Status</f>
        <v>SIN</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1733.5066666666653</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400.04</v>
      </c>
      <c r="U121" s="372">
        <f ca="1">INDEX(PYRL_Summary,MATCH(W119,months,0),22)</f>
        <v>200.02</v>
      </c>
      <c r="V121" s="373">
        <f ca="1">INDEX(PYRL_Summary,MATCH(W119,months,0),23)</f>
        <v>200.02</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6</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2025001</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150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MT07VALL22013000000050022501702</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1383.4866666666653</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-1399.25</v>
      </c>
      <c r="R128" s="392" t="s">
        <v>188</v>
      </c>
      <c r="S128" s="393">
        <f ca="1">INDEX(PYRL_Summary,MATCH(W119,months,0),33)</f>
        <v>187.94999999999996</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Acero_Garzon Maria_Cristina</v>
      </c>
      <c r="P129" s="394" t="str">
        <f>+IDCard</f>
        <v>469971A</v>
      </c>
      <c r="Q129" s="395" t="str">
        <f>+designation</f>
        <v>7. Sup. Dental Assistant</v>
      </c>
      <c r="R129" s="396" t="s">
        <v>156</v>
      </c>
      <c r="S129" s="397">
        <f ca="1">+S130+S133+S132+S134+S135+S136+S131</f>
        <v>1868.6066666666652</v>
      </c>
      <c r="T129" s="431" t="str">
        <f>+FS4_Status</f>
        <v>SIN</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1733.5066666666653</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320.04000000000002</v>
      </c>
      <c r="U131" s="358">
        <f ca="1">INDEX(PYRL_Summary,MATCH(W129,months,0),22)</f>
        <v>160.02000000000001</v>
      </c>
      <c r="V131" s="359">
        <f ca="1">INDEX(PYRL_Summary,MATCH(W129,months,0),23)</f>
        <v>160.02000000000001</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4.8</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2025001</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183</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MT07VALL22013000000050022501702</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1525.5866666666652</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-1559.25</v>
      </c>
      <c r="R138" s="410" t="s">
        <v>188</v>
      </c>
      <c r="S138" s="411">
        <f ca="1">INDEX(PYRL_Summary,MATCH(W129,months,0),33)</f>
        <v>187.94999999999996</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319" priority="29">
      <formula>$P25=0</formula>
    </cfRule>
  </conditionalFormatting>
  <conditionalFormatting sqref="Q25:R25">
    <cfRule type="expression" dxfId="318" priority="28">
      <formula>$R25=0</formula>
    </cfRule>
  </conditionalFormatting>
  <conditionalFormatting sqref="S25">
    <cfRule type="expression" dxfId="317" priority="27">
      <formula>$S25=0</formula>
    </cfRule>
  </conditionalFormatting>
  <conditionalFormatting sqref="S26">
    <cfRule type="expression" dxfId="316" priority="25">
      <formula>$S$46&gt;0.01</formula>
    </cfRule>
    <cfRule type="expression" dxfId="315" priority="26">
      <formula>$S$46=0</formula>
    </cfRule>
  </conditionalFormatting>
  <conditionalFormatting sqref="T23 T33 T43 T53 T63 T73 T83 T93 T103 T113 T123 T133">
    <cfRule type="expression" dxfId="314" priority="24" stopIfTrue="1">
      <formula>"$R$23=0"""</formula>
    </cfRule>
  </conditionalFormatting>
  <conditionalFormatting sqref="O26:Q26">
    <cfRule type="expression" dxfId="313" priority="23">
      <formula>$Q$26=0</formula>
    </cfRule>
  </conditionalFormatting>
  <conditionalFormatting sqref="V23">
    <cfRule type="expression" dxfId="312" priority="22">
      <formula>$V$23=0</formula>
    </cfRule>
  </conditionalFormatting>
  <conditionalFormatting sqref="O35:P35">
    <cfRule type="expression" dxfId="311" priority="21">
      <formula>$P35=0</formula>
    </cfRule>
  </conditionalFormatting>
  <conditionalFormatting sqref="Q35:R35">
    <cfRule type="expression" dxfId="310" priority="20">
      <formula>$R35=0</formula>
    </cfRule>
  </conditionalFormatting>
  <conditionalFormatting sqref="S35">
    <cfRule type="expression" dxfId="309" priority="19">
      <formula>$S35=0</formula>
    </cfRule>
  </conditionalFormatting>
  <conditionalFormatting sqref="S36">
    <cfRule type="expression" dxfId="308" priority="17">
      <formula>$S$46&gt;0.01</formula>
    </cfRule>
    <cfRule type="expression" dxfId="307" priority="18">
      <formula>$S$46=0</formula>
    </cfRule>
  </conditionalFormatting>
  <conditionalFormatting sqref="O36:Q36">
    <cfRule type="expression" dxfId="306" priority="16">
      <formula>$Q$26=0</formula>
    </cfRule>
  </conditionalFormatting>
  <conditionalFormatting sqref="V33">
    <cfRule type="expression" dxfId="305" priority="15">
      <formula>$V$23=0</formula>
    </cfRule>
  </conditionalFormatting>
  <conditionalFormatting sqref="O45:P45 O65:P65 O85:P85 O105:P105 O125:P125">
    <cfRule type="expression" dxfId="304" priority="14">
      <formula>$P45=0</formula>
    </cfRule>
  </conditionalFormatting>
  <conditionalFormatting sqref="Q45:R45 Q65:R65 Q85:R85 Q105:R105 Q125:R125">
    <cfRule type="expression" dxfId="303" priority="13">
      <formula>$R45=0</formula>
    </cfRule>
  </conditionalFormatting>
  <conditionalFormatting sqref="S45 S65 S85 S105 S125">
    <cfRule type="expression" dxfId="302" priority="12">
      <formula>$S45=0</formula>
    </cfRule>
  </conditionalFormatting>
  <conditionalFormatting sqref="S46 S66 S86 S106 S126">
    <cfRule type="expression" dxfId="301" priority="10">
      <formula>$S$46&gt;0.01</formula>
    </cfRule>
    <cfRule type="expression" dxfId="300" priority="11">
      <formula>$S$46=0</formula>
    </cfRule>
  </conditionalFormatting>
  <conditionalFormatting sqref="O46:Q46 O66:Q66 O86:Q86 O106:Q106 O126:Q126">
    <cfRule type="expression" dxfId="299" priority="9">
      <formula>$Q$26=0</formula>
    </cfRule>
  </conditionalFormatting>
  <conditionalFormatting sqref="V43 V63 V83 V103 V123">
    <cfRule type="expression" dxfId="298" priority="8">
      <formula>$V$23=0</formula>
    </cfRule>
  </conditionalFormatting>
  <conditionalFormatting sqref="O55:P55 O75:P75 O95:P95 O115:P115 O135:P135">
    <cfRule type="expression" dxfId="297" priority="7">
      <formula>$P55=0</formula>
    </cfRule>
  </conditionalFormatting>
  <conditionalFormatting sqref="Q55:R55 Q75:R75 Q95:R95 Q115:R115 Q135:R135">
    <cfRule type="expression" dxfId="296" priority="6">
      <formula>$R55=0</formula>
    </cfRule>
  </conditionalFormatting>
  <conditionalFormatting sqref="S55 S75 S95 S115 S135">
    <cfRule type="expression" dxfId="295" priority="5">
      <formula>$S55=0</formula>
    </cfRule>
  </conditionalFormatting>
  <conditionalFormatting sqref="S56 S76 S96 S116 S136">
    <cfRule type="expression" dxfId="294" priority="3">
      <formula>$S$46&gt;0.01</formula>
    </cfRule>
    <cfRule type="expression" dxfId="293" priority="4">
      <formula>$S$46=0</formula>
    </cfRule>
  </conditionalFormatting>
  <conditionalFormatting sqref="O56:Q56 O76:Q76 O96:Q96 O116:Q116 O136:Q136">
    <cfRule type="expression" dxfId="292" priority="2">
      <formula>$Q$26=0</formula>
    </cfRule>
  </conditionalFormatting>
  <conditionalFormatting sqref="V53 V73 V93 V113 V133">
    <cfRule type="expression" dxfId="291" priority="1">
      <formula>$V$23=0</formula>
    </cfRule>
  </conditionalFormatting>
  <hyperlinks>
    <hyperlink ref="F57" r:id="rId1" display="drchrisgauci@gmail.com" xr:uid="{00000000-0004-0000-10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10753"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10754"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10755"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10756"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10757"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10758"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10759"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10760"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10761"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10762"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10763"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10764"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10765"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rgb="FF04CCB9"/>
  </sheetPr>
  <dimension ref="A1"/>
  <sheetViews>
    <sheetView workbookViewId="0"/>
  </sheetViews>
  <sheetFormatPr defaultRowHeight="15" x14ac:dyDescent="0.25"/>
  <sheetData>
    <row r="1" spans="1:1" x14ac:dyDescent="0.25">
      <c r="A1" s="44" t="s">
        <v>247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0">
    <tabColor rgb="FF7030A0"/>
  </sheetPr>
  <dimension ref="A1:BJ149"/>
  <sheetViews>
    <sheetView topLeftCell="I19" workbookViewId="0"/>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RSreejith</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2023005</v>
      </c>
      <c r="O2" s="810" t="str">
        <f>CONCATENATE(LEFT(Name,1),Surname)</f>
        <v>RSreejith</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7.13</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-17.8</v>
      </c>
      <c r="AR3" s="792"/>
      <c r="AS3" s="251">
        <f ca="1">+INDIRECT("[EMPINFO.xlsm]"&amp;$O$2&amp;"!k3")</f>
        <v>-4.0999999999999996</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7.2610000000000001</v>
      </c>
      <c r="O4" s="213">
        <f>+DATA!A3</f>
        <v>46023</v>
      </c>
      <c r="P4" s="219">
        <f ca="1">+INDIRECT("[EMPINFO.xlsm]"&amp;$O$2&amp;"!G4")</f>
        <v>4</v>
      </c>
      <c r="Q4" s="215">
        <f ca="1">IF(AZ4="active",INDIRECT("[EMPINFO.xlsm]"&amp;$O$2&amp;"!H4"),0)</f>
        <v>40</v>
      </c>
      <c r="R4" s="239">
        <f ca="1">IF(AZ4&lt;&gt;"active",0,N3+COLA)</f>
        <v>7.2610000000000001</v>
      </c>
      <c r="S4" s="216">
        <f t="shared" ref="S4:S15" ca="1" si="1">+Q4*R4*4.33333333333333*AO4/AX4</f>
        <v>1258.5733333333324</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1258.5733333333324</v>
      </c>
      <c r="AA4" s="803">
        <f t="shared" ref="AA4:AA15" ca="1" si="7">IF(OR(AN4="PT",AN4="PT_Casual"),TRUNC((Z4*PT_Rate),0),(TRUNC((Z4*BB4)-(BC4/12),0)))</f>
        <v>0</v>
      </c>
      <c r="AB4" s="218">
        <f ca="1">+INDIRECT("[EMPINFO.xlsm]"&amp;$O$2&amp;"!s4")</f>
        <v>0</v>
      </c>
      <c r="AC4" s="292">
        <v>1.5</v>
      </c>
      <c r="AD4" s="218">
        <f t="shared" ref="AD4:AD15" ca="1" si="8">+AB4*(R4*AC4)</f>
        <v>0</v>
      </c>
      <c r="AE4" s="220">
        <f t="shared" ref="AE4:AE15" ca="1" si="9">+TRUNC((AD4*0.15),0)</f>
        <v>0</v>
      </c>
      <c r="AF4" s="218">
        <f t="shared" ref="AF4:AF15" ca="1" si="10">+AA4+AE4</f>
        <v>0</v>
      </c>
      <c r="AG4" s="803">
        <f t="shared" ref="AG4:AG15" ca="1" si="11">+R4*Q4</f>
        <v>290.44</v>
      </c>
      <c r="AH4" s="218">
        <f t="shared" ref="AH4:AH15" ca="1" si="12">ROUND(IF(AN4="",0,IF(OR(AN4="PT",AN4="PT_Casual"),0,IF(AM4="B",ROUND(SSCBemployermultiplier*P4,2),IF(AM4="c",SOCSECCRATE*AG4*P4,IF(AM4="D",ROUND(socsecrateD*P4,2)))))),2)</f>
        <v>116.18</v>
      </c>
      <c r="AI4" s="803">
        <f t="shared" ref="AI4:AI15" ca="1" si="13">ROUND(IF(AN4="",0,IF(OR(AN4="PT",AN4="PT_Casual"),0,IF(AM4="B",ROUND(SSCBemployermultiplier*P4,2),IF(AM4="c",SOCSECCRATE*AG4*P4,IF(AM4="D",ROUND(socsecrateD*P4,2)))))),2)</f>
        <v>116.18</v>
      </c>
      <c r="AJ4" s="218">
        <f t="shared" ref="AJ4:AJ16" ca="1" si="14">+AH4+AI4</f>
        <v>232.36</v>
      </c>
      <c r="AK4" s="803">
        <f t="shared" ref="AK4:AK15" ca="1" si="15">ROUND(IF(AN4="",0,IF(OR(AN4="PT",AN4="PT_Casual"),0,IF(AM4="B",SSCBmlfmultiplier*P4,IF(AM4="c",SSCCmlfmultiplier*P4*AG4,IF(AM4="D",SSCDmlfmultiplier*P4))))),2)</f>
        <v>3.49</v>
      </c>
      <c r="AL4" s="218">
        <f ca="1">+Z4+AH4+AK4</f>
        <v>1378.2433333333324</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-3.0100000000000193</v>
      </c>
      <c r="AQ4" s="840">
        <f ca="1">+INDIRECT("[EMPINFO.xlsm]"&amp;$O$2&amp;"!p4")</f>
        <v>-20.81000000000002</v>
      </c>
      <c r="AR4" s="226">
        <f ca="1">+INDIRECT("[EMPINFO.xlsm]"&amp;$O$2&amp;"!j4")</f>
        <v>27.53</v>
      </c>
      <c r="AS4" s="840">
        <f ca="1">+INDIRECT("[EMPINFO.xlsm]"&amp;$O$2&amp;"!k4")</f>
        <v>192.36999999999998</v>
      </c>
      <c r="AT4" s="226">
        <f ca="1">+INDIRECT("[EMPINFO.xlsm]"&amp;$O$2&amp;"!m4")</f>
        <v>19.5</v>
      </c>
      <c r="AU4" s="844">
        <f ca="1">+INDIRECT("[EMPINFO.xlsm]"&amp;$O$2&amp;"!n4")</f>
        <v>220.5</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v>
      </c>
      <c r="BC4" s="289">
        <f t="shared" ref="BC4:BC15" ca="1" si="21">IF((Z4*12)&lt;$F$68,$H$68,IF((Z4*12)&lt;$F$69,$H$69,IF((Z4*12)&lt;$F$70,$H$70,IF((Z4*12)&lt;$F$71,$H$71,$H$72))))</f>
        <v>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7.2610000000000001</v>
      </c>
      <c r="O5" s="213">
        <f>+DATA!A4</f>
        <v>46054</v>
      </c>
      <c r="P5" s="219">
        <f ca="1">+INDIRECT("[EMPINFO.xlsm]"&amp;$O$2&amp;"!G5")</f>
        <v>4</v>
      </c>
      <c r="Q5" s="215">
        <f ca="1">IF(AZ5="active",INDIRECT("[EMPINFO.xlsm]"&amp;$O$2&amp;"!H5"),0)</f>
        <v>40</v>
      </c>
      <c r="R5" s="239">
        <f t="shared" ref="R5:R15" ca="1" si="22">+R4</f>
        <v>7.2610000000000001</v>
      </c>
      <c r="S5" s="216">
        <f t="shared" ca="1" si="1"/>
        <v>1258.5733333333324</v>
      </c>
      <c r="T5" s="220">
        <f t="shared" ca="1" si="2"/>
        <v>0</v>
      </c>
      <c r="U5" s="218">
        <f t="shared" ca="1" si="3"/>
        <v>0</v>
      </c>
      <c r="V5" s="220">
        <f ca="1">+feboth*febhrrt</f>
        <v>0</v>
      </c>
      <c r="W5" s="201"/>
      <c r="X5" s="218">
        <f t="shared" ca="1" si="4"/>
        <v>0</v>
      </c>
      <c r="Y5" s="803">
        <f t="shared" ca="1" si="5"/>
        <v>0</v>
      </c>
      <c r="Z5" s="218">
        <f t="shared" ca="1" si="6"/>
        <v>1258.5733333333324</v>
      </c>
      <c r="AA5" s="803">
        <f t="shared" ca="1" si="7"/>
        <v>0</v>
      </c>
      <c r="AB5" s="218">
        <f ca="1">+INDIRECT("[EMPINFO.xlsm]"&amp;$O$2&amp;"!s5")</f>
        <v>0</v>
      </c>
      <c r="AC5" s="292">
        <v>1.5</v>
      </c>
      <c r="AD5" s="218">
        <f t="shared" ca="1" si="8"/>
        <v>0</v>
      </c>
      <c r="AE5" s="220">
        <f t="shared" ca="1" si="9"/>
        <v>0</v>
      </c>
      <c r="AF5" s="218">
        <f t="shared" ca="1" si="10"/>
        <v>0</v>
      </c>
      <c r="AG5" s="803">
        <f t="shared" ca="1" si="11"/>
        <v>290.44</v>
      </c>
      <c r="AH5" s="218">
        <f t="shared" ca="1" si="12"/>
        <v>116.18</v>
      </c>
      <c r="AI5" s="803">
        <f t="shared" ca="1" si="13"/>
        <v>116.18</v>
      </c>
      <c r="AJ5" s="218">
        <f t="shared" ca="1" si="14"/>
        <v>232.36</v>
      </c>
      <c r="AK5" s="803">
        <f t="shared" ca="1" si="15"/>
        <v>3.49</v>
      </c>
      <c r="AL5" s="218">
        <f t="shared" ref="AL5:AL15" ca="1" si="23">+Z5+AI5+AK5</f>
        <v>1378.2433333333324</v>
      </c>
      <c r="AM5" s="290" t="str">
        <f t="shared" ca="1" si="16"/>
        <v>C</v>
      </c>
      <c r="AN5" s="291" t="str">
        <f t="shared" ca="1" si="17"/>
        <v>FT</v>
      </c>
      <c r="AO5" s="223">
        <f ca="1">+INDIRECT("[EMPINFO.xlsm]"&amp;$O$2&amp;"!t5")</f>
        <v>28</v>
      </c>
      <c r="AP5" s="226">
        <f ca="1">+INDIRECT("[EMPINFO.xlsm]"&amp;$O$2&amp;"!o5")</f>
        <v>-2.0000000000010232E-2</v>
      </c>
      <c r="AQ5" s="840">
        <f ca="1">+INDIRECT("[EMPINFO.xlsm]"&amp;$O$2&amp;"!p5")</f>
        <v>-20.83000000000003</v>
      </c>
      <c r="AR5" s="226">
        <f ca="1">+INDIRECT("[EMPINFO.xlsm]"&amp;$O$2&amp;"!j5")</f>
        <v>22.5</v>
      </c>
      <c r="AS5" s="840">
        <f ca="1">+INDIRECT("[EMPINFO.xlsm]"&amp;$O$2&amp;"!k5")</f>
        <v>169.86999999999998</v>
      </c>
      <c r="AT5" s="226">
        <f ca="1">+INDIRECT("[EMPINFO.xlsm]"&amp;$O$2&amp;"!m5")</f>
        <v>0</v>
      </c>
      <c r="AU5" s="844">
        <f ca="1">+INDIRECT("[EMPINFO.xlsm]"&amp;$O$2&amp;"!n5")</f>
        <v>220.5</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v>
      </c>
      <c r="BC5" s="289">
        <f t="shared" ca="1" si="21"/>
        <v>0</v>
      </c>
      <c r="BD5" s="255"/>
      <c r="BE5" s="205"/>
      <c r="BG5" s="27"/>
      <c r="BH5" s="28"/>
    </row>
    <row r="6" spans="1:62" ht="15.75" customHeight="1" thickBot="1" x14ac:dyDescent="0.3">
      <c r="A6" s="54"/>
      <c r="B6" s="2" t="s">
        <v>135</v>
      </c>
      <c r="C6" s="921" t="str">
        <f>INDEX([1]!empdata,MATCH(ID,[1]!empid,0),3)</f>
        <v>Sreejith</v>
      </c>
      <c r="D6" s="922"/>
      <c r="E6" s="922"/>
      <c r="F6" s="886"/>
      <c r="I6" s="312" t="s">
        <v>136</v>
      </c>
      <c r="L6" s="101"/>
      <c r="M6" s="303"/>
      <c r="N6" s="211">
        <f t="shared" ca="1" si="0"/>
        <v>7.2610000000000001</v>
      </c>
      <c r="O6" s="213">
        <f>+DATA!A5</f>
        <v>46082</v>
      </c>
      <c r="P6" s="219">
        <f ca="1">+INDIRECT("[EMPINFO.xlsm]"&amp;$O$2&amp;"!G6")</f>
        <v>5</v>
      </c>
      <c r="Q6" s="215">
        <f ca="1">IF(AZ6="active",INDIRECT("[EMPINFO.xlsm]"&amp;$O$2&amp;"!H6"),0)</f>
        <v>40</v>
      </c>
      <c r="R6" s="239">
        <f t="shared" ca="1" si="22"/>
        <v>7.2610000000000001</v>
      </c>
      <c r="S6" s="216">
        <f t="shared" ca="1" si="1"/>
        <v>1258.5733333333324</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1379.7333333333324</v>
      </c>
      <c r="AA6" s="803">
        <f t="shared" ca="1" si="7"/>
        <v>0</v>
      </c>
      <c r="AB6" s="218">
        <f ca="1">+INDIRECT("[EMPINFO.xlsm]"&amp;$O$2&amp;"!s6")</f>
        <v>0</v>
      </c>
      <c r="AC6" s="292">
        <v>1.5</v>
      </c>
      <c r="AD6" s="218">
        <f t="shared" ca="1" si="8"/>
        <v>0</v>
      </c>
      <c r="AE6" s="220">
        <f t="shared" ca="1" si="9"/>
        <v>0</v>
      </c>
      <c r="AF6" s="218">
        <f t="shared" ca="1" si="10"/>
        <v>0</v>
      </c>
      <c r="AG6" s="803">
        <f t="shared" ca="1" si="11"/>
        <v>290.44</v>
      </c>
      <c r="AH6" s="218">
        <f t="shared" ca="1" si="12"/>
        <v>145.22</v>
      </c>
      <c r="AI6" s="803">
        <f t="shared" ca="1" si="13"/>
        <v>145.22</v>
      </c>
      <c r="AJ6" s="218">
        <f t="shared" ca="1" si="14"/>
        <v>290.44</v>
      </c>
      <c r="AK6" s="803">
        <f t="shared" ca="1" si="15"/>
        <v>4.3600000000000003</v>
      </c>
      <c r="AL6" s="218">
        <f t="shared" ca="1" si="23"/>
        <v>1529.3133333333324</v>
      </c>
      <c r="AM6" s="290" t="str">
        <f t="shared" ca="1" si="16"/>
        <v>C</v>
      </c>
      <c r="AN6" s="291" t="str">
        <f t="shared" ca="1" si="17"/>
        <v>FT</v>
      </c>
      <c r="AO6" s="223">
        <f ca="1">+INDIRECT("[EMPINFO.xlsm]"&amp;$O$2&amp;"!t6")</f>
        <v>31</v>
      </c>
      <c r="AP6" s="226">
        <f ca="1">+INDIRECT("[EMPINFO.xlsm]"&amp;$O$2&amp;"!o6")</f>
        <v>-160</v>
      </c>
      <c r="AQ6" s="840">
        <f ca="1">+INDIRECT("[EMPINFO.xlsm]"&amp;$O$2&amp;"!p6")</f>
        <v>-180.83000000000004</v>
      </c>
      <c r="AR6" s="226">
        <f ca="1">+INDIRECT("[EMPINFO.xlsm]"&amp;$O$2&amp;"!j6")</f>
        <v>0</v>
      </c>
      <c r="AS6" s="840">
        <f ca="1">+INDIRECT("[EMPINFO.xlsm]"&amp;$O$2&amp;"!k6")</f>
        <v>169.86999999999998</v>
      </c>
      <c r="AT6" s="226">
        <f ca="1">+INDIRECT("[EMPINFO.xlsm]"&amp;$O$2&amp;"!m6")</f>
        <v>0</v>
      </c>
      <c r="AU6" s="844">
        <f ca="1">+INDIRECT("[EMPINFO.xlsm]"&amp;$O$2&amp;"!n6")</f>
        <v>220.5</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v>
      </c>
      <c r="BC6" s="289">
        <f t="shared" ca="1" si="21"/>
        <v>0</v>
      </c>
      <c r="BD6" s="255"/>
      <c r="BE6" s="206"/>
    </row>
    <row r="7" spans="1:62" ht="15.75" customHeight="1" thickBot="1" x14ac:dyDescent="0.3">
      <c r="A7" s="54"/>
      <c r="B7" s="3" t="s">
        <v>137</v>
      </c>
      <c r="C7" s="921" t="str">
        <f>INDEX([1]!empdata,MATCH(ID,[1]!empid,0),4)</f>
        <v>Rethu</v>
      </c>
      <c r="D7" s="922"/>
      <c r="E7" s="922"/>
      <c r="F7" s="886"/>
      <c r="H7" s="312" t="s">
        <v>138</v>
      </c>
      <c r="I7" s="927" t="str">
        <f>INDEX([1]!empdata,MATCH(ID,[1]!empid,0),6)</f>
        <v>335048A</v>
      </c>
      <c r="J7" s="859"/>
      <c r="K7" s="857"/>
      <c r="L7" s="101"/>
      <c r="M7" s="303"/>
      <c r="N7" s="211">
        <f t="shared" ca="1" si="0"/>
        <v>7.2610000000000001</v>
      </c>
      <c r="O7" s="213">
        <f>+DATA!A6</f>
        <v>46113</v>
      </c>
      <c r="P7" s="219">
        <f ca="1">+INDIRECT("[EMPINFO.xlsm]"&amp;$O$2&amp;"!G7")</f>
        <v>4</v>
      </c>
      <c r="Q7" s="215">
        <f ca="1">IF(AZ7="active",INDIRECT("[EMPINFO.xlsm]"&amp;$O$2&amp;"!H7"),0)</f>
        <v>40</v>
      </c>
      <c r="R7" s="239">
        <f t="shared" ca="1" si="22"/>
        <v>7.2610000000000001</v>
      </c>
      <c r="S7" s="216">
        <f t="shared" ca="1" si="1"/>
        <v>1258.5733333333324</v>
      </c>
      <c r="T7" s="220">
        <f t="shared" ca="1" si="2"/>
        <v>0</v>
      </c>
      <c r="U7" s="218">
        <f t="shared" ca="1" si="3"/>
        <v>0</v>
      </c>
      <c r="V7" s="220">
        <f ca="1">+aproth*aprhrrt</f>
        <v>0</v>
      </c>
      <c r="W7" s="201"/>
      <c r="X7" s="218">
        <f t="shared" ca="1" si="4"/>
        <v>0</v>
      </c>
      <c r="Y7" s="803">
        <f t="shared" ca="1" si="5"/>
        <v>0</v>
      </c>
      <c r="Z7" s="218">
        <f t="shared" ca="1" si="6"/>
        <v>1258.5733333333324</v>
      </c>
      <c r="AA7" s="803">
        <f t="shared" ca="1" si="7"/>
        <v>0</v>
      </c>
      <c r="AB7" s="218">
        <f ca="1">+INDIRECT("[EMPINFO.xlsm]"&amp;$O$2&amp;"!s7")</f>
        <v>0</v>
      </c>
      <c r="AC7" s="292">
        <v>1.5</v>
      </c>
      <c r="AD7" s="218">
        <f t="shared" ca="1" si="8"/>
        <v>0</v>
      </c>
      <c r="AE7" s="220">
        <f t="shared" ca="1" si="9"/>
        <v>0</v>
      </c>
      <c r="AF7" s="218">
        <f t="shared" ca="1" si="10"/>
        <v>0</v>
      </c>
      <c r="AG7" s="803">
        <f t="shared" ca="1" si="11"/>
        <v>290.44</v>
      </c>
      <c r="AH7" s="218">
        <f t="shared" ca="1" si="12"/>
        <v>116.18</v>
      </c>
      <c r="AI7" s="803">
        <f t="shared" ca="1" si="13"/>
        <v>116.18</v>
      </c>
      <c r="AJ7" s="218">
        <f t="shared" ca="1" si="14"/>
        <v>232.36</v>
      </c>
      <c r="AK7" s="803">
        <f t="shared" ca="1" si="15"/>
        <v>3.49</v>
      </c>
      <c r="AL7" s="218">
        <f t="shared" ca="1" si="23"/>
        <v>1378.2433333333324</v>
      </c>
      <c r="AM7" s="290" t="str">
        <f t="shared" ca="1" si="16"/>
        <v>C</v>
      </c>
      <c r="AN7" s="291" t="str">
        <f t="shared" ca="1" si="17"/>
        <v>FT</v>
      </c>
      <c r="AO7" s="223">
        <f ca="1">+INDIRECT("[EMPINFO.xlsm]"&amp;$O$2&amp;"!t7")</f>
        <v>30</v>
      </c>
      <c r="AP7" s="226">
        <f ca="1">+INDIRECT("[EMPINFO.xlsm]"&amp;$O$2&amp;"!o7")</f>
        <v>-160</v>
      </c>
      <c r="AQ7" s="840">
        <f ca="1">+INDIRECT("[EMPINFO.xlsm]"&amp;$O$2&amp;"!p7")</f>
        <v>-340.83000000000004</v>
      </c>
      <c r="AR7" s="226">
        <f ca="1">+INDIRECT("[EMPINFO.xlsm]"&amp;$O$2&amp;"!j7")</f>
        <v>0</v>
      </c>
      <c r="AS7" s="840">
        <f ca="1">+INDIRECT("[EMPINFO.xlsm]"&amp;$O$2&amp;"!k7")</f>
        <v>169.86999999999998</v>
      </c>
      <c r="AT7" s="226">
        <f ca="1">+INDIRECT("[EMPINFO.xlsm]"&amp;$O$2&amp;"!m7")</f>
        <v>0</v>
      </c>
      <c r="AU7" s="844">
        <f ca="1">+INDIRECT("[EMPINFO.xlsm]"&amp;$O$2&amp;"!n7")</f>
        <v>220.5</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v>
      </c>
      <c r="BC7" s="289">
        <f t="shared" ca="1" si="21"/>
        <v>0</v>
      </c>
      <c r="BD7" s="255"/>
      <c r="BE7" s="206"/>
    </row>
    <row r="8" spans="1:62" ht="15.75" customHeight="1" thickBot="1" x14ac:dyDescent="0.3">
      <c r="A8" s="54"/>
      <c r="B8" s="3" t="s">
        <v>139</v>
      </c>
      <c r="C8" s="921" t="str">
        <f>INDEX([1]!empdata,MATCH(ID,[1]!empid,0),18)</f>
        <v>12, FL2</v>
      </c>
      <c r="D8" s="922"/>
      <c r="E8" s="922"/>
      <c r="F8" s="886"/>
      <c r="I8" s="312" t="s">
        <v>140</v>
      </c>
      <c r="L8" s="101"/>
      <c r="M8" s="303"/>
      <c r="N8" s="211">
        <f t="shared" ca="1" si="0"/>
        <v>7.2610000000000001</v>
      </c>
      <c r="O8" s="213">
        <f>+DATA!A7</f>
        <v>46143</v>
      </c>
      <c r="P8" s="219">
        <f ca="1">+INDIRECT("[EMPINFO.xlsm]"&amp;$O$2&amp;"!G8")</f>
        <v>4</v>
      </c>
      <c r="Q8" s="215">
        <f ca="1">IF(AZ8="active",INDIRECT("[EMPINFO.xlsm]"&amp;$O$2&amp;"!H8"),0)</f>
        <v>40</v>
      </c>
      <c r="R8" s="239">
        <f t="shared" ca="1" si="22"/>
        <v>7.2610000000000001</v>
      </c>
      <c r="S8" s="216">
        <f t="shared" ca="1" si="1"/>
        <v>1258.5733333333324</v>
      </c>
      <c r="T8" s="220">
        <f t="shared" ca="1" si="2"/>
        <v>0</v>
      </c>
      <c r="U8" s="218">
        <f t="shared" ca="1" si="3"/>
        <v>0</v>
      </c>
      <c r="V8" s="220">
        <f ca="1">+mayoth*mayhrrt</f>
        <v>0</v>
      </c>
      <c r="W8" s="201"/>
      <c r="X8" s="218">
        <f t="shared" ca="1" si="4"/>
        <v>0</v>
      </c>
      <c r="Y8" s="803">
        <f t="shared" ca="1" si="5"/>
        <v>0</v>
      </c>
      <c r="Z8" s="218">
        <f t="shared" ca="1" si="6"/>
        <v>1258.5733333333324</v>
      </c>
      <c r="AA8" s="803">
        <f t="shared" ca="1" si="7"/>
        <v>0</v>
      </c>
      <c r="AB8" s="218">
        <f ca="1">+INDIRECT("[EMPINFO.xlsm]"&amp;$O$2&amp;"!s8")</f>
        <v>0</v>
      </c>
      <c r="AC8" s="292">
        <v>1.5</v>
      </c>
      <c r="AD8" s="218">
        <f t="shared" ca="1" si="8"/>
        <v>0</v>
      </c>
      <c r="AE8" s="220">
        <f t="shared" ca="1" si="9"/>
        <v>0</v>
      </c>
      <c r="AF8" s="218">
        <f t="shared" ca="1" si="10"/>
        <v>0</v>
      </c>
      <c r="AG8" s="803">
        <f t="shared" ca="1" si="11"/>
        <v>290.44</v>
      </c>
      <c r="AH8" s="218">
        <f t="shared" ca="1" si="12"/>
        <v>116.18</v>
      </c>
      <c r="AI8" s="803">
        <f t="shared" ca="1" si="13"/>
        <v>116.18</v>
      </c>
      <c r="AJ8" s="218">
        <f t="shared" ca="1" si="14"/>
        <v>232.36</v>
      </c>
      <c r="AK8" s="803">
        <f t="shared" ca="1" si="15"/>
        <v>3.49</v>
      </c>
      <c r="AL8" s="218">
        <f t="shared" ca="1" si="23"/>
        <v>1378.2433333333324</v>
      </c>
      <c r="AM8" s="290" t="str">
        <f t="shared" ca="1" si="16"/>
        <v>C</v>
      </c>
      <c r="AN8" s="291" t="str">
        <f t="shared" ca="1" si="17"/>
        <v>FT</v>
      </c>
      <c r="AO8" s="223">
        <f ca="1">+INDIRECT("[EMPINFO.xlsm]"&amp;$O$2&amp;"!t8")</f>
        <v>31</v>
      </c>
      <c r="AP8" s="226">
        <f ca="1">+INDIRECT("[EMPINFO.xlsm]"&amp;$O$2&amp;"!o8")</f>
        <v>-200</v>
      </c>
      <c r="AQ8" s="840">
        <f ca="1">+INDIRECT("[EMPINFO.xlsm]"&amp;$O$2&amp;"!p8")</f>
        <v>-540.83000000000004</v>
      </c>
      <c r="AR8" s="226">
        <f ca="1">+INDIRECT("[EMPINFO.xlsm]"&amp;$O$2&amp;"!j8")</f>
        <v>0</v>
      </c>
      <c r="AS8" s="840">
        <f ca="1">+INDIRECT("[EMPINFO.xlsm]"&amp;$O$2&amp;"!k8")</f>
        <v>169.86999999999998</v>
      </c>
      <c r="AT8" s="226">
        <f ca="1">+INDIRECT("[EMPINFO.xlsm]"&amp;$O$2&amp;"!m8")</f>
        <v>0</v>
      </c>
      <c r="AU8" s="844">
        <f ca="1">+INDIRECT("[EMPINFO.xlsm]"&amp;$O$2&amp;"!n8")</f>
        <v>220.5</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v>
      </c>
      <c r="BC8" s="289">
        <f t="shared" ca="1" si="21"/>
        <v>0</v>
      </c>
      <c r="BD8" s="255"/>
      <c r="BE8" s="206"/>
    </row>
    <row r="9" spans="1:62" ht="15.75" customHeight="1" thickBot="1" x14ac:dyDescent="0.3">
      <c r="A9" s="54"/>
      <c r="B9" s="4" t="s">
        <v>141</v>
      </c>
      <c r="C9" s="921" t="str">
        <f>INDEX([1]!empdata,MATCH(ID,[1]!empid,0),19)</f>
        <v>TRIQ L-GHOLJIET</v>
      </c>
      <c r="D9" s="922"/>
      <c r="E9" s="922"/>
      <c r="F9" s="886"/>
      <c r="H9" s="312" t="s">
        <v>20</v>
      </c>
      <c r="I9" s="927" t="str">
        <f>INDEX([1]!empdata,MATCH(ID,[1]!empid,0),14)</f>
        <v>A72592177</v>
      </c>
      <c r="J9" s="859"/>
      <c r="K9" s="857"/>
      <c r="L9" s="101"/>
      <c r="M9" s="303"/>
      <c r="N9" s="211">
        <f t="shared" ca="1" si="0"/>
        <v>7.2610000000000001</v>
      </c>
      <c r="O9" s="213">
        <f>+DATA!A8</f>
        <v>46174</v>
      </c>
      <c r="P9" s="219">
        <f ca="1">+INDIRECT("[EMPINFO.xlsm]"&amp;$O$2&amp;"!G9")</f>
        <v>5</v>
      </c>
      <c r="Q9" s="215">
        <f ca="1">IF(AZ9="active",INDIRECT("[EMPINFO.xlsm]"&amp;$O$2&amp;"!H9"),0)</f>
        <v>40</v>
      </c>
      <c r="R9" s="239">
        <f t="shared" ca="1" si="22"/>
        <v>7.2610000000000001</v>
      </c>
      <c r="S9" s="216">
        <f t="shared" ca="1" si="1"/>
        <v>1258.5733333333324</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1393.6733333333323</v>
      </c>
      <c r="AA9" s="803">
        <f t="shared" ca="1" si="7"/>
        <v>0</v>
      </c>
      <c r="AB9" s="218">
        <f ca="1">+INDIRECT("[EMPINFO.xlsm]"&amp;$O$2&amp;"!s9")</f>
        <v>0</v>
      </c>
      <c r="AC9" s="292">
        <v>1.5</v>
      </c>
      <c r="AD9" s="218">
        <f t="shared" ca="1" si="8"/>
        <v>0</v>
      </c>
      <c r="AE9" s="220">
        <f t="shared" ca="1" si="9"/>
        <v>0</v>
      </c>
      <c r="AF9" s="218">
        <f t="shared" ca="1" si="10"/>
        <v>0</v>
      </c>
      <c r="AG9" s="803">
        <f t="shared" ca="1" si="11"/>
        <v>290.44</v>
      </c>
      <c r="AH9" s="218">
        <f t="shared" ca="1" si="12"/>
        <v>145.22</v>
      </c>
      <c r="AI9" s="803">
        <f t="shared" ca="1" si="13"/>
        <v>145.22</v>
      </c>
      <c r="AJ9" s="218">
        <f t="shared" ca="1" si="14"/>
        <v>290.44</v>
      </c>
      <c r="AK9" s="803">
        <f t="shared" ca="1" si="15"/>
        <v>4.3600000000000003</v>
      </c>
      <c r="AL9" s="218">
        <f t="shared" ca="1" si="23"/>
        <v>1543.2533333333322</v>
      </c>
      <c r="AM9" s="290" t="str">
        <f t="shared" ca="1" si="16"/>
        <v>C</v>
      </c>
      <c r="AN9" s="291" t="str">
        <f t="shared" ca="1" si="17"/>
        <v>FT</v>
      </c>
      <c r="AO9" s="223">
        <f ca="1">+INDIRECT("[EMPINFO.xlsm]"&amp;$O$2&amp;"!t9")</f>
        <v>30</v>
      </c>
      <c r="AP9" s="226">
        <f ca="1">+INDIRECT("[EMPINFO.xlsm]"&amp;$O$2&amp;"!o9")</f>
        <v>-160</v>
      </c>
      <c r="AQ9" s="840">
        <f ca="1">+INDIRECT("[EMPINFO.xlsm]"&amp;$O$2&amp;"!p9")</f>
        <v>-700.83</v>
      </c>
      <c r="AR9" s="226">
        <f ca="1">+INDIRECT("[EMPINFO.xlsm]"&amp;$O$2&amp;"!j9")</f>
        <v>0</v>
      </c>
      <c r="AS9" s="840">
        <f ca="1">+INDIRECT("[EMPINFO.xlsm]"&amp;$O$2&amp;"!k9")</f>
        <v>169.86999999999998</v>
      </c>
      <c r="AT9" s="226">
        <f ca="1">+INDIRECT("[EMPINFO.xlsm]"&amp;$O$2&amp;"!m9")</f>
        <v>0</v>
      </c>
      <c r="AU9" s="844">
        <f ca="1">+INDIRECT("[EMPINFO.xlsm]"&amp;$O$2&amp;"!n9")</f>
        <v>220.5</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v>
      </c>
      <c r="BC9" s="289">
        <f t="shared" ca="1" si="21"/>
        <v>0</v>
      </c>
      <c r="BD9" s="255"/>
      <c r="BE9" s="206"/>
    </row>
    <row r="10" spans="1:62" ht="15.75" customHeight="1" thickBot="1" x14ac:dyDescent="0.3">
      <c r="A10" s="54"/>
      <c r="B10" s="5" t="s">
        <v>142</v>
      </c>
      <c r="C10" s="921" t="str">
        <f>INDEX([1]!empdata,MATCH(ID,[1]!empid,0),20)</f>
        <v>IL - MELLIEHA</v>
      </c>
      <c r="D10" s="922"/>
      <c r="E10" s="922"/>
      <c r="F10" s="886"/>
      <c r="I10" s="312" t="s">
        <v>143</v>
      </c>
      <c r="L10" s="101"/>
      <c r="M10" s="303"/>
      <c r="N10" s="211">
        <f t="shared" ca="1" si="0"/>
        <v>7.2610000000000001</v>
      </c>
      <c r="O10" s="213">
        <f>+DATA!A9</f>
        <v>46204</v>
      </c>
      <c r="P10" s="219">
        <f ca="1">+INDIRECT("[EMPINFO.xlsm]"&amp;$O$2&amp;"!G10")</f>
        <v>4</v>
      </c>
      <c r="Q10" s="215">
        <f ca="1">IF(AZ10="active",INDIRECT("[EMPINFO.xlsm]"&amp;$O$2&amp;"!H10"),0)</f>
        <v>40</v>
      </c>
      <c r="R10" s="239">
        <f t="shared" ca="1" si="22"/>
        <v>7.2610000000000001</v>
      </c>
      <c r="S10" s="216">
        <f t="shared" ca="1" si="1"/>
        <v>1258.5733333333324</v>
      </c>
      <c r="T10" s="220">
        <f t="shared" ca="1" si="2"/>
        <v>0</v>
      </c>
      <c r="U10" s="218">
        <f t="shared" ca="1" si="3"/>
        <v>0</v>
      </c>
      <c r="V10" s="220">
        <f ca="1">+juloth*julhrrt</f>
        <v>0</v>
      </c>
      <c r="W10" s="201"/>
      <c r="X10" s="218">
        <f t="shared" ca="1" si="4"/>
        <v>0</v>
      </c>
      <c r="Y10" s="803">
        <f t="shared" ca="1" si="5"/>
        <v>0</v>
      </c>
      <c r="Z10" s="218">
        <f t="shared" ca="1" si="6"/>
        <v>1258.5733333333324</v>
      </c>
      <c r="AA10" s="803">
        <f t="shared" ca="1" si="7"/>
        <v>0</v>
      </c>
      <c r="AB10" s="218">
        <f ca="1">+INDIRECT("[EMPINFO.xlsm]"&amp;$O$2&amp;"!s10")</f>
        <v>0</v>
      </c>
      <c r="AC10" s="292">
        <v>1.5</v>
      </c>
      <c r="AD10" s="218">
        <f t="shared" ca="1" si="8"/>
        <v>0</v>
      </c>
      <c r="AE10" s="220">
        <f t="shared" ca="1" si="9"/>
        <v>0</v>
      </c>
      <c r="AF10" s="218">
        <f t="shared" ca="1" si="10"/>
        <v>0</v>
      </c>
      <c r="AG10" s="803">
        <f t="shared" ca="1" si="11"/>
        <v>290.44</v>
      </c>
      <c r="AH10" s="218">
        <f t="shared" ca="1" si="12"/>
        <v>116.18</v>
      </c>
      <c r="AI10" s="803">
        <f t="shared" ca="1" si="13"/>
        <v>116.18</v>
      </c>
      <c r="AJ10" s="218">
        <f t="shared" ca="1" si="14"/>
        <v>232.36</v>
      </c>
      <c r="AK10" s="803">
        <f t="shared" ca="1" si="15"/>
        <v>3.49</v>
      </c>
      <c r="AL10" s="218">
        <f t="shared" ca="1" si="23"/>
        <v>1378.2433333333324</v>
      </c>
      <c r="AM10" s="290" t="str">
        <f t="shared" ca="1" si="16"/>
        <v>C</v>
      </c>
      <c r="AN10" s="291" t="str">
        <f t="shared" ca="1" si="17"/>
        <v>FT</v>
      </c>
      <c r="AO10" s="223">
        <f ca="1">+INDIRECT("[EMPINFO.xlsm]"&amp;$O$2&amp;"!t10")</f>
        <v>31</v>
      </c>
      <c r="AP10" s="226">
        <f ca="1">+INDIRECT("[EMPINFO.xlsm]"&amp;$O$2&amp;"!o10")</f>
        <v>-160</v>
      </c>
      <c r="AQ10" s="840">
        <f ca="1">+INDIRECT("[EMPINFO.xlsm]"&amp;$O$2&amp;"!p10")</f>
        <v>-860.83</v>
      </c>
      <c r="AR10" s="226">
        <f ca="1">+INDIRECT("[EMPINFO.xlsm]"&amp;$O$2&amp;"!j10")</f>
        <v>0</v>
      </c>
      <c r="AS10" s="840">
        <f ca="1">+INDIRECT("[EMPINFO.xlsm]"&amp;$O$2&amp;"!k10")</f>
        <v>169.86999999999998</v>
      </c>
      <c r="AT10" s="226">
        <f ca="1">+INDIRECT("[EMPINFO.xlsm]"&amp;$O$2&amp;"!m10")</f>
        <v>0</v>
      </c>
      <c r="AU10" s="844">
        <f ca="1">+INDIRECT("[EMPINFO.xlsm]"&amp;$O$2&amp;"!n10")</f>
        <v>220.5</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v>
      </c>
      <c r="BC10" s="289">
        <f t="shared" ca="1" si="21"/>
        <v>0</v>
      </c>
      <c r="BD10" s="255"/>
      <c r="BE10" s="206"/>
      <c r="BF10" s="32"/>
      <c r="BH10" s="32"/>
      <c r="BI10" s="30"/>
      <c r="BJ10" s="31"/>
    </row>
    <row r="11" spans="1:62" ht="15.75" customHeight="1" thickBot="1" x14ac:dyDescent="0.3">
      <c r="A11" s="54"/>
      <c r="B11" s="6" t="s">
        <v>144</v>
      </c>
      <c r="C11" s="921" t="str">
        <f>INDEX([1]!empdata,MATCH(ID,[1]!empid,0),21)</f>
        <v>MLH2104</v>
      </c>
      <c r="D11" s="922"/>
      <c r="E11" s="922"/>
      <c r="F11" s="886"/>
      <c r="H11" s="312" t="s">
        <v>31</v>
      </c>
      <c r="I11" s="927" t="str">
        <f>INDEX([1]!empdata,MATCH(ID,[1]!empid,0),7)</f>
        <v>255101A</v>
      </c>
      <c r="J11" s="859"/>
      <c r="K11" s="857"/>
      <c r="L11" s="101"/>
      <c r="M11" s="303"/>
      <c r="N11" s="211">
        <f t="shared" ca="1" si="0"/>
        <v>7.2610000000000001</v>
      </c>
      <c r="O11" s="213">
        <f>+DATA!A10</f>
        <v>46235</v>
      </c>
      <c r="P11" s="219">
        <f ca="1">+INDIRECT("[EMPINFO.xlsm]"&amp;$O$2&amp;"!G11")</f>
        <v>5</v>
      </c>
      <c r="Q11" s="215">
        <f ca="1">IF(AZ11="active",INDIRECT("[EMPINFO.xlsm]"&amp;$O$2&amp;"!H11"),0)</f>
        <v>40</v>
      </c>
      <c r="R11" s="239">
        <f t="shared" ca="1" si="22"/>
        <v>7.2610000000000001</v>
      </c>
      <c r="S11" s="216">
        <f t="shared" ca="1" si="1"/>
        <v>1258.5733333333324</v>
      </c>
      <c r="T11" s="220">
        <f t="shared" ca="1" si="2"/>
        <v>0</v>
      </c>
      <c r="U11" s="218">
        <f t="shared" ca="1" si="3"/>
        <v>0</v>
      </c>
      <c r="V11" s="220">
        <f ca="1">+augoth*aughrrt</f>
        <v>0</v>
      </c>
      <c r="W11" s="201"/>
      <c r="X11" s="218">
        <f t="shared" ca="1" si="4"/>
        <v>0</v>
      </c>
      <c r="Y11" s="803">
        <f t="shared" ca="1" si="5"/>
        <v>0</v>
      </c>
      <c r="Z11" s="218">
        <f t="shared" ca="1" si="6"/>
        <v>1258.5733333333324</v>
      </c>
      <c r="AA11" s="803">
        <f t="shared" ca="1" si="7"/>
        <v>0</v>
      </c>
      <c r="AB11" s="218">
        <f ca="1">+INDIRECT("[EMPINFO.xlsm]"&amp;$O$2&amp;"!s11")</f>
        <v>0</v>
      </c>
      <c r="AC11" s="292">
        <v>1.5</v>
      </c>
      <c r="AD11" s="218">
        <f t="shared" ca="1" si="8"/>
        <v>0</v>
      </c>
      <c r="AE11" s="220">
        <f t="shared" ca="1" si="9"/>
        <v>0</v>
      </c>
      <c r="AF11" s="218">
        <f t="shared" ca="1" si="10"/>
        <v>0</v>
      </c>
      <c r="AG11" s="803">
        <f t="shared" ca="1" si="11"/>
        <v>290.44</v>
      </c>
      <c r="AH11" s="218">
        <f t="shared" ca="1" si="12"/>
        <v>145.22</v>
      </c>
      <c r="AI11" s="803">
        <f t="shared" ca="1" si="13"/>
        <v>145.22</v>
      </c>
      <c r="AJ11" s="218">
        <f t="shared" ca="1" si="14"/>
        <v>290.44</v>
      </c>
      <c r="AK11" s="803">
        <f t="shared" ca="1" si="15"/>
        <v>4.3600000000000003</v>
      </c>
      <c r="AL11" s="218">
        <f t="shared" ca="1" si="23"/>
        <v>1408.1533333333323</v>
      </c>
      <c r="AM11" s="290" t="str">
        <f t="shared" ca="1" si="16"/>
        <v>C</v>
      </c>
      <c r="AN11" s="291" t="str">
        <f t="shared" ca="1" si="17"/>
        <v>FT</v>
      </c>
      <c r="AO11" s="223">
        <f ca="1">+INDIRECT("[EMPINFO.xlsm]"&amp;$O$2&amp;"!t11")</f>
        <v>31</v>
      </c>
      <c r="AP11" s="226">
        <f ca="1">+INDIRECT("[EMPINFO.xlsm]"&amp;$O$2&amp;"!o11")</f>
        <v>-200</v>
      </c>
      <c r="AQ11" s="840">
        <f ca="1">+INDIRECT("[EMPINFO.xlsm]"&amp;$O$2&amp;"!p11")</f>
        <v>-1060.83</v>
      </c>
      <c r="AR11" s="226">
        <f ca="1">+INDIRECT("[EMPINFO.xlsm]"&amp;$O$2&amp;"!j11")</f>
        <v>0</v>
      </c>
      <c r="AS11" s="840">
        <f ca="1">+INDIRECT("[EMPINFO.xlsm]"&amp;$O$2&amp;"!k11")</f>
        <v>169.86999999999998</v>
      </c>
      <c r="AT11" s="226">
        <f ca="1">+INDIRECT("[EMPINFO.xlsm]"&amp;$O$2&amp;"!m11")</f>
        <v>0</v>
      </c>
      <c r="AU11" s="844">
        <f ca="1">+INDIRECT("[EMPINFO.xlsm]"&amp;$O$2&amp;"!n11")</f>
        <v>220.5</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v>
      </c>
      <c r="BC11" s="289">
        <f t="shared" ca="1" si="21"/>
        <v>0</v>
      </c>
      <c r="BD11" s="255"/>
      <c r="BE11" s="206"/>
      <c r="BF11" s="27"/>
      <c r="BH11" s="27"/>
    </row>
    <row r="12" spans="1:62" ht="17.45" customHeight="1" thickBot="1" x14ac:dyDescent="0.3">
      <c r="A12" s="313"/>
      <c r="B12" s="91" t="s">
        <v>14</v>
      </c>
      <c r="C12" s="945" t="str">
        <f>INDEX([1]!empdata,MATCH(ID,[1]!empid,0),10)</f>
        <v>+356 9995 3865</v>
      </c>
      <c r="D12" s="946"/>
      <c r="E12" s="946"/>
      <c r="F12" s="947"/>
      <c r="G12" s="85"/>
      <c r="H12" s="85"/>
      <c r="I12" s="85"/>
      <c r="J12" s="85"/>
      <c r="K12" s="85"/>
      <c r="L12" s="314"/>
      <c r="M12" s="303"/>
      <c r="N12" s="211">
        <f t="shared" ca="1" si="0"/>
        <v>7.2610000000000001</v>
      </c>
      <c r="O12" s="213">
        <f>+DATA!A11</f>
        <v>46266</v>
      </c>
      <c r="P12" s="219">
        <f ca="1">+INDIRECT("[EMPINFO.xlsm]"&amp;$O$2&amp;"!G12")</f>
        <v>4</v>
      </c>
      <c r="Q12" s="215">
        <f ca="1">IF(AZ12="active",INDIRECT("[EMPINFO.xlsm]"&amp;$O$2&amp;"!H12"),0)</f>
        <v>40</v>
      </c>
      <c r="R12" s="239">
        <f t="shared" ca="1" si="22"/>
        <v>7.2610000000000001</v>
      </c>
      <c r="S12" s="216">
        <f t="shared" ca="1" si="1"/>
        <v>1258.5733333333324</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1379.7333333333324</v>
      </c>
      <c r="AA12" s="803">
        <f t="shared" ca="1" si="7"/>
        <v>0</v>
      </c>
      <c r="AB12" s="218">
        <f ca="1">+INDIRECT("[EMPINFO.xlsm]"&amp;$O$2&amp;"!s12")</f>
        <v>0</v>
      </c>
      <c r="AC12" s="292">
        <v>1.5</v>
      </c>
      <c r="AD12" s="218">
        <f t="shared" ca="1" si="8"/>
        <v>0</v>
      </c>
      <c r="AE12" s="220">
        <f t="shared" ca="1" si="9"/>
        <v>0</v>
      </c>
      <c r="AF12" s="218">
        <f t="shared" ca="1" si="10"/>
        <v>0</v>
      </c>
      <c r="AG12" s="803">
        <f t="shared" ca="1" si="11"/>
        <v>290.44</v>
      </c>
      <c r="AH12" s="218">
        <f t="shared" ca="1" si="12"/>
        <v>116.18</v>
      </c>
      <c r="AI12" s="803">
        <f t="shared" ca="1" si="13"/>
        <v>116.18</v>
      </c>
      <c r="AJ12" s="218">
        <f t="shared" ca="1" si="14"/>
        <v>232.36</v>
      </c>
      <c r="AK12" s="803">
        <f t="shared" ca="1" si="15"/>
        <v>3.49</v>
      </c>
      <c r="AL12" s="218">
        <f t="shared" ca="1" si="23"/>
        <v>1499.4033333333325</v>
      </c>
      <c r="AM12" s="290" t="str">
        <f t="shared" ca="1" si="16"/>
        <v>C</v>
      </c>
      <c r="AN12" s="291" t="str">
        <f t="shared" ca="1" si="17"/>
        <v>FT</v>
      </c>
      <c r="AO12" s="223">
        <f ca="1">+INDIRECT("[EMPINFO.xlsm]"&amp;$O$2&amp;"!t12")</f>
        <v>30</v>
      </c>
      <c r="AP12" s="226">
        <f ca="1">+INDIRECT("[EMPINFO.xlsm]"&amp;$O$2&amp;"!o12")</f>
        <v>-160</v>
      </c>
      <c r="AQ12" s="840">
        <f ca="1">+INDIRECT("[EMPINFO.xlsm]"&amp;$O$2&amp;"!p12")</f>
        <v>-1220.83</v>
      </c>
      <c r="AR12" s="226">
        <f ca="1">+INDIRECT("[EMPINFO.xlsm]"&amp;$O$2&amp;"!j12")</f>
        <v>0</v>
      </c>
      <c r="AS12" s="840">
        <f ca="1">+INDIRECT("[EMPINFO.xlsm]"&amp;$O$2&amp;"!k12")</f>
        <v>169.86999999999998</v>
      </c>
      <c r="AT12" s="226">
        <f ca="1">+INDIRECT("[EMPINFO.xlsm]"&amp;$O$2&amp;"!m12")</f>
        <v>0</v>
      </c>
      <c r="AU12" s="844">
        <f ca="1">+INDIRECT("[EMPINFO.xlsm]"&amp;$O$2&amp;"!n12")</f>
        <v>220.5</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v>
      </c>
      <c r="BC12" s="289">
        <f t="shared" ca="1" si="21"/>
        <v>0</v>
      </c>
      <c r="BD12" s="255"/>
      <c r="BE12" s="206"/>
    </row>
    <row r="13" spans="1:62" ht="15.75" customHeight="1" thickBot="1" x14ac:dyDescent="0.3">
      <c r="A13" s="54"/>
      <c r="L13" s="101"/>
      <c r="M13" s="303"/>
      <c r="N13" s="211">
        <f t="shared" ca="1" si="0"/>
        <v>7.2610000000000001</v>
      </c>
      <c r="O13" s="213">
        <f>+DATA!A12</f>
        <v>46296</v>
      </c>
      <c r="P13" s="219">
        <f ca="1">+INDIRECT("[EMPINFO.xlsm]"&amp;$O$2&amp;"!G13")</f>
        <v>4</v>
      </c>
      <c r="Q13" s="215">
        <f ca="1">IF(AZ13="active",INDIRECT("[EMPINFO.xlsm]"&amp;$O$2&amp;"!H13"),0)</f>
        <v>40</v>
      </c>
      <c r="R13" s="239">
        <f t="shared" ca="1" si="22"/>
        <v>7.2610000000000001</v>
      </c>
      <c r="S13" s="216">
        <f t="shared" ca="1" si="1"/>
        <v>1258.5733333333324</v>
      </c>
      <c r="T13" s="220">
        <f t="shared" ca="1" si="2"/>
        <v>0</v>
      </c>
      <c r="U13" s="218">
        <f t="shared" ca="1" si="3"/>
        <v>0</v>
      </c>
      <c r="V13" s="220">
        <f ca="1">+octoth*octhrrt</f>
        <v>0</v>
      </c>
      <c r="W13" s="201"/>
      <c r="X13" s="218">
        <f t="shared" ca="1" si="4"/>
        <v>0</v>
      </c>
      <c r="Y13" s="803">
        <f t="shared" ca="1" si="5"/>
        <v>0</v>
      </c>
      <c r="Z13" s="218">
        <f t="shared" ca="1" si="6"/>
        <v>1258.5733333333324</v>
      </c>
      <c r="AA13" s="803">
        <f t="shared" ca="1" si="7"/>
        <v>0</v>
      </c>
      <c r="AB13" s="218">
        <f ca="1">+INDIRECT("[EMPINFO.xlsm]"&amp;$O$2&amp;"!s13")</f>
        <v>0</v>
      </c>
      <c r="AC13" s="292">
        <v>1.5</v>
      </c>
      <c r="AD13" s="218">
        <f t="shared" ca="1" si="8"/>
        <v>0</v>
      </c>
      <c r="AE13" s="220">
        <f t="shared" ca="1" si="9"/>
        <v>0</v>
      </c>
      <c r="AF13" s="218">
        <f t="shared" ca="1" si="10"/>
        <v>0</v>
      </c>
      <c r="AG13" s="803">
        <f t="shared" ca="1" si="11"/>
        <v>290.44</v>
      </c>
      <c r="AH13" s="218">
        <f t="shared" ca="1" si="12"/>
        <v>116.18</v>
      </c>
      <c r="AI13" s="803">
        <f t="shared" ca="1" si="13"/>
        <v>116.18</v>
      </c>
      <c r="AJ13" s="218">
        <f t="shared" ca="1" si="14"/>
        <v>232.36</v>
      </c>
      <c r="AK13" s="803">
        <f t="shared" ca="1" si="15"/>
        <v>3.49</v>
      </c>
      <c r="AL13" s="218">
        <f t="shared" ca="1" si="23"/>
        <v>1378.2433333333324</v>
      </c>
      <c r="AM13" s="290" t="str">
        <f t="shared" ca="1" si="16"/>
        <v>C</v>
      </c>
      <c r="AN13" s="291" t="str">
        <f t="shared" ca="1" si="17"/>
        <v>FT</v>
      </c>
      <c r="AO13" s="223">
        <f ca="1">+INDIRECT("[EMPINFO.xlsm]"&amp;$O$2&amp;"!t13")</f>
        <v>31</v>
      </c>
      <c r="AP13" s="226">
        <f ca="1">+INDIRECT("[EMPINFO.xlsm]"&amp;$O$2&amp;"!o13")</f>
        <v>-200</v>
      </c>
      <c r="AQ13" s="840">
        <f ca="1">+INDIRECT("[EMPINFO.xlsm]"&amp;$O$2&amp;"!p13")</f>
        <v>-1420.83</v>
      </c>
      <c r="AR13" s="226">
        <f ca="1">+INDIRECT("[EMPINFO.xlsm]"&amp;$O$2&amp;"!j13")</f>
        <v>0</v>
      </c>
      <c r="AS13" s="840">
        <f ca="1">+INDIRECT("[EMPINFO.xlsm]"&amp;$O$2&amp;"!k13")</f>
        <v>169.86999999999998</v>
      </c>
      <c r="AT13" s="226">
        <f ca="1">+INDIRECT("[EMPINFO.xlsm]"&amp;$O$2&amp;"!m13")</f>
        <v>0</v>
      </c>
      <c r="AU13" s="844">
        <f ca="1">+INDIRECT("[EMPINFO.xlsm]"&amp;$O$2&amp;"!n13")</f>
        <v>220.5</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v>
      </c>
      <c r="BC13" s="289">
        <f t="shared" ca="1" si="21"/>
        <v>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7.2610000000000001</v>
      </c>
      <c r="O14" s="213">
        <f>+DATA!A13</f>
        <v>46327</v>
      </c>
      <c r="P14" s="219">
        <f ca="1">+INDIRECT("[EMPINFO.xlsm]"&amp;$O$2&amp;"!G14")</f>
        <v>5</v>
      </c>
      <c r="Q14" s="215">
        <f ca="1">IF(AZ14="active",INDIRECT("[EMPINFO.xlsm]"&amp;$O$2&amp;"!H14"),0)</f>
        <v>40</v>
      </c>
      <c r="R14" s="239">
        <f t="shared" ca="1" si="22"/>
        <v>7.2610000000000001</v>
      </c>
      <c r="S14" s="216">
        <f t="shared" ca="1" si="1"/>
        <v>1258.5733333333324</v>
      </c>
      <c r="T14" s="220">
        <f t="shared" ca="1" si="2"/>
        <v>0</v>
      </c>
      <c r="U14" s="218">
        <f t="shared" ca="1" si="3"/>
        <v>0</v>
      </c>
      <c r="V14" s="220">
        <f ca="1">+novoth*novhrrt</f>
        <v>0</v>
      </c>
      <c r="W14" s="201"/>
      <c r="X14" s="218">
        <f t="shared" ca="1" si="4"/>
        <v>0</v>
      </c>
      <c r="Y14" s="803">
        <f t="shared" ca="1" si="5"/>
        <v>0</v>
      </c>
      <c r="Z14" s="218">
        <f t="shared" ca="1" si="6"/>
        <v>1258.5733333333324</v>
      </c>
      <c r="AA14" s="803">
        <f t="shared" ca="1" si="7"/>
        <v>0</v>
      </c>
      <c r="AB14" s="218">
        <f ca="1">+INDIRECT("[EMPINFO.xlsm]"&amp;$O$2&amp;"!s14")</f>
        <v>0</v>
      </c>
      <c r="AC14" s="292">
        <v>1.5</v>
      </c>
      <c r="AD14" s="218">
        <f t="shared" ca="1" si="8"/>
        <v>0</v>
      </c>
      <c r="AE14" s="220">
        <f t="shared" ca="1" si="9"/>
        <v>0</v>
      </c>
      <c r="AF14" s="218">
        <f t="shared" ca="1" si="10"/>
        <v>0</v>
      </c>
      <c r="AG14" s="803">
        <f t="shared" ca="1" si="11"/>
        <v>290.44</v>
      </c>
      <c r="AH14" s="218">
        <f t="shared" ca="1" si="12"/>
        <v>145.22</v>
      </c>
      <c r="AI14" s="803">
        <f t="shared" ca="1" si="13"/>
        <v>145.22</v>
      </c>
      <c r="AJ14" s="218">
        <f t="shared" ca="1" si="14"/>
        <v>290.44</v>
      </c>
      <c r="AK14" s="803">
        <f t="shared" ca="1" si="15"/>
        <v>4.3600000000000003</v>
      </c>
      <c r="AL14" s="218">
        <f t="shared" ca="1" si="23"/>
        <v>1408.1533333333323</v>
      </c>
      <c r="AM14" s="290" t="str">
        <f t="shared" ca="1" si="16"/>
        <v>C</v>
      </c>
      <c r="AN14" s="291" t="str">
        <f t="shared" ca="1" si="17"/>
        <v>FT</v>
      </c>
      <c r="AO14" s="223">
        <f ca="1">+INDIRECT("[EMPINFO.xlsm]"&amp;$O$2&amp;"!t14")</f>
        <v>30</v>
      </c>
      <c r="AP14" s="226">
        <f ca="1">+INDIRECT("[EMPINFO.xlsm]"&amp;$O$2&amp;"!o14")</f>
        <v>-160</v>
      </c>
      <c r="AQ14" s="840">
        <f ca="1">+INDIRECT("[EMPINFO.xlsm]"&amp;$O$2&amp;"!p14")</f>
        <v>-1580.83</v>
      </c>
      <c r="AR14" s="226">
        <f ca="1">+INDIRECT("[EMPINFO.xlsm]"&amp;$O$2&amp;"!j14")</f>
        <v>0</v>
      </c>
      <c r="AS14" s="840">
        <f ca="1">+INDIRECT("[EMPINFO.xlsm]"&amp;$O$2&amp;"!k14")</f>
        <v>169.86999999999998</v>
      </c>
      <c r="AT14" s="226">
        <f ca="1">+INDIRECT("[EMPINFO.xlsm]"&amp;$O$2&amp;"!m14")</f>
        <v>0</v>
      </c>
      <c r="AU14" s="844">
        <f ca="1">+INDIRECT("[EMPINFO.xlsm]"&amp;$O$2&amp;"!n14")</f>
        <v>220.5</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v>
      </c>
      <c r="BC14" s="289">
        <f t="shared" ca="1" si="21"/>
        <v>0</v>
      </c>
      <c r="BD14" s="255"/>
      <c r="BE14" s="206"/>
      <c r="BF14" s="32"/>
      <c r="BH14" s="32"/>
    </row>
    <row r="15" spans="1:62" ht="15.75" customHeight="1" thickBot="1" x14ac:dyDescent="0.3">
      <c r="A15" s="54"/>
      <c r="L15" s="101"/>
      <c r="M15" s="303"/>
      <c r="N15" s="211">
        <f t="shared" ca="1" si="0"/>
        <v>7.2610000000000001</v>
      </c>
      <c r="O15" s="213">
        <f>+DATA!A14</f>
        <v>46357</v>
      </c>
      <c r="P15" s="219">
        <f ca="1">+INDIRECT("[EMPINFO.xlsm]"&amp;$O$2&amp;"!G15")</f>
        <v>4</v>
      </c>
      <c r="Q15" s="215">
        <f ca="1">IF(AZ15="active",INDIRECT("[EMPINFO.xlsm]"&amp;$O$2&amp;"!H15"),0)</f>
        <v>40</v>
      </c>
      <c r="R15" s="239">
        <f t="shared" ca="1" si="22"/>
        <v>7.2610000000000001</v>
      </c>
      <c r="S15" s="216">
        <f t="shared" ca="1" si="1"/>
        <v>1258.5733333333324</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1393.6733333333323</v>
      </c>
      <c r="AA15" s="803">
        <f t="shared" ca="1" si="7"/>
        <v>0</v>
      </c>
      <c r="AB15" s="218">
        <f ca="1">+INDIRECT("[EMPINFO.xlsm]"&amp;$O$2&amp;"!s15")</f>
        <v>0</v>
      </c>
      <c r="AC15" s="292">
        <v>1.5</v>
      </c>
      <c r="AD15" s="218">
        <f t="shared" ca="1" si="8"/>
        <v>0</v>
      </c>
      <c r="AE15" s="220">
        <f t="shared" ca="1" si="9"/>
        <v>0</v>
      </c>
      <c r="AF15" s="218">
        <f t="shared" ca="1" si="10"/>
        <v>0</v>
      </c>
      <c r="AG15" s="803">
        <f t="shared" ca="1" si="11"/>
        <v>290.44</v>
      </c>
      <c r="AH15" s="218">
        <f t="shared" ca="1" si="12"/>
        <v>116.18</v>
      </c>
      <c r="AI15" s="803">
        <f t="shared" ca="1" si="13"/>
        <v>116.18</v>
      </c>
      <c r="AJ15" s="218">
        <f t="shared" ca="1" si="14"/>
        <v>232.36</v>
      </c>
      <c r="AK15" s="803">
        <f t="shared" ca="1" si="15"/>
        <v>3.49</v>
      </c>
      <c r="AL15" s="218">
        <f t="shared" ca="1" si="23"/>
        <v>1513.3433333333323</v>
      </c>
      <c r="AM15" s="290" t="str">
        <f t="shared" ca="1" si="16"/>
        <v>C</v>
      </c>
      <c r="AN15" s="291" t="str">
        <f t="shared" ca="1" si="17"/>
        <v>FT</v>
      </c>
      <c r="AO15" s="223">
        <f ca="1">+INDIRECT("[EMPINFO.xlsm]"&amp;$O$2&amp;"!t15")</f>
        <v>31</v>
      </c>
      <c r="AP15" s="226">
        <f ca="1">+INDIRECT("[EMPINFO.xlsm]"&amp;$O$2&amp;"!o15")</f>
        <v>-160</v>
      </c>
      <c r="AQ15" s="840">
        <f ca="1">+INDIRECT("[EMPINFO.xlsm]"&amp;$O$2&amp;"!p15")</f>
        <v>-1740.83</v>
      </c>
      <c r="AR15" s="226">
        <f ca="1">+INDIRECT("[EMPINFO.xlsm]"&amp;$O$2&amp;"!j15")</f>
        <v>0</v>
      </c>
      <c r="AS15" s="840">
        <f ca="1">+INDIRECT("[EMPINFO.xlsm]"&amp;$O$2&amp;"!k15")</f>
        <v>169.86999999999998</v>
      </c>
      <c r="AT15" s="226">
        <f ca="1">+INDIRECT("[EMPINFO.xlsm]"&amp;$O$2&amp;"!m15")</f>
        <v>0</v>
      </c>
      <c r="AU15" s="844">
        <f ca="1">+INDIRECT("[EMPINFO.xlsm]"&amp;$O$2&amp;"!n15")</f>
        <v>220.5</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v>
      </c>
      <c r="BC15" s="289">
        <f t="shared" ca="1" si="21"/>
        <v>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15102.879999999985</v>
      </c>
      <c r="T16" s="221">
        <f t="shared" ca="1" si="24"/>
        <v>0</v>
      </c>
      <c r="U16" s="217">
        <f t="shared" ca="1" si="24"/>
        <v>0</v>
      </c>
      <c r="V16" s="221">
        <f t="shared" ca="1" si="24"/>
        <v>0</v>
      </c>
      <c r="W16" s="217">
        <f t="shared" ca="1" si="24"/>
        <v>512.52</v>
      </c>
      <c r="X16" s="217">
        <f t="shared" ca="1" si="24"/>
        <v>0</v>
      </c>
      <c r="Y16" s="804">
        <f t="shared" ca="1" si="24"/>
        <v>0</v>
      </c>
      <c r="Z16" s="217">
        <f t="shared" ca="1" si="24"/>
        <v>15615.399999999985</v>
      </c>
      <c r="AA16" s="804">
        <f t="shared" ca="1" si="24"/>
        <v>0</v>
      </c>
      <c r="AB16" s="217">
        <f ca="1">+INDIRECT("[EMPINFO.xlsm]"&amp;$O$2&amp;"!S16")</f>
        <v>0</v>
      </c>
      <c r="AC16" s="221" t="s">
        <v>150</v>
      </c>
      <c r="AD16" s="217">
        <f ca="1">SUM(AD4:AD15)</f>
        <v>0</v>
      </c>
      <c r="AE16" s="221">
        <f ca="1">SUM(AE4:AE15)</f>
        <v>0</v>
      </c>
      <c r="AF16" s="217">
        <f ca="1">SUM(AF4:AF15)</f>
        <v>0</v>
      </c>
      <c r="AG16" s="221"/>
      <c r="AH16" s="217">
        <f ca="1">SUM(AH4:AH15)</f>
        <v>1510.3200000000004</v>
      </c>
      <c r="AI16" s="803">
        <f ca="1">SUM(AI4:AI15)</f>
        <v>1510.3200000000004</v>
      </c>
      <c r="AJ16" s="217">
        <f t="shared" ca="1" si="14"/>
        <v>3020.6400000000008</v>
      </c>
      <c r="AK16" s="835">
        <f ca="1">SUM(AK4:AK15)</f>
        <v>45.360000000000007</v>
      </c>
      <c r="AL16" s="217">
        <f ca="1">+SUM(AL4:AL15)</f>
        <v>17171.079999999987</v>
      </c>
      <c r="AM16" s="298"/>
      <c r="AN16" s="297"/>
      <c r="AO16" s="224">
        <f ca="1">+INDIRECT("[EMPINFO.xlsm]"&amp;$O$2&amp;"!T16")</f>
        <v>365</v>
      </c>
      <c r="AP16" s="299">
        <f>+[1]RGaldes!O16</f>
        <v>0</v>
      </c>
      <c r="AQ16" s="841">
        <f ca="1">+INDIRECT("[EMPINFO.xlsm]"&amp;$O$2&amp;"!p16")</f>
        <v>-1740.83</v>
      </c>
      <c r="AR16" s="299"/>
      <c r="AS16" s="841">
        <f ca="1">+INDIRECT("[EMPINFO.xlsm]"&amp;$O$2&amp;"!k16")</f>
        <v>169.86999999999998</v>
      </c>
      <c r="AT16" s="299">
        <f ca="1">+INDIRECT("[EMPINFO.xlsm]"&amp;$O$2&amp;"!m16")</f>
        <v>19.5</v>
      </c>
      <c r="AU16" s="841">
        <f ca="1">+INDIRECT("[EMPINFO.xlsm]"&amp;$O$2&amp;"!n16")</f>
        <v>220.5</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15615</v>
      </c>
      <c r="I17" s="456"/>
      <c r="K17" s="317" t="s">
        <v>151</v>
      </c>
      <c r="L17" s="101"/>
      <c r="M17" s="256">
        <v>7.13</v>
      </c>
      <c r="N17" s="257" t="s">
        <v>152</v>
      </c>
      <c r="O17" s="258">
        <f ca="1">+Med_Tot</f>
        <v>15615.399999999985</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-1740.83</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Sreejith Rethu</v>
      </c>
      <c r="P19" s="374" t="str">
        <f>+IDCard</f>
        <v>335048A</v>
      </c>
      <c r="Q19" s="375" t="str">
        <f>+designation</f>
        <v>10. Trainee  Dental Assistant</v>
      </c>
      <c r="R19" s="376" t="s">
        <v>156</v>
      </c>
      <c r="S19" s="377">
        <f ca="1">+S20+S23+S22+S24+S25+S26+S21</f>
        <v>1258.5733333333324</v>
      </c>
      <c r="T19" s="378" t="str">
        <f>+FS4_Status</f>
        <v>MAR1</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1258.5733333333324</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232.36</v>
      </c>
      <c r="U21" s="372">
        <f ca="1">INDEX(PYRL_Summary,MATCH(O21,months,0),22)</f>
        <v>116.18</v>
      </c>
      <c r="V21" s="373">
        <f ca="1">INDEX(PYRL_Summary,MATCH(O21,months,0),23)</f>
        <v>116.18</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3.49</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15615</v>
      </c>
      <c r="I23" s="466"/>
      <c r="J23" s="318" t="s">
        <v>169</v>
      </c>
      <c r="K23" s="916"/>
      <c r="L23" s="917"/>
      <c r="N23" s="420"/>
      <c r="O23" s="344">
        <f>+ID</f>
        <v>2023005</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0</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LT913250041268993945</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1142.3933333333323</v>
      </c>
      <c r="V26" s="418"/>
      <c r="X26" s="575"/>
    </row>
    <row r="27" spans="1:56" ht="24" customHeight="1" thickBot="1" x14ac:dyDescent="0.3">
      <c r="A27" s="54"/>
      <c r="B27" s="73" t="s">
        <v>52</v>
      </c>
      <c r="G27" s="73" t="s">
        <v>53</v>
      </c>
      <c r="H27" s="8">
        <f ca="1">IF(OR(Timer="PT", Timer="pt_casual"),0,AA16)</f>
        <v>0</v>
      </c>
      <c r="I27" s="319" t="s">
        <v>179</v>
      </c>
      <c r="J27" s="96"/>
      <c r="L27" s="322">
        <v>0</v>
      </c>
      <c r="N27" s="421" t="s">
        <v>180</v>
      </c>
      <c r="O27" s="360" t="s">
        <v>181</v>
      </c>
      <c r="P27" s="361">
        <f>+O21-1</f>
        <v>46022</v>
      </c>
      <c r="Q27" s="362"/>
      <c r="R27" s="363" t="s">
        <v>182</v>
      </c>
      <c r="S27" s="364">
        <f ca="1">(INDEX(PYRL_Summary,MATCH(P27,months,0),33))</f>
        <v>-4.0999999999999996</v>
      </c>
      <c r="T27" s="544" t="str">
        <f>IF(Y27=0, "DO NOT INPUT HERE. USE HIGHLIGHTED ",Y27)</f>
        <v>revolut</v>
      </c>
      <c r="U27" s="545"/>
      <c r="V27" s="546"/>
      <c r="W27" s="73" t="s">
        <v>183</v>
      </c>
      <c r="Y27" s="436" t="s">
        <v>631</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-17.8</v>
      </c>
      <c r="R28" s="392" t="s">
        <v>188</v>
      </c>
      <c r="S28" s="393">
        <f ca="1">INDEX(PYRL_Summary,MATCH(O21,months,0),33)</f>
        <v>192.36999999999998</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Sreejith Rethu</v>
      </c>
      <c r="P29" s="394" t="str">
        <f>+IDCard</f>
        <v>335048A</v>
      </c>
      <c r="Q29" s="395" t="str">
        <f>+designation</f>
        <v>10. Trainee  Dental Assistant</v>
      </c>
      <c r="R29" s="396" t="s">
        <v>156</v>
      </c>
      <c r="S29" s="397">
        <f ca="1">+S30+S33+S32+S34+S35+S36+S31</f>
        <v>1258.5733333333324</v>
      </c>
      <c r="T29" s="431" t="str">
        <f>+FS4_Status</f>
        <v>MAR1</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1258.5733333333324</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0</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232.36</v>
      </c>
      <c r="U31" s="358">
        <f ca="1">INDEX(PYRL_Summary,MATCH(O31,months,0),22)</f>
        <v>116.18</v>
      </c>
      <c r="V31" s="359">
        <f ca="1">INDEX(PYRL_Summary,MATCH(O31,months,0),23)</f>
        <v>116.18</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3.49</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2023005</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0</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LT913250041268993945</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1142.3933333333323</v>
      </c>
      <c r="V36" s="418"/>
    </row>
    <row r="37" spans="1:37" ht="25.5" customHeight="1" thickBot="1" x14ac:dyDescent="0.3">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27.53</v>
      </c>
      <c r="R37" s="354"/>
      <c r="S37" s="356"/>
      <c r="T37" s="544" t="str">
        <f>IF(Y37=0, "DO NOT INPUT HERE. USE HIGHLIGHTED ",Y37)</f>
        <v xml:space="preserve">DO NOT INPUT HERE. USE HIGHLIGHTED </v>
      </c>
      <c r="U37" s="545"/>
      <c r="V37" s="546"/>
      <c r="W37" s="73" t="s">
        <v>183</v>
      </c>
      <c r="Y37" s="436"/>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-20.81000000000002</v>
      </c>
      <c r="R38" s="410" t="s">
        <v>188</v>
      </c>
      <c r="S38" s="411">
        <f ca="1">INDEX(PYRL_Summary,MATCH(O31,months,0),33)</f>
        <v>169.86999999999998</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Sreejith Rethu</v>
      </c>
      <c r="P39" s="374" t="str">
        <f>+IDCard</f>
        <v>335048A</v>
      </c>
      <c r="Q39" s="375" t="str">
        <f>+designation</f>
        <v>10. Trainee  Dental Assistant</v>
      </c>
      <c r="R39" s="376" t="s">
        <v>156</v>
      </c>
      <c r="S39" s="377">
        <f ca="1">+S40+S43+S42+S44+S45+S46+S41</f>
        <v>1379.7333333333324</v>
      </c>
      <c r="T39" s="378" t="str">
        <f>+FS4_Status</f>
        <v>MAR1</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1258.5733333333324</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290.44</v>
      </c>
      <c r="U41" s="372">
        <f ca="1">INDEX(PYRL_Summary,MATCH(O41,months,0),22)</f>
        <v>145.22</v>
      </c>
      <c r="V41" s="373">
        <f ca="1">INDEX(PYRL_Summary,MATCH(O41,months,0),23)</f>
        <v>145.22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4.3600000000000003</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2023005</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0</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LT913250041268993945</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1234.5133333333324</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22.5</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-20.83000000000003</v>
      </c>
      <c r="R48" s="392" t="s">
        <v>188</v>
      </c>
      <c r="S48" s="393">
        <f ca="1">INDEX(PYRL_Summary,MATCH(O41,months,0),33)</f>
        <v>169.86999999999998</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Sreejith Rethu</v>
      </c>
      <c r="P49" s="394" t="str">
        <f>+IDCard</f>
        <v>335048A</v>
      </c>
      <c r="Q49" s="395" t="str">
        <f>+designation</f>
        <v>10. Trainee  Dental Assistant</v>
      </c>
      <c r="R49" s="396" t="s">
        <v>156</v>
      </c>
      <c r="S49" s="397">
        <f ca="1">+S50+S53+S52+S54+S55+S56+S51</f>
        <v>1258.5733333333324</v>
      </c>
      <c r="T49" s="431" t="str">
        <f>+FS4_Status</f>
        <v>MAR1</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1258.5733333333324</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232.36</v>
      </c>
      <c r="U51" s="358">
        <f ca="1">INDEX(PYRL_Summary,MATCH(O51,months,0),22)</f>
        <v>116.18</v>
      </c>
      <c r="V51" s="359">
        <f ca="1">INDEX(PYRL_Summary,MATCH(O51,months,0),23)</f>
        <v>116.18</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3.49</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2023005</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LT913250041268993945</v>
      </c>
      <c r="U55" s="890"/>
      <c r="V55" s="891"/>
    </row>
    <row r="56" spans="1:37" ht="16.5" customHeight="1" thickBot="1" x14ac:dyDescent="0.3">
      <c r="E56" s="116" t="s">
        <v>215</v>
      </c>
      <c r="F56" s="115" t="str">
        <f>INDEX([1]!empdata,MATCH(ID,[1]!empid,0),17)</f>
        <v>LT913250041268993945</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1142.3933333333323</v>
      </c>
      <c r="V56" s="418"/>
    </row>
    <row r="57" spans="1:37" ht="26.25" customHeight="1" thickBot="1" x14ac:dyDescent="0.3">
      <c r="E57" s="116" t="s">
        <v>216</v>
      </c>
      <c r="F57" s="340" t="str">
        <f>INDEX([1]!empdata,MATCH(ID,[1]!empid,0),12)</f>
        <v>rethusree7@gmail.com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34142</v>
      </c>
      <c r="G58" s="56"/>
      <c r="H58" s="63"/>
      <c r="N58" s="406">
        <f ca="1">INDEX(PYRL_Summary,MATCH(O51,months,0),4)</f>
        <v>4</v>
      </c>
      <c r="O58" s="407" t="s">
        <v>187</v>
      </c>
      <c r="P58" s="408">
        <f>+O41</f>
        <v>46082</v>
      </c>
      <c r="Q58" s="409">
        <f ca="1">INDEX(PYRL_Summary,MATCH(P58,months,0),31)</f>
        <v>-180.83000000000004</v>
      </c>
      <c r="R58" s="410" t="s">
        <v>188</v>
      </c>
      <c r="S58" s="411">
        <f ca="1">INDEX(PYRL_Summary,MATCH(O51,months,0),33)</f>
        <v>169.86999999999998</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45145</v>
      </c>
      <c r="G59" s="56"/>
      <c r="H59" s="63"/>
      <c r="N59" s="386">
        <f ca="1">IF(OR(INDEX(PYRL_Summary,MATCH(O61,months,0),28)="pt",INDEX(PYRL_Summary,MATCH(O61,months,0),28)="pt_casual"),0,IF(N62-N61&gt;=1,1,0))</f>
        <v>1</v>
      </c>
      <c r="O59" s="894" t="str">
        <f>Surname&amp;" "&amp;Name</f>
        <v>Sreejith Rethu</v>
      </c>
      <c r="P59" s="374" t="str">
        <f>+IDCard</f>
        <v>335048A</v>
      </c>
      <c r="Q59" s="375" t="str">
        <f>+designation</f>
        <v>10. Trainee  Dental Assistant</v>
      </c>
      <c r="R59" s="376" t="s">
        <v>156</v>
      </c>
      <c r="S59" s="377">
        <f ca="1">+S60+S63+S62+S64+S65+S66+S61</f>
        <v>1258.5733333333324</v>
      </c>
      <c r="T59" s="378" t="str">
        <f>+FS4_Status</f>
        <v>MAR1</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10. Trainee  Dental Assistant</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1258.5733333333324</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232.36</v>
      </c>
      <c r="U61" s="372">
        <f ca="1">INDEX(PYRL_Summary,MATCH(O61,months,0),22)</f>
        <v>116.18</v>
      </c>
      <c r="V61" s="373">
        <f ca="1">INDEX(PYRL_Summary,MATCH(O61,months,0),23)</f>
        <v>116.18</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MAR1</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3.49</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2023005</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0</v>
      </c>
      <c r="X64" s="577"/>
    </row>
    <row r="65" spans="5:37" ht="15.75" customHeight="1" thickBot="1" x14ac:dyDescent="0.3">
      <c r="E65" s="925" t="s">
        <v>224</v>
      </c>
      <c r="F65" s="926"/>
      <c r="G65" s="103">
        <f ca="1">+Med_Tot</f>
        <v>15615.399999999985</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LT913250041268993945</v>
      </c>
      <c r="U65" s="890"/>
      <c r="V65" s="891"/>
    </row>
    <row r="66" spans="5:37" ht="16.5" customHeight="1" thickBot="1" x14ac:dyDescent="0.3">
      <c r="E66" s="952" t="s">
        <v>226</v>
      </c>
      <c r="F66" s="953"/>
      <c r="G66" s="112">
        <f ca="1">+PREVFS3+Med_Tot</f>
        <v>15615.399999999985</v>
      </c>
      <c r="H66" s="114">
        <f ca="1">IF(grossyearly&lt;F68,1,IF(grossyearly&lt;F69,2,IF(grossyearly&lt;F70,3,IF(grossyearly&lt;F71,4,5))))</f>
        <v>1</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1142.3933333333323</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MAR1max1</v>
      </c>
      <c r="F68" s="66">
        <f>+VLOOKUP(E68,SStable,4,)</f>
        <v>17500</v>
      </c>
      <c r="G68" s="109">
        <f>+VLOOKUP(E68,SStable,5,)</f>
        <v>0</v>
      </c>
      <c r="H68" s="104">
        <f>+VLOOKUP(E68,SStable,6,)</f>
        <v>0</v>
      </c>
      <c r="N68" s="388">
        <f ca="1">INDEX(PYRL_Summary,MATCH(O61,months,0),4)</f>
        <v>4</v>
      </c>
      <c r="O68" s="389" t="s">
        <v>187</v>
      </c>
      <c r="P68" s="390">
        <f>+O51</f>
        <v>46113</v>
      </c>
      <c r="Q68" s="391">
        <f ca="1">INDEX(PYRL_Summary,MATCH(P68,months,0),31)</f>
        <v>-340.83000000000004</v>
      </c>
      <c r="R68" s="392" t="s">
        <v>188</v>
      </c>
      <c r="S68" s="393">
        <f ca="1">INDEX(PYRL_Summary,MATCH(O61,months,0),33)</f>
        <v>169.86999999999998</v>
      </c>
      <c r="T68" s="425" t="str">
        <f>+Clinic_add</f>
        <v>7,  Mediatrix, Sanctuary Str. Zabbar ZBR1010
8, Mediatrix, Guze Duca Str., Qormi QRM9088</v>
      </c>
      <c r="U68" s="426"/>
      <c r="V68" s="427" t="s">
        <v>189</v>
      </c>
    </row>
    <row r="69" spans="5:37" ht="27" customHeight="1" thickBot="1" x14ac:dyDescent="0.3">
      <c r="E69" s="80" t="str">
        <f>CONCATENATE(FS4_Status,"max",2)</f>
        <v>MAR1max2</v>
      </c>
      <c r="F69" s="66">
        <f>+VLOOKUP(E69,SStable,4,)</f>
        <v>26500</v>
      </c>
      <c r="G69" s="109">
        <f>+VLOOKUP(E69,SStable,5,)</f>
        <v>0.15</v>
      </c>
      <c r="H69" s="104">
        <f>+VLOOKUP(E69,SStable,6,)</f>
        <v>2625</v>
      </c>
      <c r="N69" s="403">
        <f ca="1">IF(OR(INDEX(PYRL_Summary,MATCH(O71,months,0),28)="pt",INDEX(PYRL_Summary,MATCH(O71,months,0),28)="pt_casual"),0,IF(N72-N71&gt;=1,1,0))</f>
        <v>1</v>
      </c>
      <c r="O69" s="908" t="str">
        <f>Surname&amp;" "&amp;Name</f>
        <v>Sreejith Rethu</v>
      </c>
      <c r="P69" s="394" t="str">
        <f>+IDCard</f>
        <v>335048A</v>
      </c>
      <c r="Q69" s="395" t="str">
        <f>+designation</f>
        <v>10. Trainee  Dental Assistant</v>
      </c>
      <c r="R69" s="396" t="s">
        <v>156</v>
      </c>
      <c r="S69" s="397">
        <f ca="1">+S70+S73+S72+S74+S75+S76+S71</f>
        <v>1393.6733333333323</v>
      </c>
      <c r="T69" s="431" t="str">
        <f>+FS4_Status</f>
        <v>MAR1</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MAR1max3</v>
      </c>
      <c r="F70" s="66">
        <f>+VLOOKUP(E70,SStable,4,)</f>
        <v>60000</v>
      </c>
      <c r="G70" s="109">
        <f>+VLOOKUP(E70,SStable,5,)</f>
        <v>0.25</v>
      </c>
      <c r="H70" s="104">
        <f>+VLOOKUP(E70,SStable,6,)</f>
        <v>5275</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1258.5733333333324</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MAR1max4</v>
      </c>
      <c r="F71" s="66">
        <f>+VLOOKUP(E71,SStable,4,)</f>
        <v>150000</v>
      </c>
      <c r="G71" s="109">
        <f>+VLOOKUP(E71,SStable,5,)</f>
        <v>0.35</v>
      </c>
      <c r="H71" s="104">
        <f>+VLOOKUP(E71,SStable,6,)</f>
        <v>11275</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290.44</v>
      </c>
      <c r="U71" s="358">
        <f ca="1">INDEX(PYRL_Summary,MATCH(O71,months,0),22)</f>
        <v>145.22</v>
      </c>
      <c r="V71" s="359">
        <f ca="1">INDEX(PYRL_Summary,MATCH(O71,months,0),23)</f>
        <v>145.22</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MAR1max5</v>
      </c>
      <c r="F72" s="66" t="s">
        <v>230</v>
      </c>
      <c r="G72" s="109">
        <f>+VLOOKUP(E72,SStable,5,)</f>
        <v>0</v>
      </c>
      <c r="H72" s="104">
        <f>+VLOOKUP(E72,SStable,6,)</f>
        <v>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4.3600000000000003</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2023005</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0</v>
      </c>
      <c r="X74" s="577"/>
    </row>
    <row r="75" spans="5:37" ht="15.75" customHeight="1" thickBot="1" x14ac:dyDescent="0.3">
      <c r="E75" s="293"/>
      <c r="F75" s="294" t="s">
        <v>130</v>
      </c>
      <c r="G75" s="295">
        <f ca="1">IF(AND(Timer="pt",grossyearly&lt;10000),+ptrate,IF(grossyearly&lt;$F$68,$G$68,IF(grossyearly&lt;$F$69,$G$69,IF(grossyearly&lt;$F$70,$G$70,IF(grossyearly&lt;$F$71,$G$71,$G$72)))))</f>
        <v>0</v>
      </c>
      <c r="H75" s="296">
        <f ca="1">IF(grossyearly&lt;$F$68,$H$68,IF(grossyearly&lt;$F$69,$H$69,IF(grossyearly&lt;$F$70,$H$70,IF(grossyearly&lt;$F$71,$H$71,$H$72))))</f>
        <v>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LT913250041268993945</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1248.4533333333322</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-540.83000000000004</v>
      </c>
      <c r="R78" s="410" t="s">
        <v>188</v>
      </c>
      <c r="S78" s="411">
        <f ca="1">INDEX(PYRL_Summary,MATCH(O71,months,0),33)</f>
        <v>169.86999999999998</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Sreejith Rethu</v>
      </c>
      <c r="P79" s="374" t="str">
        <f>+IDCard</f>
        <v>335048A</v>
      </c>
      <c r="Q79" s="375" t="str">
        <f>+designation</f>
        <v>10. Trainee  Dental Assistant</v>
      </c>
      <c r="R79" s="376" t="s">
        <v>156</v>
      </c>
      <c r="S79" s="377">
        <f ca="1">+S80+S83+S82+S84+S85+S86+S81</f>
        <v>1258.5733333333324</v>
      </c>
      <c r="T79" s="378" t="str">
        <f>+FS4_Status</f>
        <v>MAR1</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1258.5733333333324</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232.36</v>
      </c>
      <c r="U81" s="372">
        <f ca="1">INDEX(PYRL_Summary,MATCH(O81,months,0),22)</f>
        <v>116.18</v>
      </c>
      <c r="V81" s="373">
        <f ca="1">INDEX(PYRL_Summary,MATCH(O81,months,0),23)</f>
        <v>116.18</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3.49</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2023005</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LT913250041268993945</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1142.3933333333323</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169.86999999999998</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Sreejith Rethu</v>
      </c>
      <c r="P89" s="394" t="str">
        <f>+IDCard</f>
        <v>335048A</v>
      </c>
      <c r="Q89" s="395" t="str">
        <f>+designation</f>
        <v>10. Trainee  Dental Assistant</v>
      </c>
      <c r="R89" s="396" t="s">
        <v>156</v>
      </c>
      <c r="S89" s="397">
        <f ca="1">+S90+S93+S92+S94+S95+S96+S91</f>
        <v>1258.5733333333324</v>
      </c>
      <c r="T89" s="431" t="str">
        <f>+FS4_Status</f>
        <v>MAR1</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1258.5733333333324</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290.44</v>
      </c>
      <c r="U91" s="358">
        <f ca="1">INDEX(PYRL_Summary,MATCH(O91,months,0),22)</f>
        <v>145.22</v>
      </c>
      <c r="V91" s="359">
        <f ca="1">INDEX(PYRL_Summary,MATCH(O91,months,0),23)</f>
        <v>145.22</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4.3600000000000003</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2023005</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LT913250041268993945</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1113.3533333333323</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-860.83</v>
      </c>
      <c r="R98" s="410" t="s">
        <v>188</v>
      </c>
      <c r="S98" s="411">
        <f ca="1">INDEX(PYRL_Summary,MATCH(O91,months,0),33)</f>
        <v>169.86999999999998</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Sreejith Rethu</v>
      </c>
      <c r="P99" s="374" t="str">
        <f>+IDCard</f>
        <v>335048A</v>
      </c>
      <c r="Q99" s="375" t="str">
        <f>+designation</f>
        <v>10. Trainee  Dental Assistant</v>
      </c>
      <c r="R99" s="376" t="s">
        <v>156</v>
      </c>
      <c r="S99" s="377">
        <f ca="1">+S100+S103+S102+S104+S105+S106+S101</f>
        <v>1379.7333333333324</v>
      </c>
      <c r="T99" s="378" t="str">
        <f>+FS4_Status</f>
        <v>MAR1</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1258.5733333333324</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232.36</v>
      </c>
      <c r="U101" s="372">
        <f ca="1">INDEX(PYRL_Summary,MATCH(O101,months,0),22)</f>
        <v>116.18</v>
      </c>
      <c r="V101" s="373">
        <f ca="1">INDEX(PYRL_Summary,MATCH(O101,months,0),23)</f>
        <v>116.18</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3.49</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2023005</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0</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LT913250041268993945</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1263.5533333333324</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-1060.83</v>
      </c>
      <c r="R108" s="392" t="s">
        <v>188</v>
      </c>
      <c r="S108" s="393">
        <f ca="1">INDEX(PYRL_Summary,MATCH(O101,months,0),33)</f>
        <v>169.86999999999998</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Sreejith Rethu</v>
      </c>
      <c r="P109" s="394" t="str">
        <f>+IDCard</f>
        <v>335048A</v>
      </c>
      <c r="Q109" s="395" t="str">
        <f>+designation</f>
        <v>10. Trainee  Dental Assistant</v>
      </c>
      <c r="R109" s="396" t="s">
        <v>156</v>
      </c>
      <c r="S109" s="397">
        <f ca="1">+S110+S113+S112+S114+S115+S116+S111</f>
        <v>1258.5733333333324</v>
      </c>
      <c r="T109" s="431" t="str">
        <f>+FS4_Status</f>
        <v>MAR1</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1258.5733333333324</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232.36</v>
      </c>
      <c r="U111" s="358">
        <f ca="1">INDEX(PYRL_Summary,MATCH(W109,months,0),22)</f>
        <v>116.18</v>
      </c>
      <c r="V111" s="359">
        <f ca="1">INDEX(PYRL_Summary,MATCH(W109,months,0),23)</f>
        <v>116.18</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3.49</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2023005</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LT913250041268993945</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1142.3933333333323</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-1220.83</v>
      </c>
      <c r="R118" s="410" t="s">
        <v>188</v>
      </c>
      <c r="S118" s="411">
        <f ca="1">INDEX(PYRL_Summary,MATCH(W109,months,0),33)</f>
        <v>169.86999999999998</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Sreejith Rethu</v>
      </c>
      <c r="P119" s="374" t="str">
        <f>+IDCard</f>
        <v>335048A</v>
      </c>
      <c r="Q119" s="375" t="str">
        <f>+designation</f>
        <v>10. Trainee  Dental Assistant</v>
      </c>
      <c r="R119" s="376" t="s">
        <v>156</v>
      </c>
      <c r="S119" s="377">
        <f ca="1">+S120+S123+S122+S124+S125+S126+S121</f>
        <v>1258.5733333333324</v>
      </c>
      <c r="T119" s="378" t="str">
        <f>+FS4_Status</f>
        <v>MAR1</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1258.5733333333324</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290.44</v>
      </c>
      <c r="U121" s="372">
        <f ca="1">INDEX(PYRL_Summary,MATCH(W119,months,0),22)</f>
        <v>145.22</v>
      </c>
      <c r="V121" s="373">
        <f ca="1">INDEX(PYRL_Summary,MATCH(W119,months,0),23)</f>
        <v>145.22</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4.3600000000000003</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2023005</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LT913250041268993945</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1113.3533333333323</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-1420.83</v>
      </c>
      <c r="R128" s="392" t="s">
        <v>188</v>
      </c>
      <c r="S128" s="393">
        <f ca="1">INDEX(PYRL_Summary,MATCH(W119,months,0),33)</f>
        <v>169.86999999999998</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Sreejith Rethu</v>
      </c>
      <c r="P129" s="394" t="str">
        <f>+IDCard</f>
        <v>335048A</v>
      </c>
      <c r="Q129" s="395" t="str">
        <f>+designation</f>
        <v>10. Trainee  Dental Assistant</v>
      </c>
      <c r="R129" s="396" t="s">
        <v>156</v>
      </c>
      <c r="S129" s="397">
        <f ca="1">+S130+S133+S132+S134+S135+S136+S131</f>
        <v>1393.6733333333323</v>
      </c>
      <c r="T129" s="431" t="str">
        <f>+FS4_Status</f>
        <v>MAR1</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1258.5733333333324</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232.36</v>
      </c>
      <c r="U131" s="358">
        <f ca="1">INDEX(PYRL_Summary,MATCH(W129,months,0),22)</f>
        <v>116.18</v>
      </c>
      <c r="V131" s="359">
        <f ca="1">INDEX(PYRL_Summary,MATCH(W129,months,0),23)</f>
        <v>116.18</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3.49</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2023005</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LT913250041268993945</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1277.4933333333322</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-1580.83</v>
      </c>
      <c r="R138" s="410" t="s">
        <v>188</v>
      </c>
      <c r="S138" s="411">
        <f ca="1">INDEX(PYRL_Summary,MATCH(W129,months,0),33)</f>
        <v>169.86999999999998</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290" priority="29">
      <formula>$P25=0</formula>
    </cfRule>
  </conditionalFormatting>
  <conditionalFormatting sqref="Q25:R25">
    <cfRule type="expression" dxfId="289" priority="28">
      <formula>$R25=0</formula>
    </cfRule>
  </conditionalFormatting>
  <conditionalFormatting sqref="S25">
    <cfRule type="expression" dxfId="288" priority="27">
      <formula>$S25=0</formula>
    </cfRule>
  </conditionalFormatting>
  <conditionalFormatting sqref="S26">
    <cfRule type="expression" dxfId="287" priority="25">
      <formula>$S$46&gt;0.01</formula>
    </cfRule>
    <cfRule type="expression" dxfId="286" priority="26">
      <formula>$S$46=0</formula>
    </cfRule>
  </conditionalFormatting>
  <conditionalFormatting sqref="T23 T33 T43 T53 T63 T73 T83 T93 T103 T113 T123 T133">
    <cfRule type="expression" dxfId="285" priority="24" stopIfTrue="1">
      <formula>"$R$23=0"""</formula>
    </cfRule>
  </conditionalFormatting>
  <conditionalFormatting sqref="O26:Q26">
    <cfRule type="expression" dxfId="284" priority="23">
      <formula>$Q$26=0</formula>
    </cfRule>
  </conditionalFormatting>
  <conditionalFormatting sqref="V23">
    <cfRule type="expression" dxfId="283" priority="22">
      <formula>$V$23=0</formula>
    </cfRule>
  </conditionalFormatting>
  <conditionalFormatting sqref="O35:P35">
    <cfRule type="expression" dxfId="282" priority="21">
      <formula>$P35=0</formula>
    </cfRule>
  </conditionalFormatting>
  <conditionalFormatting sqref="Q35:R35">
    <cfRule type="expression" dxfId="281" priority="20">
      <formula>$R35=0</formula>
    </cfRule>
  </conditionalFormatting>
  <conditionalFormatting sqref="S35">
    <cfRule type="expression" dxfId="280" priority="19">
      <formula>$S35=0</formula>
    </cfRule>
  </conditionalFormatting>
  <conditionalFormatting sqref="S36">
    <cfRule type="expression" dxfId="279" priority="17">
      <formula>$S$46&gt;0.01</formula>
    </cfRule>
    <cfRule type="expression" dxfId="278" priority="18">
      <formula>$S$46=0</formula>
    </cfRule>
  </conditionalFormatting>
  <conditionalFormatting sqref="O36:Q36">
    <cfRule type="expression" dxfId="277" priority="16">
      <formula>$Q$26=0</formula>
    </cfRule>
  </conditionalFormatting>
  <conditionalFormatting sqref="V33">
    <cfRule type="expression" dxfId="276" priority="15">
      <formula>$V$23=0</formula>
    </cfRule>
  </conditionalFormatting>
  <conditionalFormatting sqref="O45:P45 O65:P65 O85:P85 O105:P105 O125:P125">
    <cfRule type="expression" dxfId="275" priority="14">
      <formula>$P45=0</formula>
    </cfRule>
  </conditionalFormatting>
  <conditionalFormatting sqref="Q45:R45 Q65:R65 Q85:R85 Q105:R105 Q125:R125">
    <cfRule type="expression" dxfId="274" priority="13">
      <formula>$R45=0</formula>
    </cfRule>
  </conditionalFormatting>
  <conditionalFormatting sqref="S45 S65 S85 S105 S125">
    <cfRule type="expression" dxfId="273" priority="12">
      <formula>$S45=0</formula>
    </cfRule>
  </conditionalFormatting>
  <conditionalFormatting sqref="S46 S66 S86 S106 S126">
    <cfRule type="expression" dxfId="272" priority="10">
      <formula>$S$46&gt;0.01</formula>
    </cfRule>
    <cfRule type="expression" dxfId="271" priority="11">
      <formula>$S$46=0</formula>
    </cfRule>
  </conditionalFormatting>
  <conditionalFormatting sqref="O46:Q46 O66:Q66 O86:Q86 O106:Q106 O126:Q126">
    <cfRule type="expression" dxfId="270" priority="9">
      <formula>$Q$26=0</formula>
    </cfRule>
  </conditionalFormatting>
  <conditionalFormatting sqref="V43 V63 V83 V103 V123">
    <cfRule type="expression" dxfId="269" priority="8">
      <formula>$V$23=0</formula>
    </cfRule>
  </conditionalFormatting>
  <conditionalFormatting sqref="O55:P55 O75:P75 O95:P95 O115:P115 O135:P135">
    <cfRule type="expression" dxfId="268" priority="7">
      <formula>$P55=0</formula>
    </cfRule>
  </conditionalFormatting>
  <conditionalFormatting sqref="Q55:R55 Q75:R75 Q95:R95 Q115:R115 Q135:R135">
    <cfRule type="expression" dxfId="267" priority="6">
      <formula>$R55=0</formula>
    </cfRule>
  </conditionalFormatting>
  <conditionalFormatting sqref="S55 S75 S95 S115 S135">
    <cfRule type="expression" dxfId="266" priority="5">
      <formula>$S55=0</formula>
    </cfRule>
  </conditionalFormatting>
  <conditionalFormatting sqref="S56 S76 S96 S116 S136">
    <cfRule type="expression" dxfId="265" priority="3">
      <formula>$S$46&gt;0.01</formula>
    </cfRule>
    <cfRule type="expression" dxfId="264" priority="4">
      <formula>$S$46=0</formula>
    </cfRule>
  </conditionalFormatting>
  <conditionalFormatting sqref="O56:Q56 O76:Q76 O96:Q96 O116:Q116 O136:Q136">
    <cfRule type="expression" dxfId="263" priority="2">
      <formula>$Q$26=0</formula>
    </cfRule>
  </conditionalFormatting>
  <conditionalFormatting sqref="V53 V73 V93 V113 V133">
    <cfRule type="expression" dxfId="262" priority="1">
      <formula>$V$23=0</formula>
    </cfRule>
  </conditionalFormatting>
  <hyperlinks>
    <hyperlink ref="F57" r:id="rId1" display="drchrisgauci@gmail.com" xr:uid="{00000000-0004-0000-12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6657"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6658"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6659"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6660"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6661"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6662"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6663"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6664"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6665"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6666"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6667"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6668"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6669"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6">
    <tabColor rgb="FF7030A0"/>
  </sheetPr>
  <dimension ref="A1:BJ149"/>
  <sheetViews>
    <sheetView topLeftCell="L19" workbookViewId="0">
      <selection activeCell="Y37" sqref="Y37"/>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AKunnamkudath</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2025005</v>
      </c>
      <c r="O2" s="810" t="str">
        <f>CONCATENATE(LEFT(Name,1),Surname)</f>
        <v>AKunnamkudath</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8.6</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59</v>
      </c>
      <c r="AP3" s="792"/>
      <c r="AQ3" s="251">
        <f ca="1">+INDIRECT("[EMPINFO.xlsm]"&amp;$O$2&amp;"!p3")</f>
        <v>0.5</v>
      </c>
      <c r="AR3" s="792"/>
      <c r="AS3" s="251">
        <f ca="1">+INDIRECT("[EMPINFO.xlsm]"&amp;$O$2&amp;"!k3")</f>
        <v>1.5</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8.7309999999999999</v>
      </c>
      <c r="O4" s="213">
        <f>+DATA!A3</f>
        <v>46023</v>
      </c>
      <c r="P4" s="219">
        <f ca="1">+INDIRECT("[EMPINFO.xlsm]"&amp;$O$2&amp;"!G4")</f>
        <v>4</v>
      </c>
      <c r="Q4" s="215">
        <f ca="1">IF(AZ4="active",INDIRECT("[EMPINFO.xlsm]"&amp;$O$2&amp;"!H4"),0)</f>
        <v>40</v>
      </c>
      <c r="R4" s="239">
        <f ca="1">IF(AZ4&lt;&gt;"active",0,N3+COLA)</f>
        <v>8.7309999999999999</v>
      </c>
      <c r="S4" s="216">
        <f t="shared" ref="S4:S15" ca="1" si="1">+Q4*R4*4.33333333333333*AO4/AX4</f>
        <v>1513.3733333333323</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1513.3733333333323</v>
      </c>
      <c r="AA4" s="803">
        <f t="shared" ref="AA4:AA15" ca="1" si="7">IF(OR(AN4="PT",AN4="PT_Casual"),TRUNC((Z4*PT_Rate),0),(TRUNC((Z4*BB4)-(BC4/12),0)))</f>
        <v>95</v>
      </c>
      <c r="AB4" s="218">
        <f ca="1">+INDIRECT("[EMPINFO.xlsm]"&amp;$O$2&amp;"!s4")</f>
        <v>0</v>
      </c>
      <c r="AC4" s="292">
        <v>1.5</v>
      </c>
      <c r="AD4" s="218">
        <f t="shared" ref="AD4:AD15" ca="1" si="8">+AB4*(R4*AC4)</f>
        <v>0</v>
      </c>
      <c r="AE4" s="220">
        <f t="shared" ref="AE4:AE15" ca="1" si="9">+TRUNC((AD4*0.15),0)</f>
        <v>0</v>
      </c>
      <c r="AF4" s="218">
        <f t="shared" ref="AF4:AF15" ca="1" si="10">+AA4+AE4</f>
        <v>95</v>
      </c>
      <c r="AG4" s="803">
        <f t="shared" ref="AG4:AG15" ca="1" si="11">+R4*Q4</f>
        <v>349.24</v>
      </c>
      <c r="AH4" s="218">
        <f t="shared" ref="AH4:AH15" ca="1" si="12">ROUND(IF(AN4="",0,IF(OR(AN4="PT",AN4="PT_Casual"),0,IF(AM4="B",ROUND(SSCBemployermultiplier*P4,2),IF(AM4="c",SOCSECCRATE*AG4*P4,IF(AM4="D",ROUND(socsecrateD*P4,2)))))),2)</f>
        <v>139.69999999999999</v>
      </c>
      <c r="AI4" s="803">
        <f t="shared" ref="AI4:AI15" ca="1" si="13">ROUND(IF(AN4="",0,IF(OR(AN4="PT",AN4="PT_Casual"),0,IF(AM4="B",ROUND(SSCBemployermultiplier*P4,2),IF(AM4="c",SOCSECCRATE*AG4*P4,IF(AM4="D",ROUND(socsecrateD*P4,2)))))),2)</f>
        <v>139.69999999999999</v>
      </c>
      <c r="AJ4" s="218">
        <f t="shared" ref="AJ4:AJ16" ca="1" si="14">+AH4+AI4</f>
        <v>279.39999999999998</v>
      </c>
      <c r="AK4" s="803">
        <f t="shared" ref="AK4:AK15" ca="1" si="15">ROUND(IF(AN4="",0,IF(OR(AN4="PT",AN4="PT_Casual"),0,IF(AM4="B",SSCBmlfmultiplier*P4,IF(AM4="c",SSCCmlfmultiplier*P4*AG4,IF(AM4="D",SSCDmlfmultiplier*P4))))),2)</f>
        <v>4.1900000000000004</v>
      </c>
      <c r="AL4" s="218">
        <f ca="1">+Z4+AH4+AK4</f>
        <v>1657.2633333333324</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-0.49000000000000199</v>
      </c>
      <c r="AQ4" s="840">
        <f ca="1">+INDIRECT("[EMPINFO.xlsm]"&amp;$O$2&amp;"!p4")</f>
        <v>9.9999999999980105E-3</v>
      </c>
      <c r="AR4" s="226">
        <f ca="1">+INDIRECT("[EMPINFO.xlsm]"&amp;$O$2&amp;"!j4")</f>
        <v>10.82</v>
      </c>
      <c r="AS4" s="840">
        <f ca="1">+INDIRECT("[EMPINFO.xlsm]"&amp;$O$2&amp;"!k4")</f>
        <v>214.67999999999998</v>
      </c>
      <c r="AT4" s="226">
        <f ca="1">+INDIRECT("[EMPINFO.xlsm]"&amp;$O$2&amp;"!m4")</f>
        <v>16</v>
      </c>
      <c r="AU4" s="844">
        <f ca="1">+INDIRECT("[EMPINFO.xlsm]"&amp;$O$2&amp;"!n4")</f>
        <v>224</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0.25</v>
      </c>
      <c r="BC4" s="289">
        <f t="shared" ref="BC4:BC15" ca="1" si="21">IF((Z4*12)&lt;$F$68,$H$68,IF((Z4*12)&lt;$F$69,$H$69,IF((Z4*12)&lt;$F$70,$H$70,IF((Z4*12)&lt;$F$71,$H$71,$H$72))))</f>
        <v>3400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8.7309999999999999</v>
      </c>
      <c r="O5" s="213">
        <f>+DATA!A4</f>
        <v>46054</v>
      </c>
      <c r="P5" s="219">
        <f ca="1">+INDIRECT("[EMPINFO.xlsm]"&amp;$O$2&amp;"!G5")</f>
        <v>4</v>
      </c>
      <c r="Q5" s="215">
        <f ca="1">IF(AZ5="active",INDIRECT("[EMPINFO.xlsm]"&amp;$O$2&amp;"!H5"),0)</f>
        <v>40</v>
      </c>
      <c r="R5" s="239">
        <f t="shared" ref="R5:R15" ca="1" si="22">+R4</f>
        <v>8.7309999999999999</v>
      </c>
      <c r="S5" s="216">
        <f t="shared" ca="1" si="1"/>
        <v>1513.3733333333323</v>
      </c>
      <c r="T5" s="220">
        <f t="shared" ca="1" si="2"/>
        <v>0</v>
      </c>
      <c r="U5" s="218">
        <f t="shared" ca="1" si="3"/>
        <v>0</v>
      </c>
      <c r="V5" s="220">
        <f ca="1">+feboth*febhrrt</f>
        <v>0</v>
      </c>
      <c r="W5" s="201"/>
      <c r="X5" s="218">
        <f t="shared" ca="1" si="4"/>
        <v>0</v>
      </c>
      <c r="Y5" s="803">
        <f t="shared" ca="1" si="5"/>
        <v>0</v>
      </c>
      <c r="Z5" s="218">
        <f t="shared" ca="1" si="6"/>
        <v>1513.3733333333323</v>
      </c>
      <c r="AA5" s="803">
        <f t="shared" ca="1" si="7"/>
        <v>95</v>
      </c>
      <c r="AB5" s="218">
        <f ca="1">+INDIRECT("[EMPINFO.xlsm]"&amp;$O$2&amp;"!s5")</f>
        <v>0</v>
      </c>
      <c r="AC5" s="292">
        <v>1.5</v>
      </c>
      <c r="AD5" s="218">
        <f t="shared" ca="1" si="8"/>
        <v>0</v>
      </c>
      <c r="AE5" s="220">
        <f t="shared" ca="1" si="9"/>
        <v>0</v>
      </c>
      <c r="AF5" s="218">
        <f t="shared" ca="1" si="10"/>
        <v>95</v>
      </c>
      <c r="AG5" s="803">
        <f t="shared" ca="1" si="11"/>
        <v>349.24</v>
      </c>
      <c r="AH5" s="218">
        <f t="shared" ca="1" si="12"/>
        <v>139.69999999999999</v>
      </c>
      <c r="AI5" s="803">
        <f t="shared" ca="1" si="13"/>
        <v>139.69999999999999</v>
      </c>
      <c r="AJ5" s="218">
        <f t="shared" ca="1" si="14"/>
        <v>279.39999999999998</v>
      </c>
      <c r="AK5" s="803">
        <f t="shared" ca="1" si="15"/>
        <v>4.1900000000000004</v>
      </c>
      <c r="AL5" s="218">
        <f t="shared" ref="AL5:AL15" ca="1" si="23">+Z5+AI5+AK5</f>
        <v>1657.2633333333324</v>
      </c>
      <c r="AM5" s="290" t="str">
        <f t="shared" ca="1" si="16"/>
        <v>C</v>
      </c>
      <c r="AN5" s="291" t="str">
        <f t="shared" ca="1" si="17"/>
        <v>FT</v>
      </c>
      <c r="AO5" s="223">
        <f ca="1">+INDIRECT("[EMPINFO.xlsm]"&amp;$O$2&amp;"!t5")</f>
        <v>28</v>
      </c>
      <c r="AP5" s="226">
        <f ca="1">+INDIRECT("[EMPINFO.xlsm]"&amp;$O$2&amp;"!o5")</f>
        <v>0.76999999999999691</v>
      </c>
      <c r="AQ5" s="840">
        <f ca="1">+INDIRECT("[EMPINFO.xlsm]"&amp;$O$2&amp;"!p5")</f>
        <v>0.77999999999999492</v>
      </c>
      <c r="AR5" s="226">
        <f ca="1">+INDIRECT("[EMPINFO.xlsm]"&amp;$O$2&amp;"!j5")</f>
        <v>0</v>
      </c>
      <c r="AS5" s="840">
        <f ca="1">+INDIRECT("[EMPINFO.xlsm]"&amp;$O$2&amp;"!k5")</f>
        <v>214.67999999999998</v>
      </c>
      <c r="AT5" s="226">
        <f ca="1">+INDIRECT("[EMPINFO.xlsm]"&amp;$O$2&amp;"!m5")</f>
        <v>4.3600000000000003</v>
      </c>
      <c r="AU5" s="844">
        <f ca="1">+INDIRECT("[EMPINFO.xlsm]"&amp;$O$2&amp;"!n5")</f>
        <v>219.64</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0.25</v>
      </c>
      <c r="BC5" s="289">
        <f t="shared" ca="1" si="21"/>
        <v>3400</v>
      </c>
      <c r="BD5" s="255"/>
      <c r="BE5" s="205"/>
      <c r="BG5" s="27"/>
      <c r="BH5" s="28"/>
    </row>
    <row r="6" spans="1:62" ht="15.75" customHeight="1" thickBot="1" x14ac:dyDescent="0.3">
      <c r="A6" s="54"/>
      <c r="B6" s="2" t="s">
        <v>135</v>
      </c>
      <c r="C6" s="921" t="str">
        <f>INDEX([1]!empdata,MATCH(ID,[1]!empid,0),3)</f>
        <v>Kunnamkudath</v>
      </c>
      <c r="D6" s="922"/>
      <c r="E6" s="922"/>
      <c r="F6" s="886"/>
      <c r="I6" s="312" t="s">
        <v>136</v>
      </c>
      <c r="L6" s="101"/>
      <c r="M6" s="303"/>
      <c r="N6" s="211">
        <f t="shared" ca="1" si="0"/>
        <v>8.7309999999999999</v>
      </c>
      <c r="O6" s="213">
        <f>+DATA!A5</f>
        <v>46082</v>
      </c>
      <c r="P6" s="219">
        <f ca="1">+INDIRECT("[EMPINFO.xlsm]"&amp;$O$2&amp;"!G6")</f>
        <v>5</v>
      </c>
      <c r="Q6" s="215">
        <f ca="1">IF(AZ6="active",INDIRECT("[EMPINFO.xlsm]"&amp;$O$2&amp;"!H6"),0)</f>
        <v>40</v>
      </c>
      <c r="R6" s="239">
        <f t="shared" ca="1" si="22"/>
        <v>8.7309999999999999</v>
      </c>
      <c r="S6" s="216">
        <f t="shared" ca="1" si="1"/>
        <v>1513.3733333333323</v>
      </c>
      <c r="T6" s="220">
        <f t="shared" ca="1" si="2"/>
        <v>0</v>
      </c>
      <c r="U6" s="218">
        <f t="shared" ca="1" si="3"/>
        <v>0</v>
      </c>
      <c r="V6" s="220">
        <f ca="1">+maroth*marhrrt</f>
        <v>0</v>
      </c>
      <c r="W6" s="202">
        <f ca="1">+IF(AZ6&lt;&gt;"active",0,(IF(Timer="PT_casual",(bonusmar/1040*(BA6+BA5+BA4)),(bonusmar/182*(AO6+AO5+AO4+AO3)*(Q6+Q5+Q4)/120))))</f>
        <v>99.191428571428574</v>
      </c>
      <c r="X6" s="218">
        <f t="shared" ca="1" si="4"/>
        <v>0</v>
      </c>
      <c r="Y6" s="803">
        <f t="shared" ca="1" si="5"/>
        <v>0</v>
      </c>
      <c r="Z6" s="218">
        <f t="shared" ca="1" si="6"/>
        <v>1612.5647619047609</v>
      </c>
      <c r="AA6" s="803">
        <f t="shared" ca="1" si="7"/>
        <v>119</v>
      </c>
      <c r="AB6" s="218">
        <f ca="1">+INDIRECT("[EMPINFO.xlsm]"&amp;$O$2&amp;"!s6")</f>
        <v>0</v>
      </c>
      <c r="AC6" s="292">
        <v>1.5</v>
      </c>
      <c r="AD6" s="218">
        <f t="shared" ca="1" si="8"/>
        <v>0</v>
      </c>
      <c r="AE6" s="220">
        <f t="shared" ca="1" si="9"/>
        <v>0</v>
      </c>
      <c r="AF6" s="218">
        <f t="shared" ca="1" si="10"/>
        <v>119</v>
      </c>
      <c r="AG6" s="803">
        <f t="shared" ca="1" si="11"/>
        <v>349.24</v>
      </c>
      <c r="AH6" s="218">
        <f t="shared" ca="1" si="12"/>
        <v>174.62</v>
      </c>
      <c r="AI6" s="803">
        <f t="shared" ca="1" si="13"/>
        <v>174.62</v>
      </c>
      <c r="AJ6" s="218">
        <f t="shared" ca="1" si="14"/>
        <v>349.24</v>
      </c>
      <c r="AK6" s="803">
        <f t="shared" ca="1" si="15"/>
        <v>5.24</v>
      </c>
      <c r="AL6" s="218">
        <f t="shared" ca="1" si="23"/>
        <v>1792.4247619047608</v>
      </c>
      <c r="AM6" s="290" t="str">
        <f t="shared" ca="1" si="16"/>
        <v>C</v>
      </c>
      <c r="AN6" s="291" t="str">
        <f t="shared" ca="1" si="17"/>
        <v>FT</v>
      </c>
      <c r="AO6" s="223">
        <f ca="1">+INDIRECT("[EMPINFO.xlsm]"&amp;$O$2&amp;"!t6")</f>
        <v>31</v>
      </c>
      <c r="AP6" s="226">
        <f ca="1">+INDIRECT("[EMPINFO.xlsm]"&amp;$O$2&amp;"!o6")</f>
        <v>-160</v>
      </c>
      <c r="AQ6" s="840">
        <f ca="1">+INDIRECT("[EMPINFO.xlsm]"&amp;$O$2&amp;"!p6")</f>
        <v>-159.22</v>
      </c>
      <c r="AR6" s="226">
        <f ca="1">+INDIRECT("[EMPINFO.xlsm]"&amp;$O$2&amp;"!j6")</f>
        <v>0</v>
      </c>
      <c r="AS6" s="840">
        <f ca="1">+INDIRECT("[EMPINFO.xlsm]"&amp;$O$2&amp;"!k6")</f>
        <v>214.67999999999998</v>
      </c>
      <c r="AT6" s="226">
        <f ca="1">+INDIRECT("[EMPINFO.xlsm]"&amp;$O$2&amp;"!m6")</f>
        <v>0</v>
      </c>
      <c r="AU6" s="844">
        <f ca="1">+INDIRECT("[EMPINFO.xlsm]"&amp;$O$2&amp;"!n6")</f>
        <v>219.64</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0.25</v>
      </c>
      <c r="BC6" s="289">
        <f t="shared" ca="1" si="21"/>
        <v>3400</v>
      </c>
      <c r="BD6" s="255"/>
      <c r="BE6" s="206"/>
    </row>
    <row r="7" spans="1:62" ht="15.75" customHeight="1" thickBot="1" x14ac:dyDescent="0.3">
      <c r="A7" s="54"/>
      <c r="B7" s="3" t="s">
        <v>137</v>
      </c>
      <c r="C7" s="921" t="str">
        <f>INDEX([1]!empdata,MATCH(ID,[1]!empid,0),4)</f>
        <v>Anitta Simon</v>
      </c>
      <c r="D7" s="922"/>
      <c r="E7" s="922"/>
      <c r="F7" s="886"/>
      <c r="H7" s="312" t="s">
        <v>138</v>
      </c>
      <c r="I7" s="927" t="str">
        <f>INDEX([1]!empdata,MATCH(ID,[1]!empid,0),6)</f>
        <v>453147A</v>
      </c>
      <c r="J7" s="859"/>
      <c r="K7" s="857"/>
      <c r="L7" s="101"/>
      <c r="M7" s="303"/>
      <c r="N7" s="211">
        <f t="shared" ca="1" si="0"/>
        <v>8.7309999999999999</v>
      </c>
      <c r="O7" s="213">
        <f>+DATA!A6</f>
        <v>46113</v>
      </c>
      <c r="P7" s="219">
        <f ca="1">+INDIRECT("[EMPINFO.xlsm]"&amp;$O$2&amp;"!G7")</f>
        <v>4</v>
      </c>
      <c r="Q7" s="215">
        <f ca="1">IF(AZ7="active",INDIRECT("[EMPINFO.xlsm]"&amp;$O$2&amp;"!H7"),0)</f>
        <v>40</v>
      </c>
      <c r="R7" s="239">
        <f t="shared" ca="1" si="22"/>
        <v>8.7309999999999999</v>
      </c>
      <c r="S7" s="216">
        <f t="shared" ca="1" si="1"/>
        <v>1513.3733333333323</v>
      </c>
      <c r="T7" s="220">
        <f t="shared" ca="1" si="2"/>
        <v>0</v>
      </c>
      <c r="U7" s="218">
        <f t="shared" ca="1" si="3"/>
        <v>0</v>
      </c>
      <c r="V7" s="220">
        <f ca="1">+aproth*aprhrrt</f>
        <v>0</v>
      </c>
      <c r="W7" s="201"/>
      <c r="X7" s="218">
        <f t="shared" ca="1" si="4"/>
        <v>0</v>
      </c>
      <c r="Y7" s="803">
        <f t="shared" ca="1" si="5"/>
        <v>0</v>
      </c>
      <c r="Z7" s="218">
        <f t="shared" ca="1" si="6"/>
        <v>1513.3733333333323</v>
      </c>
      <c r="AA7" s="803">
        <f t="shared" ca="1" si="7"/>
        <v>95</v>
      </c>
      <c r="AB7" s="218">
        <f ca="1">+INDIRECT("[EMPINFO.xlsm]"&amp;$O$2&amp;"!s7")</f>
        <v>0</v>
      </c>
      <c r="AC7" s="292">
        <v>1.5</v>
      </c>
      <c r="AD7" s="218">
        <f t="shared" ca="1" si="8"/>
        <v>0</v>
      </c>
      <c r="AE7" s="220">
        <f t="shared" ca="1" si="9"/>
        <v>0</v>
      </c>
      <c r="AF7" s="218">
        <f t="shared" ca="1" si="10"/>
        <v>95</v>
      </c>
      <c r="AG7" s="803">
        <f t="shared" ca="1" si="11"/>
        <v>349.24</v>
      </c>
      <c r="AH7" s="218">
        <f t="shared" ca="1" si="12"/>
        <v>139.69999999999999</v>
      </c>
      <c r="AI7" s="803">
        <f t="shared" ca="1" si="13"/>
        <v>139.69999999999999</v>
      </c>
      <c r="AJ7" s="218">
        <f t="shared" ca="1" si="14"/>
        <v>279.39999999999998</v>
      </c>
      <c r="AK7" s="803">
        <f t="shared" ca="1" si="15"/>
        <v>4.1900000000000004</v>
      </c>
      <c r="AL7" s="218">
        <f t="shared" ca="1" si="23"/>
        <v>1657.2633333333324</v>
      </c>
      <c r="AM7" s="290" t="str">
        <f t="shared" ca="1" si="16"/>
        <v>C</v>
      </c>
      <c r="AN7" s="291" t="str">
        <f t="shared" ca="1" si="17"/>
        <v>FT</v>
      </c>
      <c r="AO7" s="223">
        <f ca="1">+INDIRECT("[EMPINFO.xlsm]"&amp;$O$2&amp;"!t7")</f>
        <v>30</v>
      </c>
      <c r="AP7" s="226">
        <f ca="1">+INDIRECT("[EMPINFO.xlsm]"&amp;$O$2&amp;"!o7")</f>
        <v>-160</v>
      </c>
      <c r="AQ7" s="840">
        <f ca="1">+INDIRECT("[EMPINFO.xlsm]"&amp;$O$2&amp;"!p7")</f>
        <v>-319.22000000000003</v>
      </c>
      <c r="AR7" s="226">
        <f ca="1">+INDIRECT("[EMPINFO.xlsm]"&amp;$O$2&amp;"!j7")</f>
        <v>0</v>
      </c>
      <c r="AS7" s="840">
        <f ca="1">+INDIRECT("[EMPINFO.xlsm]"&amp;$O$2&amp;"!k7")</f>
        <v>214.67999999999998</v>
      </c>
      <c r="AT7" s="226">
        <f ca="1">+INDIRECT("[EMPINFO.xlsm]"&amp;$O$2&amp;"!m7")</f>
        <v>0</v>
      </c>
      <c r="AU7" s="844">
        <f ca="1">+INDIRECT("[EMPINFO.xlsm]"&amp;$O$2&amp;"!n7")</f>
        <v>219.64</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0.25</v>
      </c>
      <c r="BC7" s="289">
        <f t="shared" ca="1" si="21"/>
        <v>3400</v>
      </c>
      <c r="BD7" s="255"/>
      <c r="BE7" s="206"/>
    </row>
    <row r="8" spans="1:62" ht="15.75" customHeight="1" thickBot="1" x14ac:dyDescent="0.3">
      <c r="A8" s="54"/>
      <c r="B8" s="3" t="s">
        <v>139</v>
      </c>
      <c r="C8" s="921" t="str">
        <f>INDEX([1]!empdata,MATCH(ID,[1]!empid,0),18)</f>
        <v>148, Flat 2A</v>
      </c>
      <c r="D8" s="922"/>
      <c r="E8" s="922"/>
      <c r="F8" s="886"/>
      <c r="I8" s="312" t="s">
        <v>140</v>
      </c>
      <c r="L8" s="101"/>
      <c r="M8" s="303"/>
      <c r="N8" s="211">
        <f t="shared" ca="1" si="0"/>
        <v>8.7309999999999999</v>
      </c>
      <c r="O8" s="213">
        <f>+DATA!A7</f>
        <v>46143</v>
      </c>
      <c r="P8" s="219">
        <f ca="1">+INDIRECT("[EMPINFO.xlsm]"&amp;$O$2&amp;"!G8")</f>
        <v>4</v>
      </c>
      <c r="Q8" s="215">
        <f ca="1">IF(AZ8="active",INDIRECT("[EMPINFO.xlsm]"&amp;$O$2&amp;"!H8"),0)</f>
        <v>40</v>
      </c>
      <c r="R8" s="239">
        <f t="shared" ca="1" si="22"/>
        <v>8.7309999999999999</v>
      </c>
      <c r="S8" s="216">
        <f t="shared" ca="1" si="1"/>
        <v>1513.3733333333323</v>
      </c>
      <c r="T8" s="220">
        <f t="shared" ca="1" si="2"/>
        <v>0</v>
      </c>
      <c r="U8" s="218">
        <f t="shared" ca="1" si="3"/>
        <v>0</v>
      </c>
      <c r="V8" s="220">
        <f ca="1">+mayoth*mayhrrt</f>
        <v>0</v>
      </c>
      <c r="W8" s="201"/>
      <c r="X8" s="218">
        <f t="shared" ca="1" si="4"/>
        <v>0</v>
      </c>
      <c r="Y8" s="803">
        <f t="shared" ca="1" si="5"/>
        <v>0</v>
      </c>
      <c r="Z8" s="218">
        <f t="shared" ca="1" si="6"/>
        <v>1513.3733333333323</v>
      </c>
      <c r="AA8" s="803">
        <f t="shared" ca="1" si="7"/>
        <v>95</v>
      </c>
      <c r="AB8" s="218">
        <f ca="1">+INDIRECT("[EMPINFO.xlsm]"&amp;$O$2&amp;"!s8")</f>
        <v>0</v>
      </c>
      <c r="AC8" s="292">
        <v>1.5</v>
      </c>
      <c r="AD8" s="218">
        <f t="shared" ca="1" si="8"/>
        <v>0</v>
      </c>
      <c r="AE8" s="220">
        <f t="shared" ca="1" si="9"/>
        <v>0</v>
      </c>
      <c r="AF8" s="218">
        <f t="shared" ca="1" si="10"/>
        <v>95</v>
      </c>
      <c r="AG8" s="803">
        <f t="shared" ca="1" si="11"/>
        <v>349.24</v>
      </c>
      <c r="AH8" s="218">
        <f t="shared" ca="1" si="12"/>
        <v>139.69999999999999</v>
      </c>
      <c r="AI8" s="803">
        <f t="shared" ca="1" si="13"/>
        <v>139.69999999999999</v>
      </c>
      <c r="AJ8" s="218">
        <f t="shared" ca="1" si="14"/>
        <v>279.39999999999998</v>
      </c>
      <c r="AK8" s="803">
        <f t="shared" ca="1" si="15"/>
        <v>4.1900000000000004</v>
      </c>
      <c r="AL8" s="218">
        <f t="shared" ca="1" si="23"/>
        <v>1657.2633333333324</v>
      </c>
      <c r="AM8" s="290" t="str">
        <f t="shared" ca="1" si="16"/>
        <v>C</v>
      </c>
      <c r="AN8" s="291" t="str">
        <f t="shared" ca="1" si="17"/>
        <v>FT</v>
      </c>
      <c r="AO8" s="223">
        <f ca="1">+INDIRECT("[EMPINFO.xlsm]"&amp;$O$2&amp;"!t8")</f>
        <v>31</v>
      </c>
      <c r="AP8" s="226">
        <f ca="1">+INDIRECT("[EMPINFO.xlsm]"&amp;$O$2&amp;"!o8")</f>
        <v>-200</v>
      </c>
      <c r="AQ8" s="840">
        <f ca="1">+INDIRECT("[EMPINFO.xlsm]"&amp;$O$2&amp;"!p8")</f>
        <v>-519.22</v>
      </c>
      <c r="AR8" s="226">
        <f ca="1">+INDIRECT("[EMPINFO.xlsm]"&amp;$O$2&amp;"!j8")</f>
        <v>0</v>
      </c>
      <c r="AS8" s="840">
        <f ca="1">+INDIRECT("[EMPINFO.xlsm]"&amp;$O$2&amp;"!k8")</f>
        <v>214.67999999999998</v>
      </c>
      <c r="AT8" s="226">
        <f ca="1">+INDIRECT("[EMPINFO.xlsm]"&amp;$O$2&amp;"!m8")</f>
        <v>0</v>
      </c>
      <c r="AU8" s="844">
        <f ca="1">+INDIRECT("[EMPINFO.xlsm]"&amp;$O$2&amp;"!n8")</f>
        <v>219.64</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0.25</v>
      </c>
      <c r="BC8" s="289">
        <f t="shared" ca="1" si="21"/>
        <v>3400</v>
      </c>
      <c r="BD8" s="255"/>
      <c r="BE8" s="206"/>
    </row>
    <row r="9" spans="1:62" ht="15.75" customHeight="1" thickBot="1" x14ac:dyDescent="0.3">
      <c r="A9" s="54"/>
      <c r="B9" s="4" t="s">
        <v>141</v>
      </c>
      <c r="C9" s="921" t="str">
        <f>INDEX([1]!empdata,MATCH(ID,[1]!empid,0),19)</f>
        <v>Triq Hal Qormi</v>
      </c>
      <c r="D9" s="922"/>
      <c r="E9" s="922"/>
      <c r="F9" s="886"/>
      <c r="H9" s="312" t="s">
        <v>20</v>
      </c>
      <c r="I9" s="927">
        <f>INDEX([1]!empdata,MATCH(ID,[1]!empid,0),14)</f>
        <v>0</v>
      </c>
      <c r="J9" s="859"/>
      <c r="K9" s="857"/>
      <c r="L9" s="101"/>
      <c r="M9" s="303"/>
      <c r="N9" s="211">
        <f t="shared" ca="1" si="0"/>
        <v>8.7309999999999999</v>
      </c>
      <c r="O9" s="213">
        <f>+DATA!A8</f>
        <v>46174</v>
      </c>
      <c r="P9" s="219">
        <f ca="1">+INDIRECT("[EMPINFO.xlsm]"&amp;$O$2&amp;"!G9")</f>
        <v>5</v>
      </c>
      <c r="Q9" s="215">
        <f ca="1">IF(AZ9="active",INDIRECT("[EMPINFO.xlsm]"&amp;$O$2&amp;"!H9"),0)</f>
        <v>40</v>
      </c>
      <c r="R9" s="239">
        <f t="shared" ca="1" si="22"/>
        <v>8.7309999999999999</v>
      </c>
      <c r="S9" s="216">
        <f t="shared" ca="1" si="1"/>
        <v>1513.3733333333323</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1648.4733333333322</v>
      </c>
      <c r="AA9" s="803">
        <f t="shared" ca="1" si="7"/>
        <v>128</v>
      </c>
      <c r="AB9" s="218">
        <f ca="1">+INDIRECT("[EMPINFO.xlsm]"&amp;$O$2&amp;"!s9")</f>
        <v>0</v>
      </c>
      <c r="AC9" s="292">
        <v>1.5</v>
      </c>
      <c r="AD9" s="218">
        <f t="shared" ca="1" si="8"/>
        <v>0</v>
      </c>
      <c r="AE9" s="220">
        <f t="shared" ca="1" si="9"/>
        <v>0</v>
      </c>
      <c r="AF9" s="218">
        <f t="shared" ca="1" si="10"/>
        <v>128</v>
      </c>
      <c r="AG9" s="803">
        <f t="shared" ca="1" si="11"/>
        <v>349.24</v>
      </c>
      <c r="AH9" s="218">
        <f t="shared" ca="1" si="12"/>
        <v>174.62</v>
      </c>
      <c r="AI9" s="803">
        <f t="shared" ca="1" si="13"/>
        <v>174.62</v>
      </c>
      <c r="AJ9" s="218">
        <f t="shared" ca="1" si="14"/>
        <v>349.24</v>
      </c>
      <c r="AK9" s="803">
        <f t="shared" ca="1" si="15"/>
        <v>5.24</v>
      </c>
      <c r="AL9" s="218">
        <f t="shared" ca="1" si="23"/>
        <v>1828.3333333333323</v>
      </c>
      <c r="AM9" s="290" t="str">
        <f t="shared" ca="1" si="16"/>
        <v>C</v>
      </c>
      <c r="AN9" s="291" t="str">
        <f t="shared" ca="1" si="17"/>
        <v>FT</v>
      </c>
      <c r="AO9" s="223">
        <f ca="1">+INDIRECT("[EMPINFO.xlsm]"&amp;$O$2&amp;"!t9")</f>
        <v>30</v>
      </c>
      <c r="AP9" s="226">
        <f ca="1">+INDIRECT("[EMPINFO.xlsm]"&amp;$O$2&amp;"!o9")</f>
        <v>-160</v>
      </c>
      <c r="AQ9" s="840">
        <f ca="1">+INDIRECT("[EMPINFO.xlsm]"&amp;$O$2&amp;"!p9")</f>
        <v>-679.22</v>
      </c>
      <c r="AR9" s="226">
        <f ca="1">+INDIRECT("[EMPINFO.xlsm]"&amp;$O$2&amp;"!j9")</f>
        <v>0</v>
      </c>
      <c r="AS9" s="840">
        <f ca="1">+INDIRECT("[EMPINFO.xlsm]"&amp;$O$2&amp;"!k9")</f>
        <v>214.67999999999998</v>
      </c>
      <c r="AT9" s="226">
        <f ca="1">+INDIRECT("[EMPINFO.xlsm]"&amp;$O$2&amp;"!m9")</f>
        <v>0</v>
      </c>
      <c r="AU9" s="844">
        <f ca="1">+INDIRECT("[EMPINFO.xlsm]"&amp;$O$2&amp;"!n9")</f>
        <v>219.64</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0.25</v>
      </c>
      <c r="BC9" s="289">
        <f t="shared" ca="1" si="21"/>
        <v>3400</v>
      </c>
      <c r="BD9" s="255"/>
      <c r="BE9" s="206"/>
    </row>
    <row r="10" spans="1:62" ht="15.75" customHeight="1" thickBot="1" x14ac:dyDescent="0.3">
      <c r="A10" s="54"/>
      <c r="B10" s="5" t="s">
        <v>142</v>
      </c>
      <c r="C10" s="921" t="str">
        <f>INDEX([1]!empdata,MATCH(ID,[1]!empid,0),20)</f>
        <v>Marsa</v>
      </c>
      <c r="D10" s="922"/>
      <c r="E10" s="922"/>
      <c r="F10" s="886"/>
      <c r="I10" s="312" t="s">
        <v>143</v>
      </c>
      <c r="L10" s="101"/>
      <c r="M10" s="303"/>
      <c r="N10" s="211">
        <f t="shared" ca="1" si="0"/>
        <v>8.7309999999999999</v>
      </c>
      <c r="O10" s="213">
        <f>+DATA!A9</f>
        <v>46204</v>
      </c>
      <c r="P10" s="219">
        <f ca="1">+INDIRECT("[EMPINFO.xlsm]"&amp;$O$2&amp;"!G10")</f>
        <v>4</v>
      </c>
      <c r="Q10" s="215">
        <f ca="1">IF(AZ10="active",INDIRECT("[EMPINFO.xlsm]"&amp;$O$2&amp;"!H10"),0)</f>
        <v>40</v>
      </c>
      <c r="R10" s="239">
        <f t="shared" ca="1" si="22"/>
        <v>8.7309999999999999</v>
      </c>
      <c r="S10" s="216">
        <f t="shared" ca="1" si="1"/>
        <v>1513.3733333333323</v>
      </c>
      <c r="T10" s="220">
        <f t="shared" ca="1" si="2"/>
        <v>0</v>
      </c>
      <c r="U10" s="218">
        <f t="shared" ca="1" si="3"/>
        <v>0</v>
      </c>
      <c r="V10" s="220">
        <f ca="1">+juloth*julhrrt</f>
        <v>0</v>
      </c>
      <c r="W10" s="201"/>
      <c r="X10" s="218">
        <f t="shared" ca="1" si="4"/>
        <v>0</v>
      </c>
      <c r="Y10" s="803">
        <f t="shared" ca="1" si="5"/>
        <v>0</v>
      </c>
      <c r="Z10" s="218">
        <f t="shared" ca="1" si="6"/>
        <v>1513.3733333333323</v>
      </c>
      <c r="AA10" s="803">
        <f t="shared" ca="1" si="7"/>
        <v>95</v>
      </c>
      <c r="AB10" s="218">
        <f ca="1">+INDIRECT("[EMPINFO.xlsm]"&amp;$O$2&amp;"!s10")</f>
        <v>0</v>
      </c>
      <c r="AC10" s="292">
        <v>1.5</v>
      </c>
      <c r="AD10" s="218">
        <f t="shared" ca="1" si="8"/>
        <v>0</v>
      </c>
      <c r="AE10" s="220">
        <f t="shared" ca="1" si="9"/>
        <v>0</v>
      </c>
      <c r="AF10" s="218">
        <f t="shared" ca="1" si="10"/>
        <v>95</v>
      </c>
      <c r="AG10" s="803">
        <f t="shared" ca="1" si="11"/>
        <v>349.24</v>
      </c>
      <c r="AH10" s="218">
        <f t="shared" ca="1" si="12"/>
        <v>139.69999999999999</v>
      </c>
      <c r="AI10" s="803">
        <f t="shared" ca="1" si="13"/>
        <v>139.69999999999999</v>
      </c>
      <c r="AJ10" s="218">
        <f t="shared" ca="1" si="14"/>
        <v>279.39999999999998</v>
      </c>
      <c r="AK10" s="803">
        <f t="shared" ca="1" si="15"/>
        <v>4.1900000000000004</v>
      </c>
      <c r="AL10" s="218">
        <f t="shared" ca="1" si="23"/>
        <v>1657.2633333333324</v>
      </c>
      <c r="AM10" s="290" t="str">
        <f t="shared" ca="1" si="16"/>
        <v>C</v>
      </c>
      <c r="AN10" s="291" t="str">
        <f t="shared" ca="1" si="17"/>
        <v>FT</v>
      </c>
      <c r="AO10" s="223">
        <f ca="1">+INDIRECT("[EMPINFO.xlsm]"&amp;$O$2&amp;"!t10")</f>
        <v>31</v>
      </c>
      <c r="AP10" s="226">
        <f ca="1">+INDIRECT("[EMPINFO.xlsm]"&amp;$O$2&amp;"!o10")</f>
        <v>-160</v>
      </c>
      <c r="AQ10" s="840">
        <f ca="1">+INDIRECT("[EMPINFO.xlsm]"&amp;$O$2&amp;"!p10")</f>
        <v>-839.22</v>
      </c>
      <c r="AR10" s="226">
        <f ca="1">+INDIRECT("[EMPINFO.xlsm]"&amp;$O$2&amp;"!j10")</f>
        <v>0</v>
      </c>
      <c r="AS10" s="840">
        <f ca="1">+INDIRECT("[EMPINFO.xlsm]"&amp;$O$2&amp;"!k10")</f>
        <v>214.67999999999998</v>
      </c>
      <c r="AT10" s="226">
        <f ca="1">+INDIRECT("[EMPINFO.xlsm]"&amp;$O$2&amp;"!m10")</f>
        <v>0</v>
      </c>
      <c r="AU10" s="844">
        <f ca="1">+INDIRECT("[EMPINFO.xlsm]"&amp;$O$2&amp;"!n10")</f>
        <v>219.64</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0.25</v>
      </c>
      <c r="BC10" s="289">
        <f t="shared" ca="1" si="21"/>
        <v>3400</v>
      </c>
      <c r="BD10" s="255"/>
      <c r="BE10" s="206"/>
      <c r="BF10" s="32"/>
      <c r="BH10" s="32"/>
      <c r="BI10" s="30"/>
      <c r="BJ10" s="31"/>
    </row>
    <row r="11" spans="1:62" ht="15.75" customHeight="1" thickBot="1" x14ac:dyDescent="0.3">
      <c r="A11" s="54"/>
      <c r="B11" s="6" t="s">
        <v>144</v>
      </c>
      <c r="C11" s="921" t="str">
        <f>INDEX([1]!empdata,MATCH(ID,[1]!empid,0),21)</f>
        <v>MRS9040</v>
      </c>
      <c r="D11" s="922"/>
      <c r="E11" s="922"/>
      <c r="F11" s="886"/>
      <c r="H11" s="312" t="s">
        <v>31</v>
      </c>
      <c r="I11" s="927" t="str">
        <f>INDEX([1]!empdata,MATCH(ID,[1]!empid,0),7)</f>
        <v>219213A</v>
      </c>
      <c r="J11" s="859"/>
      <c r="K11" s="857"/>
      <c r="L11" s="101"/>
      <c r="M11" s="303"/>
      <c r="N11" s="211">
        <f t="shared" ca="1" si="0"/>
        <v>8.7309999999999999</v>
      </c>
      <c r="O11" s="213">
        <f>+DATA!A10</f>
        <v>46235</v>
      </c>
      <c r="P11" s="219">
        <f ca="1">+INDIRECT("[EMPINFO.xlsm]"&amp;$O$2&amp;"!G11")</f>
        <v>5</v>
      </c>
      <c r="Q11" s="215">
        <f ca="1">IF(AZ11="active",INDIRECT("[EMPINFO.xlsm]"&amp;$O$2&amp;"!H11"),0)</f>
        <v>40</v>
      </c>
      <c r="R11" s="239">
        <f t="shared" ca="1" si="22"/>
        <v>8.7309999999999999</v>
      </c>
      <c r="S11" s="216">
        <f t="shared" ca="1" si="1"/>
        <v>1513.3733333333323</v>
      </c>
      <c r="T11" s="220">
        <f t="shared" ca="1" si="2"/>
        <v>0</v>
      </c>
      <c r="U11" s="218">
        <f t="shared" ca="1" si="3"/>
        <v>0</v>
      </c>
      <c r="V11" s="220">
        <f ca="1">+augoth*aughrrt</f>
        <v>0</v>
      </c>
      <c r="W11" s="201"/>
      <c r="X11" s="218">
        <f t="shared" ca="1" si="4"/>
        <v>0</v>
      </c>
      <c r="Y11" s="803">
        <f t="shared" ca="1" si="5"/>
        <v>0</v>
      </c>
      <c r="Z11" s="218">
        <f t="shared" ca="1" si="6"/>
        <v>1513.3733333333323</v>
      </c>
      <c r="AA11" s="803">
        <f t="shared" ca="1" si="7"/>
        <v>95</v>
      </c>
      <c r="AB11" s="218">
        <f ca="1">+INDIRECT("[EMPINFO.xlsm]"&amp;$O$2&amp;"!s11")</f>
        <v>0</v>
      </c>
      <c r="AC11" s="292">
        <v>1.5</v>
      </c>
      <c r="AD11" s="218">
        <f t="shared" ca="1" si="8"/>
        <v>0</v>
      </c>
      <c r="AE11" s="220">
        <f t="shared" ca="1" si="9"/>
        <v>0</v>
      </c>
      <c r="AF11" s="218">
        <f t="shared" ca="1" si="10"/>
        <v>95</v>
      </c>
      <c r="AG11" s="803">
        <f t="shared" ca="1" si="11"/>
        <v>349.24</v>
      </c>
      <c r="AH11" s="218">
        <f t="shared" ca="1" si="12"/>
        <v>174.62</v>
      </c>
      <c r="AI11" s="803">
        <f t="shared" ca="1" si="13"/>
        <v>174.62</v>
      </c>
      <c r="AJ11" s="218">
        <f t="shared" ca="1" si="14"/>
        <v>349.24</v>
      </c>
      <c r="AK11" s="803">
        <f t="shared" ca="1" si="15"/>
        <v>5.24</v>
      </c>
      <c r="AL11" s="218">
        <f t="shared" ca="1" si="23"/>
        <v>1693.2333333333324</v>
      </c>
      <c r="AM11" s="290" t="str">
        <f t="shared" ca="1" si="16"/>
        <v>C</v>
      </c>
      <c r="AN11" s="291" t="str">
        <f t="shared" ca="1" si="17"/>
        <v>FT</v>
      </c>
      <c r="AO11" s="223">
        <f ca="1">+INDIRECT("[EMPINFO.xlsm]"&amp;$O$2&amp;"!t11")</f>
        <v>31</v>
      </c>
      <c r="AP11" s="226">
        <f ca="1">+INDIRECT("[EMPINFO.xlsm]"&amp;$O$2&amp;"!o11")</f>
        <v>-200</v>
      </c>
      <c r="AQ11" s="840">
        <f ca="1">+INDIRECT("[EMPINFO.xlsm]"&amp;$O$2&amp;"!p11")</f>
        <v>-1039.22</v>
      </c>
      <c r="AR11" s="226">
        <f ca="1">+INDIRECT("[EMPINFO.xlsm]"&amp;$O$2&amp;"!j11")</f>
        <v>0</v>
      </c>
      <c r="AS11" s="840">
        <f ca="1">+INDIRECT("[EMPINFO.xlsm]"&amp;$O$2&amp;"!k11")</f>
        <v>214.67999999999998</v>
      </c>
      <c r="AT11" s="226">
        <f ca="1">+INDIRECT("[EMPINFO.xlsm]"&amp;$O$2&amp;"!m11")</f>
        <v>0</v>
      </c>
      <c r="AU11" s="844">
        <f ca="1">+INDIRECT("[EMPINFO.xlsm]"&amp;$O$2&amp;"!n11")</f>
        <v>219.64</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0.25</v>
      </c>
      <c r="BC11" s="289">
        <f t="shared" ca="1" si="21"/>
        <v>3400</v>
      </c>
      <c r="BD11" s="255"/>
      <c r="BE11" s="206"/>
      <c r="BF11" s="27"/>
      <c r="BH11" s="27"/>
    </row>
    <row r="12" spans="1:62" ht="17.45" customHeight="1" thickBot="1" x14ac:dyDescent="0.3">
      <c r="A12" s="313"/>
      <c r="B12" s="91" t="s">
        <v>14</v>
      </c>
      <c r="C12" s="945">
        <f>INDEX([1]!empdata,MATCH(ID,[1]!empid,0),10)</f>
        <v>77781700</v>
      </c>
      <c r="D12" s="946"/>
      <c r="E12" s="946"/>
      <c r="F12" s="947"/>
      <c r="G12" s="85"/>
      <c r="H12" s="85"/>
      <c r="I12" s="85"/>
      <c r="J12" s="85"/>
      <c r="K12" s="85"/>
      <c r="L12" s="314"/>
      <c r="M12" s="303"/>
      <c r="N12" s="211">
        <f t="shared" ca="1" si="0"/>
        <v>8.7309999999999999</v>
      </c>
      <c r="O12" s="213">
        <f>+DATA!A11</f>
        <v>46266</v>
      </c>
      <c r="P12" s="219">
        <f ca="1">+INDIRECT("[EMPINFO.xlsm]"&amp;$O$2&amp;"!G12")</f>
        <v>4</v>
      </c>
      <c r="Q12" s="215">
        <f ca="1">IF(AZ12="active",INDIRECT("[EMPINFO.xlsm]"&amp;$O$2&amp;"!H12"),0)</f>
        <v>40</v>
      </c>
      <c r="R12" s="239">
        <f t="shared" ca="1" si="22"/>
        <v>8.7309999999999999</v>
      </c>
      <c r="S12" s="216">
        <f t="shared" ca="1" si="1"/>
        <v>1513.3733333333323</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1634.5333333333324</v>
      </c>
      <c r="AA12" s="803">
        <f t="shared" ca="1" si="7"/>
        <v>125</v>
      </c>
      <c r="AB12" s="218">
        <f ca="1">+INDIRECT("[EMPINFO.xlsm]"&amp;$O$2&amp;"!s12")</f>
        <v>0</v>
      </c>
      <c r="AC12" s="292">
        <v>1.5</v>
      </c>
      <c r="AD12" s="218">
        <f t="shared" ca="1" si="8"/>
        <v>0</v>
      </c>
      <c r="AE12" s="220">
        <f t="shared" ca="1" si="9"/>
        <v>0</v>
      </c>
      <c r="AF12" s="218">
        <f t="shared" ca="1" si="10"/>
        <v>125</v>
      </c>
      <c r="AG12" s="803">
        <f t="shared" ca="1" si="11"/>
        <v>349.24</v>
      </c>
      <c r="AH12" s="218">
        <f t="shared" ca="1" si="12"/>
        <v>139.69999999999999</v>
      </c>
      <c r="AI12" s="803">
        <f t="shared" ca="1" si="13"/>
        <v>139.69999999999999</v>
      </c>
      <c r="AJ12" s="218">
        <f t="shared" ca="1" si="14"/>
        <v>279.39999999999998</v>
      </c>
      <c r="AK12" s="803">
        <f t="shared" ca="1" si="15"/>
        <v>4.1900000000000004</v>
      </c>
      <c r="AL12" s="218">
        <f t="shared" ca="1" si="23"/>
        <v>1778.4233333333325</v>
      </c>
      <c r="AM12" s="290" t="str">
        <f t="shared" ca="1" si="16"/>
        <v>C</v>
      </c>
      <c r="AN12" s="291" t="str">
        <f t="shared" ca="1" si="17"/>
        <v>FT</v>
      </c>
      <c r="AO12" s="223">
        <f ca="1">+INDIRECT("[EMPINFO.xlsm]"&amp;$O$2&amp;"!t12")</f>
        <v>30</v>
      </c>
      <c r="AP12" s="226">
        <f ca="1">+INDIRECT("[EMPINFO.xlsm]"&amp;$O$2&amp;"!o12")</f>
        <v>-160</v>
      </c>
      <c r="AQ12" s="840">
        <f ca="1">+INDIRECT("[EMPINFO.xlsm]"&amp;$O$2&amp;"!p12")</f>
        <v>-1199.22</v>
      </c>
      <c r="AR12" s="226">
        <f ca="1">+INDIRECT("[EMPINFO.xlsm]"&amp;$O$2&amp;"!j12")</f>
        <v>0</v>
      </c>
      <c r="AS12" s="840">
        <f ca="1">+INDIRECT("[EMPINFO.xlsm]"&amp;$O$2&amp;"!k12")</f>
        <v>214.67999999999998</v>
      </c>
      <c r="AT12" s="226">
        <f ca="1">+INDIRECT("[EMPINFO.xlsm]"&amp;$O$2&amp;"!m12")</f>
        <v>0</v>
      </c>
      <c r="AU12" s="844">
        <f ca="1">+INDIRECT("[EMPINFO.xlsm]"&amp;$O$2&amp;"!n12")</f>
        <v>219.64</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0.25</v>
      </c>
      <c r="BC12" s="289">
        <f t="shared" ca="1" si="21"/>
        <v>3400</v>
      </c>
      <c r="BD12" s="255"/>
      <c r="BE12" s="206"/>
    </row>
    <row r="13" spans="1:62" ht="15.75" customHeight="1" thickBot="1" x14ac:dyDescent="0.3">
      <c r="A13" s="54"/>
      <c r="L13" s="101"/>
      <c r="M13" s="303"/>
      <c r="N13" s="211">
        <f t="shared" ca="1" si="0"/>
        <v>8.7309999999999999</v>
      </c>
      <c r="O13" s="213">
        <f>+DATA!A12</f>
        <v>46296</v>
      </c>
      <c r="P13" s="219">
        <f ca="1">+INDIRECT("[EMPINFO.xlsm]"&amp;$O$2&amp;"!G13")</f>
        <v>4</v>
      </c>
      <c r="Q13" s="215">
        <f ca="1">IF(AZ13="active",INDIRECT("[EMPINFO.xlsm]"&amp;$O$2&amp;"!H13"),0)</f>
        <v>40</v>
      </c>
      <c r="R13" s="239">
        <f t="shared" ca="1" si="22"/>
        <v>8.7309999999999999</v>
      </c>
      <c r="S13" s="216">
        <f t="shared" ca="1" si="1"/>
        <v>1513.3733333333323</v>
      </c>
      <c r="T13" s="220">
        <f t="shared" ca="1" si="2"/>
        <v>0</v>
      </c>
      <c r="U13" s="218">
        <f t="shared" ca="1" si="3"/>
        <v>0</v>
      </c>
      <c r="V13" s="220">
        <f ca="1">+octoth*octhrrt</f>
        <v>0</v>
      </c>
      <c r="W13" s="201"/>
      <c r="X13" s="218">
        <f t="shared" ca="1" si="4"/>
        <v>0</v>
      </c>
      <c r="Y13" s="803">
        <f t="shared" ca="1" si="5"/>
        <v>0</v>
      </c>
      <c r="Z13" s="218">
        <f t="shared" ca="1" si="6"/>
        <v>1513.3733333333323</v>
      </c>
      <c r="AA13" s="803">
        <f t="shared" ca="1" si="7"/>
        <v>95</v>
      </c>
      <c r="AB13" s="218">
        <f ca="1">+INDIRECT("[EMPINFO.xlsm]"&amp;$O$2&amp;"!s13")</f>
        <v>0</v>
      </c>
      <c r="AC13" s="292">
        <v>1.5</v>
      </c>
      <c r="AD13" s="218">
        <f t="shared" ca="1" si="8"/>
        <v>0</v>
      </c>
      <c r="AE13" s="220">
        <f t="shared" ca="1" si="9"/>
        <v>0</v>
      </c>
      <c r="AF13" s="218">
        <f t="shared" ca="1" si="10"/>
        <v>95</v>
      </c>
      <c r="AG13" s="803">
        <f t="shared" ca="1" si="11"/>
        <v>349.24</v>
      </c>
      <c r="AH13" s="218">
        <f t="shared" ca="1" si="12"/>
        <v>139.69999999999999</v>
      </c>
      <c r="AI13" s="803">
        <f t="shared" ca="1" si="13"/>
        <v>139.69999999999999</v>
      </c>
      <c r="AJ13" s="218">
        <f t="shared" ca="1" si="14"/>
        <v>279.39999999999998</v>
      </c>
      <c r="AK13" s="803">
        <f t="shared" ca="1" si="15"/>
        <v>4.1900000000000004</v>
      </c>
      <c r="AL13" s="218">
        <f t="shared" ca="1" si="23"/>
        <v>1657.2633333333324</v>
      </c>
      <c r="AM13" s="290" t="str">
        <f t="shared" ca="1" si="16"/>
        <v>C</v>
      </c>
      <c r="AN13" s="291" t="str">
        <f t="shared" ca="1" si="17"/>
        <v>FT</v>
      </c>
      <c r="AO13" s="223">
        <f ca="1">+INDIRECT("[EMPINFO.xlsm]"&amp;$O$2&amp;"!t13")</f>
        <v>31</v>
      </c>
      <c r="AP13" s="226">
        <f ca="1">+INDIRECT("[EMPINFO.xlsm]"&amp;$O$2&amp;"!o13")</f>
        <v>-200</v>
      </c>
      <c r="AQ13" s="840">
        <f ca="1">+INDIRECT("[EMPINFO.xlsm]"&amp;$O$2&amp;"!p13")</f>
        <v>-1399.22</v>
      </c>
      <c r="AR13" s="226">
        <f ca="1">+INDIRECT("[EMPINFO.xlsm]"&amp;$O$2&amp;"!j13")</f>
        <v>0</v>
      </c>
      <c r="AS13" s="840">
        <f ca="1">+INDIRECT("[EMPINFO.xlsm]"&amp;$O$2&amp;"!k13")</f>
        <v>214.67999999999998</v>
      </c>
      <c r="AT13" s="226">
        <f ca="1">+INDIRECT("[EMPINFO.xlsm]"&amp;$O$2&amp;"!m13")</f>
        <v>0</v>
      </c>
      <c r="AU13" s="844">
        <f ca="1">+INDIRECT("[EMPINFO.xlsm]"&amp;$O$2&amp;"!n13")</f>
        <v>219.64</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0.25</v>
      </c>
      <c r="BC13" s="289">
        <f t="shared" ca="1" si="21"/>
        <v>3400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8.7309999999999999</v>
      </c>
      <c r="O14" s="213">
        <f>+DATA!A13</f>
        <v>46327</v>
      </c>
      <c r="P14" s="219">
        <f ca="1">+INDIRECT("[EMPINFO.xlsm]"&amp;$O$2&amp;"!G14")</f>
        <v>5</v>
      </c>
      <c r="Q14" s="215">
        <f ca="1">IF(AZ14="active",INDIRECT("[EMPINFO.xlsm]"&amp;$O$2&amp;"!H14"),0)</f>
        <v>40</v>
      </c>
      <c r="R14" s="239">
        <f t="shared" ca="1" si="22"/>
        <v>8.7309999999999999</v>
      </c>
      <c r="S14" s="216">
        <f t="shared" ca="1" si="1"/>
        <v>1513.3733333333323</v>
      </c>
      <c r="T14" s="220">
        <f t="shared" ca="1" si="2"/>
        <v>0</v>
      </c>
      <c r="U14" s="218">
        <f t="shared" ca="1" si="3"/>
        <v>0</v>
      </c>
      <c r="V14" s="220">
        <f ca="1">+novoth*novhrrt</f>
        <v>0</v>
      </c>
      <c r="W14" s="201"/>
      <c r="X14" s="218">
        <f t="shared" ca="1" si="4"/>
        <v>0</v>
      </c>
      <c r="Y14" s="803">
        <f t="shared" ca="1" si="5"/>
        <v>0</v>
      </c>
      <c r="Z14" s="218">
        <f t="shared" ca="1" si="6"/>
        <v>1513.3733333333323</v>
      </c>
      <c r="AA14" s="803">
        <f t="shared" ca="1" si="7"/>
        <v>95</v>
      </c>
      <c r="AB14" s="218">
        <f ca="1">+INDIRECT("[EMPINFO.xlsm]"&amp;$O$2&amp;"!s14")</f>
        <v>0</v>
      </c>
      <c r="AC14" s="292">
        <v>1.5</v>
      </c>
      <c r="AD14" s="218">
        <f t="shared" ca="1" si="8"/>
        <v>0</v>
      </c>
      <c r="AE14" s="220">
        <f t="shared" ca="1" si="9"/>
        <v>0</v>
      </c>
      <c r="AF14" s="218">
        <f t="shared" ca="1" si="10"/>
        <v>95</v>
      </c>
      <c r="AG14" s="803">
        <f t="shared" ca="1" si="11"/>
        <v>349.24</v>
      </c>
      <c r="AH14" s="218">
        <f t="shared" ca="1" si="12"/>
        <v>174.62</v>
      </c>
      <c r="AI14" s="803">
        <f t="shared" ca="1" si="13"/>
        <v>174.62</v>
      </c>
      <c r="AJ14" s="218">
        <f t="shared" ca="1" si="14"/>
        <v>349.24</v>
      </c>
      <c r="AK14" s="803">
        <f t="shared" ca="1" si="15"/>
        <v>5.24</v>
      </c>
      <c r="AL14" s="218">
        <f t="shared" ca="1" si="23"/>
        <v>1693.2333333333324</v>
      </c>
      <c r="AM14" s="290" t="str">
        <f t="shared" ca="1" si="16"/>
        <v>C</v>
      </c>
      <c r="AN14" s="291" t="str">
        <f t="shared" ca="1" si="17"/>
        <v>FT</v>
      </c>
      <c r="AO14" s="223">
        <f ca="1">+INDIRECT("[EMPINFO.xlsm]"&amp;$O$2&amp;"!t14")</f>
        <v>30</v>
      </c>
      <c r="AP14" s="226">
        <f ca="1">+INDIRECT("[EMPINFO.xlsm]"&amp;$O$2&amp;"!o14")</f>
        <v>-160</v>
      </c>
      <c r="AQ14" s="840">
        <f ca="1">+INDIRECT("[EMPINFO.xlsm]"&amp;$O$2&amp;"!p14")</f>
        <v>-1559.22</v>
      </c>
      <c r="AR14" s="226">
        <f ca="1">+INDIRECT("[EMPINFO.xlsm]"&amp;$O$2&amp;"!j14")</f>
        <v>0</v>
      </c>
      <c r="AS14" s="840">
        <f ca="1">+INDIRECT("[EMPINFO.xlsm]"&amp;$O$2&amp;"!k14")</f>
        <v>214.67999999999998</v>
      </c>
      <c r="AT14" s="226">
        <f ca="1">+INDIRECT("[EMPINFO.xlsm]"&amp;$O$2&amp;"!m14")</f>
        <v>0</v>
      </c>
      <c r="AU14" s="844">
        <f ca="1">+INDIRECT("[EMPINFO.xlsm]"&amp;$O$2&amp;"!n14")</f>
        <v>219.64</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0.25</v>
      </c>
      <c r="BC14" s="289">
        <f t="shared" ca="1" si="21"/>
        <v>3400</v>
      </c>
      <c r="BD14" s="255"/>
      <c r="BE14" s="206"/>
      <c r="BF14" s="32"/>
      <c r="BH14" s="32"/>
    </row>
    <row r="15" spans="1:62" ht="15.75" customHeight="1" thickBot="1" x14ac:dyDescent="0.3">
      <c r="A15" s="54"/>
      <c r="L15" s="101"/>
      <c r="M15" s="303"/>
      <c r="N15" s="211">
        <f t="shared" ca="1" si="0"/>
        <v>8.7309999999999999</v>
      </c>
      <c r="O15" s="213">
        <f>+DATA!A14</f>
        <v>46357</v>
      </c>
      <c r="P15" s="219">
        <f ca="1">+INDIRECT("[EMPINFO.xlsm]"&amp;$O$2&amp;"!G15")</f>
        <v>4</v>
      </c>
      <c r="Q15" s="215">
        <f ca="1">IF(AZ15="active",INDIRECT("[EMPINFO.xlsm]"&amp;$O$2&amp;"!H15"),0)</f>
        <v>40</v>
      </c>
      <c r="R15" s="239">
        <f t="shared" ca="1" si="22"/>
        <v>8.7309999999999999</v>
      </c>
      <c r="S15" s="216">
        <f t="shared" ca="1" si="1"/>
        <v>1513.3733333333323</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1648.4733333333322</v>
      </c>
      <c r="AA15" s="803">
        <f t="shared" ca="1" si="7"/>
        <v>128</v>
      </c>
      <c r="AB15" s="218">
        <f ca="1">+INDIRECT("[EMPINFO.xlsm]"&amp;$O$2&amp;"!s15")</f>
        <v>0</v>
      </c>
      <c r="AC15" s="292">
        <v>1.5</v>
      </c>
      <c r="AD15" s="218">
        <f t="shared" ca="1" si="8"/>
        <v>0</v>
      </c>
      <c r="AE15" s="220">
        <f t="shared" ca="1" si="9"/>
        <v>0</v>
      </c>
      <c r="AF15" s="218">
        <f t="shared" ca="1" si="10"/>
        <v>128</v>
      </c>
      <c r="AG15" s="803">
        <f t="shared" ca="1" si="11"/>
        <v>349.24</v>
      </c>
      <c r="AH15" s="218">
        <f t="shared" ca="1" si="12"/>
        <v>139.69999999999999</v>
      </c>
      <c r="AI15" s="803">
        <f t="shared" ca="1" si="13"/>
        <v>139.69999999999999</v>
      </c>
      <c r="AJ15" s="218">
        <f t="shared" ca="1" si="14"/>
        <v>279.39999999999998</v>
      </c>
      <c r="AK15" s="803">
        <f t="shared" ca="1" si="15"/>
        <v>4.1900000000000004</v>
      </c>
      <c r="AL15" s="218">
        <f t="shared" ca="1" si="23"/>
        <v>1792.3633333333323</v>
      </c>
      <c r="AM15" s="290" t="str">
        <f t="shared" ca="1" si="16"/>
        <v>C</v>
      </c>
      <c r="AN15" s="291" t="str">
        <f t="shared" ca="1" si="17"/>
        <v>FT</v>
      </c>
      <c r="AO15" s="223">
        <f ca="1">+INDIRECT("[EMPINFO.xlsm]"&amp;$O$2&amp;"!t15")</f>
        <v>31</v>
      </c>
      <c r="AP15" s="226">
        <f ca="1">+INDIRECT("[EMPINFO.xlsm]"&amp;$O$2&amp;"!o15")</f>
        <v>-160</v>
      </c>
      <c r="AQ15" s="840">
        <f ca="1">+INDIRECT("[EMPINFO.xlsm]"&amp;$O$2&amp;"!p15")</f>
        <v>-1719.22</v>
      </c>
      <c r="AR15" s="226">
        <f ca="1">+INDIRECT("[EMPINFO.xlsm]"&amp;$O$2&amp;"!j15")</f>
        <v>0</v>
      </c>
      <c r="AS15" s="840">
        <f ca="1">+INDIRECT("[EMPINFO.xlsm]"&amp;$O$2&amp;"!k15")</f>
        <v>214.67999999999998</v>
      </c>
      <c r="AT15" s="226">
        <f ca="1">+INDIRECT("[EMPINFO.xlsm]"&amp;$O$2&amp;"!m15")</f>
        <v>0</v>
      </c>
      <c r="AU15" s="844">
        <f ca="1">+INDIRECT("[EMPINFO.xlsm]"&amp;$O$2&amp;"!n15")</f>
        <v>219.64</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0.25</v>
      </c>
      <c r="BC15" s="289">
        <f t="shared" ca="1" si="21"/>
        <v>3400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18160.479999999992</v>
      </c>
      <c r="T16" s="221">
        <f t="shared" ca="1" si="24"/>
        <v>0</v>
      </c>
      <c r="U16" s="217">
        <f t="shared" ca="1" si="24"/>
        <v>0</v>
      </c>
      <c r="V16" s="221">
        <f t="shared" ca="1" si="24"/>
        <v>0</v>
      </c>
      <c r="W16" s="217">
        <f t="shared" ca="1" si="24"/>
        <v>490.55142857142857</v>
      </c>
      <c r="X16" s="217">
        <f t="shared" ca="1" si="24"/>
        <v>0</v>
      </c>
      <c r="Y16" s="804">
        <f t="shared" ca="1" si="24"/>
        <v>0</v>
      </c>
      <c r="Z16" s="217">
        <f t="shared" ca="1" si="24"/>
        <v>18651.031428571416</v>
      </c>
      <c r="AA16" s="804">
        <f t="shared" ca="1" si="24"/>
        <v>1260</v>
      </c>
      <c r="AB16" s="217">
        <f ca="1">+INDIRECT("[EMPINFO.xlsm]"&amp;$O$2&amp;"!S16")</f>
        <v>0</v>
      </c>
      <c r="AC16" s="221" t="s">
        <v>150</v>
      </c>
      <c r="AD16" s="217">
        <f ca="1">SUM(AD4:AD15)</f>
        <v>0</v>
      </c>
      <c r="AE16" s="221">
        <f ca="1">SUM(AE4:AE15)</f>
        <v>0</v>
      </c>
      <c r="AF16" s="217">
        <f ca="1">SUM(AF4:AF15)</f>
        <v>1260</v>
      </c>
      <c r="AG16" s="221"/>
      <c r="AH16" s="217">
        <f ca="1">SUM(AH4:AH15)</f>
        <v>1816.0800000000002</v>
      </c>
      <c r="AI16" s="803">
        <f ca="1">SUM(AI4:AI15)</f>
        <v>1816.0800000000002</v>
      </c>
      <c r="AJ16" s="217">
        <f t="shared" ca="1" si="14"/>
        <v>3632.1600000000003</v>
      </c>
      <c r="AK16" s="835">
        <f ca="1">SUM(AK4:AK15)</f>
        <v>54.48</v>
      </c>
      <c r="AL16" s="217">
        <f ca="1">+SUM(AL4:AL15)</f>
        <v>20521.591428571417</v>
      </c>
      <c r="AM16" s="298"/>
      <c r="AN16" s="297"/>
      <c r="AO16" s="224">
        <f ca="1">+INDIRECT("[EMPINFO.xlsm]"&amp;$O$2&amp;"!T16")</f>
        <v>365</v>
      </c>
      <c r="AP16" s="299">
        <f>+[1]RGaldes!O16</f>
        <v>0</v>
      </c>
      <c r="AQ16" s="841">
        <f ca="1">+INDIRECT("[EMPINFO.xlsm]"&amp;$O$2&amp;"!p16")</f>
        <v>-1719.22</v>
      </c>
      <c r="AR16" s="299"/>
      <c r="AS16" s="841">
        <f ca="1">+INDIRECT("[EMPINFO.xlsm]"&amp;$O$2&amp;"!k16")</f>
        <v>214.67999999999998</v>
      </c>
      <c r="AT16" s="299">
        <f ca="1">+INDIRECT("[EMPINFO.xlsm]"&amp;$O$2&amp;"!m16")</f>
        <v>20.36</v>
      </c>
      <c r="AU16" s="841">
        <f ca="1">+INDIRECT("[EMPINFO.xlsm]"&amp;$O$2&amp;"!n16")</f>
        <v>219.64</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18651</v>
      </c>
      <c r="I17" s="456"/>
      <c r="K17" s="317" t="s">
        <v>151</v>
      </c>
      <c r="L17" s="101"/>
      <c r="M17" s="256">
        <v>7</v>
      </c>
      <c r="N17" s="257" t="s">
        <v>152</v>
      </c>
      <c r="O17" s="258">
        <f ca="1">+Med_Tot</f>
        <v>18651.031428571416</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-1719.22</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Kunnamkudath Anitta Simon</v>
      </c>
      <c r="P19" s="374" t="str">
        <f>+IDCard</f>
        <v>453147A</v>
      </c>
      <c r="Q19" s="375" t="str">
        <f>+designation</f>
        <v>10. Trainee  Dental Assistant</v>
      </c>
      <c r="R19" s="376" t="s">
        <v>156</v>
      </c>
      <c r="S19" s="377">
        <f ca="1">+S20+S23+S22+S24+S25+S26+S21</f>
        <v>1513.3733333333323</v>
      </c>
      <c r="T19" s="378" t="str">
        <f>+FS4_Status</f>
        <v>SIN</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1513.3733333333323</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279.39999999999998</v>
      </c>
      <c r="U21" s="372">
        <f ca="1">INDEX(PYRL_Summary,MATCH(O21,months,0),22)</f>
        <v>139.69999999999999</v>
      </c>
      <c r="V21" s="373">
        <f ca="1">INDEX(PYRL_Summary,MATCH(O21,months,0),23)</f>
        <v>139.69999999999999</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4.1900000000000004</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18651</v>
      </c>
      <c r="I23" s="466"/>
      <c r="J23" s="318" t="s">
        <v>169</v>
      </c>
      <c r="K23" s="916"/>
      <c r="L23" s="917"/>
      <c r="N23" s="420"/>
      <c r="O23" s="344">
        <f>+ID</f>
        <v>2025005</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95</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MT70VALL22013000000050022916504</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1278.6733333333323</v>
      </c>
      <c r="V26" s="418"/>
      <c r="X26" s="575"/>
    </row>
    <row r="27" spans="1:56" ht="24" customHeight="1" thickBot="1" x14ac:dyDescent="0.3">
      <c r="A27" s="54"/>
      <c r="B27" s="73" t="s">
        <v>52</v>
      </c>
      <c r="G27" s="73" t="s">
        <v>53</v>
      </c>
      <c r="H27" s="8">
        <f ca="1">IF(OR(Timer="PT", Timer="pt_casual"),0,AA16)</f>
        <v>1260</v>
      </c>
      <c r="I27" s="319" t="s">
        <v>179</v>
      </c>
      <c r="J27" s="96"/>
      <c r="L27" s="322">
        <v>0</v>
      </c>
      <c r="N27" s="421" t="s">
        <v>180</v>
      </c>
      <c r="O27" s="360" t="s">
        <v>181</v>
      </c>
      <c r="P27" s="361">
        <f>+O21-1</f>
        <v>46022</v>
      </c>
      <c r="Q27" s="362"/>
      <c r="R27" s="363" t="s">
        <v>182</v>
      </c>
      <c r="S27" s="364">
        <f ca="1">(INDEX(PYRL_Summary,MATCH(P27,months,0),33))</f>
        <v>1.5</v>
      </c>
      <c r="T27" s="544">
        <f>IF(Y27=0, "DO NOT INPUT HERE. USE HIGHLIGHTED ",Y27)</f>
        <v>173404621</v>
      </c>
      <c r="U27" s="545"/>
      <c r="V27" s="546"/>
      <c r="W27" s="73" t="s">
        <v>183</v>
      </c>
      <c r="Y27" s="436">
        <v>173404621</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0.5</v>
      </c>
      <c r="R28" s="392" t="s">
        <v>188</v>
      </c>
      <c r="S28" s="393">
        <f ca="1">INDEX(PYRL_Summary,MATCH(O21,months,0),33)</f>
        <v>214.67999999999998</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Kunnamkudath Anitta Simon</v>
      </c>
      <c r="P29" s="394" t="str">
        <f>+IDCard</f>
        <v>453147A</v>
      </c>
      <c r="Q29" s="395" t="str">
        <f>+designation</f>
        <v>10. Trainee  Dental Assistant</v>
      </c>
      <c r="R29" s="396" t="s">
        <v>156</v>
      </c>
      <c r="S29" s="397">
        <f ca="1">+S30+S33+S32+S34+S35+S36+S31</f>
        <v>1513.3733333333323</v>
      </c>
      <c r="T29" s="431" t="str">
        <f>+FS4_Status</f>
        <v>SIN</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1513.3733333333323</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1260</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279.39999999999998</v>
      </c>
      <c r="U31" s="358">
        <f ca="1">INDEX(PYRL_Summary,MATCH(O31,months,0),22)</f>
        <v>139.69999999999999</v>
      </c>
      <c r="V31" s="359">
        <f ca="1">INDEX(PYRL_Summary,MATCH(O31,months,0),23)</f>
        <v>139.69999999999999</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4.1900000000000004</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2025005</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95</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MT70VALL22013000000050022916504</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1278.6733333333323</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10.82</v>
      </c>
      <c r="R37" s="354"/>
      <c r="S37" s="356"/>
      <c r="T37" s="544" t="str">
        <f>IF(Y37=0, "DO NOT INPUT HERE. USE HIGHLIGHTED ",Y37)</f>
        <v>Transaction ID is: 174693020</v>
      </c>
      <c r="U37" s="545"/>
      <c r="V37" s="546"/>
      <c r="W37" s="73" t="s">
        <v>183</v>
      </c>
      <c r="Y37" s="574" t="s">
        <v>642</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9.9999999999980105E-3</v>
      </c>
      <c r="R38" s="410" t="s">
        <v>188</v>
      </c>
      <c r="S38" s="411">
        <f ca="1">INDEX(PYRL_Summary,MATCH(O31,months,0),33)</f>
        <v>214.67999999999998</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Kunnamkudath Anitta Simon</v>
      </c>
      <c r="P39" s="374" t="str">
        <f>+IDCard</f>
        <v>453147A</v>
      </c>
      <c r="Q39" s="375" t="str">
        <f>+designation</f>
        <v>10. Trainee  Dental Assistant</v>
      </c>
      <c r="R39" s="376" t="s">
        <v>156</v>
      </c>
      <c r="S39" s="377">
        <f ca="1">+S40+S43+S42+S44+S45+S46+S41</f>
        <v>1612.5647619047609</v>
      </c>
      <c r="T39" s="378" t="str">
        <f>+FS4_Status</f>
        <v>SIN</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1513.3733333333323</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349.24</v>
      </c>
      <c r="U41" s="372">
        <f ca="1">INDEX(PYRL_Summary,MATCH(O41,months,0),22)</f>
        <v>174.62</v>
      </c>
      <c r="V41" s="373">
        <f ca="1">INDEX(PYRL_Summary,MATCH(O41,months,0),23)</f>
        <v>174.62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5.24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2025005</v>
      </c>
      <c r="P43" s="365" t="s">
        <v>172</v>
      </c>
      <c r="Q43" s="365"/>
      <c r="R43" s="366"/>
      <c r="S43" s="367">
        <f ca="1">INDEX(PYRL_Summary,MATCH(O41,months,0),11)</f>
        <v>99.191428571428574</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119</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MT70VALL22013000000050022916504</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1318.944761904761</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0.77999999999999492</v>
      </c>
      <c r="R48" s="392" t="s">
        <v>188</v>
      </c>
      <c r="S48" s="393">
        <f ca="1">INDEX(PYRL_Summary,MATCH(O41,months,0),33)</f>
        <v>214.67999999999998</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Kunnamkudath Anitta Simon</v>
      </c>
      <c r="P49" s="394" t="str">
        <f>+IDCard</f>
        <v>453147A</v>
      </c>
      <c r="Q49" s="395" t="str">
        <f>+designation</f>
        <v>10. Trainee  Dental Assistant</v>
      </c>
      <c r="R49" s="396" t="s">
        <v>156</v>
      </c>
      <c r="S49" s="397">
        <f ca="1">+S50+S53+S52+S54+S55+S56+S51</f>
        <v>1513.3733333333323</v>
      </c>
      <c r="T49" s="431" t="str">
        <f>+FS4_Status</f>
        <v>SIN</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1513.3733333333323</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279.39999999999998</v>
      </c>
      <c r="U51" s="358">
        <f ca="1">INDEX(PYRL_Summary,MATCH(O51,months,0),22)</f>
        <v>139.69999999999999</v>
      </c>
      <c r="V51" s="359">
        <f ca="1">INDEX(PYRL_Summary,MATCH(O51,months,0),23)</f>
        <v>139.69999999999999</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4.1900000000000004</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2025005</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95</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MT70VALL22013000000050022916504</v>
      </c>
      <c r="U55" s="890"/>
      <c r="V55" s="891"/>
    </row>
    <row r="56" spans="1:37" ht="16.5" customHeight="1" thickBot="1" x14ac:dyDescent="0.3">
      <c r="E56" s="116" t="s">
        <v>215</v>
      </c>
      <c r="F56" s="115" t="str">
        <f>INDEX([1]!empdata,MATCH(ID,[1]!empid,0),17)</f>
        <v>MT70VALL22013000000050022916504</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1278.6733333333323</v>
      </c>
      <c r="V56" s="418"/>
    </row>
    <row r="57" spans="1:37" ht="26.25" customHeight="1" thickBot="1" x14ac:dyDescent="0.3">
      <c r="E57" s="116" t="s">
        <v>216</v>
      </c>
      <c r="F57" s="340" t="str">
        <f>INDEX([1]!empdata,MATCH(ID,[1]!empid,0),12)</f>
        <v>anittasimon261998@gmail.com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35948</v>
      </c>
      <c r="G58" s="56"/>
      <c r="H58" s="63"/>
      <c r="N58" s="406">
        <f ca="1">INDEX(PYRL_Summary,MATCH(O51,months,0),4)</f>
        <v>4</v>
      </c>
      <c r="O58" s="407" t="s">
        <v>187</v>
      </c>
      <c r="P58" s="408">
        <f>+O41</f>
        <v>46082</v>
      </c>
      <c r="Q58" s="409">
        <f ca="1">INDEX(PYRL_Summary,MATCH(P58,months,0),31)</f>
        <v>-159.22</v>
      </c>
      <c r="R58" s="410" t="s">
        <v>188</v>
      </c>
      <c r="S58" s="411">
        <f ca="1">INDEX(PYRL_Summary,MATCH(O51,months,0),33)</f>
        <v>214.67999999999998</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45964</v>
      </c>
      <c r="G59" s="56"/>
      <c r="H59" s="63"/>
      <c r="N59" s="386">
        <f ca="1">IF(OR(INDEX(PYRL_Summary,MATCH(O61,months,0),28)="pt",INDEX(PYRL_Summary,MATCH(O61,months,0),28)="pt_casual"),0,IF(N62-N61&gt;=1,1,0))</f>
        <v>1</v>
      </c>
      <c r="O59" s="894" t="str">
        <f>Surname&amp;" "&amp;Name</f>
        <v>Kunnamkudath Anitta Simon</v>
      </c>
      <c r="P59" s="374" t="str">
        <f>+IDCard</f>
        <v>453147A</v>
      </c>
      <c r="Q59" s="375" t="str">
        <f>+designation</f>
        <v>10. Trainee  Dental Assistant</v>
      </c>
      <c r="R59" s="376" t="s">
        <v>156</v>
      </c>
      <c r="S59" s="377">
        <f ca="1">+S60+S63+S62+S64+S65+S66+S61</f>
        <v>1513.3733333333323</v>
      </c>
      <c r="T59" s="378" t="str">
        <f>+FS4_Status</f>
        <v>SIN</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10. Trainee  Dental Assistant</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1513.3733333333323</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279.39999999999998</v>
      </c>
      <c r="U61" s="372">
        <f ca="1">INDEX(PYRL_Summary,MATCH(O61,months,0),22)</f>
        <v>139.69999999999999</v>
      </c>
      <c r="V61" s="373">
        <f ca="1">INDEX(PYRL_Summary,MATCH(O61,months,0),23)</f>
        <v>139.69999999999999</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4.1900000000000004</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2025005</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95</v>
      </c>
      <c r="X64" s="577"/>
    </row>
    <row r="65" spans="5:37" ht="15.75" customHeight="1" thickBot="1" x14ac:dyDescent="0.3">
      <c r="E65" s="925" t="s">
        <v>224</v>
      </c>
      <c r="F65" s="926"/>
      <c r="G65" s="103">
        <f ca="1">+Med_Tot</f>
        <v>18651.031428571416</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MT70VALL22013000000050022916504</v>
      </c>
      <c r="U65" s="890"/>
      <c r="V65" s="891"/>
    </row>
    <row r="66" spans="5:37" ht="16.5" customHeight="1" thickBot="1" x14ac:dyDescent="0.3">
      <c r="E66" s="952" t="s">
        <v>226</v>
      </c>
      <c r="F66" s="953"/>
      <c r="G66" s="112">
        <f ca="1">+PREVFS3+Med_Tot</f>
        <v>18651.031428571416</v>
      </c>
      <c r="H66" s="114">
        <f ca="1">IF(grossyearly&lt;F68,1,IF(grossyearly&lt;F69,2,IF(grossyearly&lt;F70,3,IF(grossyearly&lt;F71,4,5))))</f>
        <v>3</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1278.6733333333323</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4</v>
      </c>
      <c r="O68" s="389" t="s">
        <v>187</v>
      </c>
      <c r="P68" s="390">
        <f>+O51</f>
        <v>46113</v>
      </c>
      <c r="Q68" s="391">
        <f ca="1">INDEX(PYRL_Summary,MATCH(P68,months,0),31)</f>
        <v>-319.22000000000003</v>
      </c>
      <c r="R68" s="392" t="s">
        <v>188</v>
      </c>
      <c r="S68" s="393">
        <f ca="1">INDEX(PYRL_Summary,MATCH(O61,months,0),33)</f>
        <v>214.67999999999998</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1</v>
      </c>
      <c r="O69" s="908" t="str">
        <f>Surname&amp;" "&amp;Name</f>
        <v>Kunnamkudath Anitta Simon</v>
      </c>
      <c r="P69" s="394" t="str">
        <f>+IDCard</f>
        <v>453147A</v>
      </c>
      <c r="Q69" s="395" t="str">
        <f>+designation</f>
        <v>10. Trainee  Dental Assistant</v>
      </c>
      <c r="R69" s="396" t="s">
        <v>156</v>
      </c>
      <c r="S69" s="397">
        <f ca="1">+S70+S73+S72+S74+S75+S76+S71</f>
        <v>1648.4733333333322</v>
      </c>
      <c r="T69" s="431" t="str">
        <f>+FS4_Status</f>
        <v>SIN</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1513.3733333333323</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349.24</v>
      </c>
      <c r="U71" s="358">
        <f ca="1">INDEX(PYRL_Summary,MATCH(O71,months,0),22)</f>
        <v>174.62</v>
      </c>
      <c r="V71" s="359">
        <f ca="1">INDEX(PYRL_Summary,MATCH(O71,months,0),23)</f>
        <v>174.62</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5.24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2025005</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128</v>
      </c>
      <c r="X74" s="577"/>
    </row>
    <row r="75" spans="5:37" ht="15.75" customHeight="1" thickBot="1" x14ac:dyDescent="0.3">
      <c r="E75" s="293"/>
      <c r="F75" s="294" t="s">
        <v>130</v>
      </c>
      <c r="G75" s="295">
        <f ca="1">IF(AND(Timer="pt",grossyearly&lt;10000),+ptrate,IF(grossyearly&lt;$F$68,$G$68,IF(grossyearly&lt;$F$69,$G$69,IF(grossyearly&lt;$F$70,$G$70,IF(grossyearly&lt;$F$71,$G$71,$G$72)))))</f>
        <v>0.25</v>
      </c>
      <c r="H75" s="296">
        <f ca="1">IF(grossyearly&lt;$F$68,$H$68,IF(grossyearly&lt;$F$69,$H$69,IF(grossyearly&lt;$F$70,$H$70,IF(grossyearly&lt;$F$71,$H$71,$H$72))))</f>
        <v>3400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MT70VALL22013000000050022916504</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1345.8533333333321</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-519.22</v>
      </c>
      <c r="R78" s="410" t="s">
        <v>188</v>
      </c>
      <c r="S78" s="411">
        <f ca="1">INDEX(PYRL_Summary,MATCH(O71,months,0),33)</f>
        <v>214.67999999999998</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Kunnamkudath Anitta Simon</v>
      </c>
      <c r="P79" s="374" t="str">
        <f>+IDCard</f>
        <v>453147A</v>
      </c>
      <c r="Q79" s="375" t="str">
        <f>+designation</f>
        <v>10. Trainee  Dental Assistant</v>
      </c>
      <c r="R79" s="376" t="s">
        <v>156</v>
      </c>
      <c r="S79" s="377">
        <f ca="1">+S80+S83+S82+S84+S85+S86+S81</f>
        <v>1513.3733333333323</v>
      </c>
      <c r="T79" s="378" t="str">
        <f>+FS4_Status</f>
        <v>SIN</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1513.3733333333323</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279.39999999999998</v>
      </c>
      <c r="U81" s="372">
        <f ca="1">INDEX(PYRL_Summary,MATCH(O81,months,0),22)</f>
        <v>139.69999999999999</v>
      </c>
      <c r="V81" s="373">
        <f ca="1">INDEX(PYRL_Summary,MATCH(O81,months,0),23)</f>
        <v>139.69999999999999</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4.1900000000000004</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2025005</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95</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MT70VALL22013000000050022916504</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1278.6733333333323</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214.67999999999998</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Kunnamkudath Anitta Simon</v>
      </c>
      <c r="P89" s="394" t="str">
        <f>+IDCard</f>
        <v>453147A</v>
      </c>
      <c r="Q89" s="395" t="str">
        <f>+designation</f>
        <v>10. Trainee  Dental Assistant</v>
      </c>
      <c r="R89" s="396" t="s">
        <v>156</v>
      </c>
      <c r="S89" s="397">
        <f ca="1">+S90+S93+S92+S94+S95+S96+S91</f>
        <v>1513.3733333333323</v>
      </c>
      <c r="T89" s="431" t="str">
        <f>+FS4_Status</f>
        <v>SIN</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1513.3733333333323</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349.24</v>
      </c>
      <c r="U91" s="358">
        <f ca="1">INDEX(PYRL_Summary,MATCH(O91,months,0),22)</f>
        <v>174.62</v>
      </c>
      <c r="V91" s="359">
        <f ca="1">INDEX(PYRL_Summary,MATCH(O91,months,0),23)</f>
        <v>174.62</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5.24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2025005</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95</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MT70VALL22013000000050022916504</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1243.7533333333322</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-839.22</v>
      </c>
      <c r="R98" s="410" t="s">
        <v>188</v>
      </c>
      <c r="S98" s="411">
        <f ca="1">INDEX(PYRL_Summary,MATCH(O91,months,0),33)</f>
        <v>214.67999999999998</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Kunnamkudath Anitta Simon</v>
      </c>
      <c r="P99" s="374" t="str">
        <f>+IDCard</f>
        <v>453147A</v>
      </c>
      <c r="Q99" s="375" t="str">
        <f>+designation</f>
        <v>10. Trainee  Dental Assistant</v>
      </c>
      <c r="R99" s="376" t="s">
        <v>156</v>
      </c>
      <c r="S99" s="377">
        <f ca="1">+S100+S103+S102+S104+S105+S106+S101</f>
        <v>1634.5333333333324</v>
      </c>
      <c r="T99" s="378" t="str">
        <f>+FS4_Status</f>
        <v>SIN</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1513.3733333333323</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279.39999999999998</v>
      </c>
      <c r="U101" s="372">
        <f ca="1">INDEX(PYRL_Summary,MATCH(O101,months,0),22)</f>
        <v>139.69999999999999</v>
      </c>
      <c r="V101" s="373">
        <f ca="1">INDEX(PYRL_Summary,MATCH(O101,months,0),23)</f>
        <v>139.69999999999999</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4.1900000000000004</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2025005</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125</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MT70VALL22013000000050022916504</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1369.8333333333323</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-1039.22</v>
      </c>
      <c r="R108" s="392" t="s">
        <v>188</v>
      </c>
      <c r="S108" s="393">
        <f ca="1">INDEX(PYRL_Summary,MATCH(O101,months,0),33)</f>
        <v>214.67999999999998</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Kunnamkudath Anitta Simon</v>
      </c>
      <c r="P109" s="394" t="str">
        <f>+IDCard</f>
        <v>453147A</v>
      </c>
      <c r="Q109" s="395" t="str">
        <f>+designation</f>
        <v>10. Trainee  Dental Assistant</v>
      </c>
      <c r="R109" s="396" t="s">
        <v>156</v>
      </c>
      <c r="S109" s="397">
        <f ca="1">+S110+S113+S112+S114+S115+S116+S111</f>
        <v>1513.3733333333323</v>
      </c>
      <c r="T109" s="431" t="str">
        <f>+FS4_Status</f>
        <v>SIN</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1513.3733333333323</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279.39999999999998</v>
      </c>
      <c r="U111" s="358">
        <f ca="1">INDEX(PYRL_Summary,MATCH(W109,months,0),22)</f>
        <v>139.69999999999999</v>
      </c>
      <c r="V111" s="359">
        <f ca="1">INDEX(PYRL_Summary,MATCH(W109,months,0),23)</f>
        <v>139.69999999999999</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4.1900000000000004</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2025005</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95</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MT70VALL22013000000050022916504</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1278.6733333333323</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-1199.22</v>
      </c>
      <c r="R118" s="410" t="s">
        <v>188</v>
      </c>
      <c r="S118" s="411">
        <f ca="1">INDEX(PYRL_Summary,MATCH(W109,months,0),33)</f>
        <v>214.67999999999998</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Kunnamkudath Anitta Simon</v>
      </c>
      <c r="P119" s="374" t="str">
        <f>+IDCard</f>
        <v>453147A</v>
      </c>
      <c r="Q119" s="375" t="str">
        <f>+designation</f>
        <v>10. Trainee  Dental Assistant</v>
      </c>
      <c r="R119" s="376" t="s">
        <v>156</v>
      </c>
      <c r="S119" s="377">
        <f ca="1">+S120+S123+S122+S124+S125+S126+S121</f>
        <v>1513.3733333333323</v>
      </c>
      <c r="T119" s="378" t="str">
        <f>+FS4_Status</f>
        <v>SIN</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1513.3733333333323</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349.24</v>
      </c>
      <c r="U121" s="372">
        <f ca="1">INDEX(PYRL_Summary,MATCH(W119,months,0),22)</f>
        <v>174.62</v>
      </c>
      <c r="V121" s="373">
        <f ca="1">INDEX(PYRL_Summary,MATCH(W119,months,0),23)</f>
        <v>174.62</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5.24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2025005</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95</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MT70VALL22013000000050022916504</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1243.7533333333322</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-1399.22</v>
      </c>
      <c r="R128" s="392" t="s">
        <v>188</v>
      </c>
      <c r="S128" s="393">
        <f ca="1">INDEX(PYRL_Summary,MATCH(W119,months,0),33)</f>
        <v>214.67999999999998</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Kunnamkudath Anitta Simon</v>
      </c>
      <c r="P129" s="394" t="str">
        <f>+IDCard</f>
        <v>453147A</v>
      </c>
      <c r="Q129" s="395" t="str">
        <f>+designation</f>
        <v>10. Trainee  Dental Assistant</v>
      </c>
      <c r="R129" s="396" t="s">
        <v>156</v>
      </c>
      <c r="S129" s="397">
        <f ca="1">+S130+S133+S132+S134+S135+S136+S131</f>
        <v>1648.4733333333322</v>
      </c>
      <c r="T129" s="431" t="str">
        <f>+FS4_Status</f>
        <v>SIN</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1513.3733333333323</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279.39999999999998</v>
      </c>
      <c r="U131" s="358">
        <f ca="1">INDEX(PYRL_Summary,MATCH(W129,months,0),22)</f>
        <v>139.69999999999999</v>
      </c>
      <c r="V131" s="359">
        <f ca="1">INDEX(PYRL_Summary,MATCH(W129,months,0),23)</f>
        <v>139.69999999999999</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4.1900000000000004</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2025005</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128</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MT70VALL22013000000050022916504</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1380.7733333333322</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-1559.22</v>
      </c>
      <c r="R138" s="410" t="s">
        <v>188</v>
      </c>
      <c r="S138" s="411">
        <f ca="1">INDEX(PYRL_Summary,MATCH(W129,months,0),33)</f>
        <v>214.67999999999998</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261" priority="29">
      <formula>$P25=0</formula>
    </cfRule>
  </conditionalFormatting>
  <conditionalFormatting sqref="Q25:R25">
    <cfRule type="expression" dxfId="260" priority="28">
      <formula>$R25=0</formula>
    </cfRule>
  </conditionalFormatting>
  <conditionalFormatting sqref="S25">
    <cfRule type="expression" dxfId="259" priority="27">
      <formula>$S25=0</formula>
    </cfRule>
  </conditionalFormatting>
  <conditionalFormatting sqref="S26">
    <cfRule type="expression" dxfId="258" priority="25">
      <formula>$S$46&gt;0.01</formula>
    </cfRule>
    <cfRule type="expression" dxfId="257" priority="26">
      <formula>$S$46=0</formula>
    </cfRule>
  </conditionalFormatting>
  <conditionalFormatting sqref="T23 T33 T43 T53 T63 T73 T83 T93 T103 T113 T123 T133">
    <cfRule type="expression" dxfId="256" priority="24" stopIfTrue="1">
      <formula>"$R$23=0"""</formula>
    </cfRule>
  </conditionalFormatting>
  <conditionalFormatting sqref="O26:Q26">
    <cfRule type="expression" dxfId="255" priority="23">
      <formula>$Q$26=0</formula>
    </cfRule>
  </conditionalFormatting>
  <conditionalFormatting sqref="V23">
    <cfRule type="expression" dxfId="254" priority="22">
      <formula>$V$23=0</formula>
    </cfRule>
  </conditionalFormatting>
  <conditionalFormatting sqref="O35:P35">
    <cfRule type="expression" dxfId="253" priority="21">
      <formula>$P35=0</formula>
    </cfRule>
  </conditionalFormatting>
  <conditionalFormatting sqref="Q35:R35">
    <cfRule type="expression" dxfId="252" priority="20">
      <formula>$R35=0</formula>
    </cfRule>
  </conditionalFormatting>
  <conditionalFormatting sqref="S35">
    <cfRule type="expression" dxfId="251" priority="19">
      <formula>$S35=0</formula>
    </cfRule>
  </conditionalFormatting>
  <conditionalFormatting sqref="S36">
    <cfRule type="expression" dxfId="250" priority="17">
      <formula>$S$46&gt;0.01</formula>
    </cfRule>
    <cfRule type="expression" dxfId="249" priority="18">
      <formula>$S$46=0</formula>
    </cfRule>
  </conditionalFormatting>
  <conditionalFormatting sqref="O36:Q36">
    <cfRule type="expression" dxfId="248" priority="16">
      <formula>$Q$26=0</formula>
    </cfRule>
  </conditionalFormatting>
  <conditionalFormatting sqref="V33">
    <cfRule type="expression" dxfId="247" priority="15">
      <formula>$V$23=0</formula>
    </cfRule>
  </conditionalFormatting>
  <conditionalFormatting sqref="O45:P45 O65:P65 O85:P85 O105:P105 O125:P125">
    <cfRule type="expression" dxfId="246" priority="14">
      <formula>$P45=0</formula>
    </cfRule>
  </conditionalFormatting>
  <conditionalFormatting sqref="Q45:R45 Q65:R65 Q85:R85 Q105:R105 Q125:R125">
    <cfRule type="expression" dxfId="245" priority="13">
      <formula>$R45=0</formula>
    </cfRule>
  </conditionalFormatting>
  <conditionalFormatting sqref="S45 S65 S85 S105 S125">
    <cfRule type="expression" dxfId="244" priority="12">
      <formula>$S45=0</formula>
    </cfRule>
  </conditionalFormatting>
  <conditionalFormatting sqref="S46 S66 S86 S106 S126">
    <cfRule type="expression" dxfId="243" priority="10">
      <formula>$S$46&gt;0.01</formula>
    </cfRule>
    <cfRule type="expression" dxfId="242" priority="11">
      <formula>$S$46=0</formula>
    </cfRule>
  </conditionalFormatting>
  <conditionalFormatting sqref="O46:Q46 O66:Q66 O86:Q86 O106:Q106 O126:Q126">
    <cfRule type="expression" dxfId="241" priority="9">
      <formula>$Q$26=0</formula>
    </cfRule>
  </conditionalFormatting>
  <conditionalFormatting sqref="V43 V63 V83 V103 V123">
    <cfRule type="expression" dxfId="240" priority="8">
      <formula>$V$23=0</formula>
    </cfRule>
  </conditionalFormatting>
  <conditionalFormatting sqref="O55:P55 O75:P75 O95:P95 O115:P115 O135:P135">
    <cfRule type="expression" dxfId="239" priority="7">
      <formula>$P55=0</formula>
    </cfRule>
  </conditionalFormatting>
  <conditionalFormatting sqref="Q55:R55 Q75:R75 Q95:R95 Q115:R115 Q135:R135">
    <cfRule type="expression" dxfId="238" priority="6">
      <formula>$R55=0</formula>
    </cfRule>
  </conditionalFormatting>
  <conditionalFormatting sqref="S55 S75 S95 S115 S135">
    <cfRule type="expression" dxfId="237" priority="5">
      <formula>$S55=0</formula>
    </cfRule>
  </conditionalFormatting>
  <conditionalFormatting sqref="S56 S76 S96 S116 S136">
    <cfRule type="expression" dxfId="236" priority="3">
      <formula>$S$46&gt;0.01</formula>
    </cfRule>
    <cfRule type="expression" dxfId="235" priority="4">
      <formula>$S$46=0</formula>
    </cfRule>
  </conditionalFormatting>
  <conditionalFormatting sqref="O56:Q56 O76:Q76 O96:Q96 O116:Q116 O136:Q136">
    <cfRule type="expression" dxfId="234" priority="2">
      <formula>$Q$26=0</formula>
    </cfRule>
  </conditionalFormatting>
  <conditionalFormatting sqref="V53 V73 V93 V113 V133">
    <cfRule type="expression" dxfId="233" priority="1">
      <formula>$V$23=0</formula>
    </cfRule>
  </conditionalFormatting>
  <hyperlinks>
    <hyperlink ref="F57" r:id="rId1" display="drchrisgauci@gmail.com" xr:uid="{00000000-0004-0000-13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12801"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12802"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12803"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12804"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12805"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12806"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12807"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12808"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12809"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12810"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12811"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12812"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12813"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tabColor rgb="FF04CCB9"/>
  </sheetPr>
  <dimension ref="A1"/>
  <sheetViews>
    <sheetView workbookViewId="0"/>
  </sheetViews>
  <sheetFormatPr defaultRowHeight="15" x14ac:dyDescent="0.25"/>
  <sheetData>
    <row r="1" spans="1:1" x14ac:dyDescent="0.25">
      <c r="A1" s="44" t="s">
        <v>248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9">
    <tabColor rgb="FF7030A0"/>
  </sheetPr>
  <dimension ref="A1:BJ149"/>
  <sheetViews>
    <sheetView topLeftCell="I19" workbookViewId="0">
      <selection activeCell="Y37" sqref="Y37"/>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RAttard</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2021009</v>
      </c>
      <c r="O2" s="810" t="str">
        <f>CONCATENATE(LEFT(Name,1),Surname)</f>
        <v>RAttard</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8.6</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15</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8.7309999999999999</v>
      </c>
      <c r="O4" s="213">
        <f>+DATA!A3</f>
        <v>46023</v>
      </c>
      <c r="P4" s="219">
        <f ca="1">+INDIRECT("[EMPINFO.xlsm]"&amp;$O$2&amp;"!G4")</f>
        <v>4</v>
      </c>
      <c r="Q4" s="215">
        <f ca="1">IF(AZ4="active",INDIRECT("[EMPINFO.xlsm]"&amp;$O$2&amp;"!H4"),0)</f>
        <v>40</v>
      </c>
      <c r="R4" s="239">
        <f ca="1">IF(AZ4&lt;&gt;"active",0,N3+COLA)</f>
        <v>8.7309999999999999</v>
      </c>
      <c r="S4" s="216">
        <f t="shared" ref="S4:S15" ca="1" si="1">+Q4*R4*4.33333333333333*AO4/AX4</f>
        <v>1513.3733333333323</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1513.3733333333323</v>
      </c>
      <c r="AA4" s="803">
        <f t="shared" ref="AA4:AA15" ca="1" si="7">IF(OR(AN4="PT",AN4="PT_Casual"),TRUNC((Z4*PT_Rate),0),(TRUNC((Z4*BB4)-(BC4/12),0)))</f>
        <v>0</v>
      </c>
      <c r="AB4" s="218">
        <f ca="1">+INDIRECT("[EMPINFO.xlsm]"&amp;$O$2&amp;"!s4")</f>
        <v>0</v>
      </c>
      <c r="AC4" s="292">
        <v>1.5</v>
      </c>
      <c r="AD4" s="218">
        <f t="shared" ref="AD4:AD15" ca="1" si="8">+AB4*(R4*AC4)</f>
        <v>0</v>
      </c>
      <c r="AE4" s="220">
        <f t="shared" ref="AE4:AE15" ca="1" si="9">+TRUNC((AD4*0.15),0)</f>
        <v>0</v>
      </c>
      <c r="AF4" s="218">
        <f t="shared" ref="AF4:AF15" ca="1" si="10">+AA4+AE4</f>
        <v>0</v>
      </c>
      <c r="AG4" s="803">
        <f t="shared" ref="AG4:AG15" ca="1" si="11">+R4*Q4</f>
        <v>349.24</v>
      </c>
      <c r="AH4" s="218">
        <f t="shared" ref="AH4:AH15" ca="1" si="12">ROUND(IF(AN4="",0,IF(OR(AN4="PT",AN4="PT_Casual"),0,IF(AM4="B",ROUND(SSCBemployermultiplier*P4,2),IF(AM4="c",SOCSECCRATE*AG4*P4,IF(AM4="D",ROUND(socsecrateD*P4,2)))))),2)</f>
        <v>139.69999999999999</v>
      </c>
      <c r="AI4" s="803">
        <f t="shared" ref="AI4:AI15" ca="1" si="13">ROUND(IF(AN4="",0,IF(OR(AN4="PT",AN4="PT_Casual"),0,IF(AM4="B",ROUND(SSCBemployermultiplier*P4,2),IF(AM4="c",SOCSECCRATE*AG4*P4,IF(AM4="D",ROUND(socsecrateD*P4,2)))))),2)</f>
        <v>139.69999999999999</v>
      </c>
      <c r="AJ4" s="218">
        <f t="shared" ref="AJ4:AJ16" ca="1" si="14">+AH4+AI4</f>
        <v>279.39999999999998</v>
      </c>
      <c r="AK4" s="803">
        <f t="shared" ref="AK4:AK15" ca="1" si="15">ROUND(IF(AN4="",0,IF(OR(AN4="PT",AN4="PT_Casual"),0,IF(AM4="B",SSCBmlfmultiplier*P4,IF(AM4="c",SSCCmlfmultiplier*P4*AG4,IF(AM4="D",SSCDmlfmultiplier*P4))))),2)</f>
        <v>4.1900000000000004</v>
      </c>
      <c r="AL4" s="218">
        <f ca="1">+Z4+AH4+AK4</f>
        <v>1657.2633333333324</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7.1054273576010019E-15</v>
      </c>
      <c r="AQ4" s="840">
        <f ca="1">+INDIRECT("[EMPINFO.xlsm]"&amp;$O$2&amp;"!p4")</f>
        <v>7.1054273576010019E-15</v>
      </c>
      <c r="AR4" s="226">
        <f ca="1">+INDIRECT("[EMPINFO.xlsm]"&amp;$O$2&amp;"!j4")</f>
        <v>49.85</v>
      </c>
      <c r="AS4" s="840">
        <f ca="1">+INDIRECT("[EMPINFO.xlsm]"&amp;$O$2&amp;"!k4")</f>
        <v>189.14999999999998</v>
      </c>
      <c r="AT4" s="226">
        <f ca="1">+INDIRECT("[EMPINFO.xlsm]"&amp;$O$2&amp;"!m4")</f>
        <v>0</v>
      </c>
      <c r="AU4" s="844">
        <f ca="1">+INDIRECT("[EMPINFO.xlsm]"&amp;$O$2&amp;"!n4")</f>
        <v>240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v>
      </c>
      <c r="BC4" s="289">
        <f t="shared" ref="BC4:BC15" ca="1" si="21">IF((Z4*12)&lt;$F$68,$H$68,IF((Z4*12)&lt;$F$69,$H$69,IF((Z4*12)&lt;$F$70,$H$70,IF((Z4*12)&lt;$F$71,$H$71,$H$72))))</f>
        <v>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8.7309999999999999</v>
      </c>
      <c r="O5" s="213">
        <f>+DATA!A4</f>
        <v>46054</v>
      </c>
      <c r="P5" s="219">
        <f ca="1">+INDIRECT("[EMPINFO.xlsm]"&amp;$O$2&amp;"!G5")</f>
        <v>4</v>
      </c>
      <c r="Q5" s="215">
        <f ca="1">IF(AZ5="active",INDIRECT("[EMPINFO.xlsm]"&amp;$O$2&amp;"!H5"),0)</f>
        <v>40</v>
      </c>
      <c r="R5" s="239">
        <f t="shared" ref="R5:R15" ca="1" si="22">+R4</f>
        <v>8.7309999999999999</v>
      </c>
      <c r="S5" s="216">
        <f t="shared" ca="1" si="1"/>
        <v>1513.3733333333323</v>
      </c>
      <c r="T5" s="220">
        <f t="shared" ca="1" si="2"/>
        <v>0</v>
      </c>
      <c r="U5" s="218">
        <f t="shared" ca="1" si="3"/>
        <v>0</v>
      </c>
      <c r="V5" s="220">
        <f ca="1">+feboth*febhrrt</f>
        <v>0</v>
      </c>
      <c r="W5" s="201"/>
      <c r="X5" s="218">
        <f t="shared" ca="1" si="4"/>
        <v>0</v>
      </c>
      <c r="Y5" s="803">
        <f t="shared" ca="1" si="5"/>
        <v>0</v>
      </c>
      <c r="Z5" s="218">
        <f t="shared" ca="1" si="6"/>
        <v>1513.3733333333323</v>
      </c>
      <c r="AA5" s="803">
        <f t="shared" ca="1" si="7"/>
        <v>0</v>
      </c>
      <c r="AB5" s="218">
        <f ca="1">+INDIRECT("[EMPINFO.xlsm]"&amp;$O$2&amp;"!s5")</f>
        <v>0</v>
      </c>
      <c r="AC5" s="292">
        <v>1.5</v>
      </c>
      <c r="AD5" s="218">
        <f t="shared" ca="1" si="8"/>
        <v>0</v>
      </c>
      <c r="AE5" s="220">
        <f t="shared" ca="1" si="9"/>
        <v>0</v>
      </c>
      <c r="AF5" s="218">
        <f t="shared" ca="1" si="10"/>
        <v>0</v>
      </c>
      <c r="AG5" s="803">
        <f t="shared" ca="1" si="11"/>
        <v>349.24</v>
      </c>
      <c r="AH5" s="218">
        <f t="shared" ca="1" si="12"/>
        <v>139.69999999999999</v>
      </c>
      <c r="AI5" s="803">
        <f t="shared" ca="1" si="13"/>
        <v>139.69999999999999</v>
      </c>
      <c r="AJ5" s="218">
        <f t="shared" ca="1" si="14"/>
        <v>279.39999999999998</v>
      </c>
      <c r="AK5" s="803">
        <f t="shared" ca="1" si="15"/>
        <v>4.1900000000000004</v>
      </c>
      <c r="AL5" s="218">
        <f t="shared" ref="AL5:AL15" ca="1" si="23">+Z5+AI5+AK5</f>
        <v>1657.2633333333324</v>
      </c>
      <c r="AM5" s="290" t="str">
        <f t="shared" ca="1" si="16"/>
        <v>C</v>
      </c>
      <c r="AN5" s="291" t="str">
        <f t="shared" ca="1" si="17"/>
        <v>FT</v>
      </c>
      <c r="AO5" s="223">
        <f ca="1">+INDIRECT("[EMPINFO.xlsm]"&amp;$O$2&amp;"!t5")</f>
        <v>28</v>
      </c>
      <c r="AP5" s="226">
        <f ca="1">+INDIRECT("[EMPINFO.xlsm]"&amp;$O$2&amp;"!o5")</f>
        <v>6.0000000000002274E-2</v>
      </c>
      <c r="AQ5" s="840">
        <f ca="1">+INDIRECT("[EMPINFO.xlsm]"&amp;$O$2&amp;"!p5")</f>
        <v>6.0000000000009379E-2</v>
      </c>
      <c r="AR5" s="226">
        <f ca="1">+INDIRECT("[EMPINFO.xlsm]"&amp;$O$2&amp;"!j5")</f>
        <v>11</v>
      </c>
      <c r="AS5" s="840">
        <f ca="1">+INDIRECT("[EMPINFO.xlsm]"&amp;$O$2&amp;"!k5")</f>
        <v>178.14999999999998</v>
      </c>
      <c r="AT5" s="226">
        <f ca="1">+INDIRECT("[EMPINFO.xlsm]"&amp;$O$2&amp;"!m5")</f>
        <v>0</v>
      </c>
      <c r="AU5" s="844">
        <f ca="1">+INDIRECT("[EMPINFO.xlsm]"&amp;$O$2&amp;"!n5")</f>
        <v>240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v>
      </c>
      <c r="BC5" s="289">
        <f t="shared" ca="1" si="21"/>
        <v>0</v>
      </c>
      <c r="BD5" s="255"/>
      <c r="BE5" s="205"/>
      <c r="BG5" s="27"/>
      <c r="BH5" s="28"/>
    </row>
    <row r="6" spans="1:62" ht="15.75" customHeight="1" thickBot="1" x14ac:dyDescent="0.3">
      <c r="A6" s="54"/>
      <c r="B6" s="2" t="s">
        <v>135</v>
      </c>
      <c r="C6" s="921" t="str">
        <f>INDEX([1]!empdata,MATCH(ID,[1]!empid,0),3)</f>
        <v>Attard</v>
      </c>
      <c r="D6" s="922"/>
      <c r="E6" s="922"/>
      <c r="F6" s="886"/>
      <c r="I6" s="312" t="s">
        <v>136</v>
      </c>
      <c r="L6" s="101"/>
      <c r="M6" s="303"/>
      <c r="N6" s="211">
        <f t="shared" ca="1" si="0"/>
        <v>8.7309999999999999</v>
      </c>
      <c r="O6" s="213">
        <f>+DATA!A5</f>
        <v>46082</v>
      </c>
      <c r="P6" s="219">
        <f ca="1">+INDIRECT("[EMPINFO.xlsm]"&amp;$O$2&amp;"!G6")</f>
        <v>5</v>
      </c>
      <c r="Q6" s="215">
        <f ca="1">IF(AZ6="active",INDIRECT("[EMPINFO.xlsm]"&amp;$O$2&amp;"!H6"),0)</f>
        <v>40</v>
      </c>
      <c r="R6" s="239">
        <f t="shared" ca="1" si="22"/>
        <v>8.7309999999999999</v>
      </c>
      <c r="S6" s="216">
        <f t="shared" ca="1" si="1"/>
        <v>1513.3733333333323</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1634.5333333333324</v>
      </c>
      <c r="AA6" s="803">
        <f t="shared" ca="1" si="7"/>
        <v>13</v>
      </c>
      <c r="AB6" s="218">
        <f ca="1">+INDIRECT("[EMPINFO.xlsm]"&amp;$O$2&amp;"!s6")</f>
        <v>0</v>
      </c>
      <c r="AC6" s="292">
        <v>1.5</v>
      </c>
      <c r="AD6" s="218">
        <f t="shared" ca="1" si="8"/>
        <v>0</v>
      </c>
      <c r="AE6" s="220">
        <f t="shared" ca="1" si="9"/>
        <v>0</v>
      </c>
      <c r="AF6" s="218">
        <f t="shared" ca="1" si="10"/>
        <v>13</v>
      </c>
      <c r="AG6" s="803">
        <f t="shared" ca="1" si="11"/>
        <v>349.24</v>
      </c>
      <c r="AH6" s="218">
        <f t="shared" ca="1" si="12"/>
        <v>174.62</v>
      </c>
      <c r="AI6" s="803">
        <f t="shared" ca="1" si="13"/>
        <v>174.62</v>
      </c>
      <c r="AJ6" s="218">
        <f t="shared" ca="1" si="14"/>
        <v>349.24</v>
      </c>
      <c r="AK6" s="803">
        <f t="shared" ca="1" si="15"/>
        <v>5.24</v>
      </c>
      <c r="AL6" s="218">
        <f t="shared" ca="1" si="23"/>
        <v>1814.3933333333323</v>
      </c>
      <c r="AM6" s="290" t="str">
        <f t="shared" ca="1" si="16"/>
        <v>C</v>
      </c>
      <c r="AN6" s="291" t="str">
        <f t="shared" ca="1" si="17"/>
        <v>FT</v>
      </c>
      <c r="AO6" s="223">
        <f ca="1">+INDIRECT("[EMPINFO.xlsm]"&amp;$O$2&amp;"!t6")</f>
        <v>31</v>
      </c>
      <c r="AP6" s="226">
        <f ca="1">+INDIRECT("[EMPINFO.xlsm]"&amp;$O$2&amp;"!o6")</f>
        <v>-160</v>
      </c>
      <c r="AQ6" s="840">
        <f ca="1">+INDIRECT("[EMPINFO.xlsm]"&amp;$O$2&amp;"!p6")</f>
        <v>-159.94</v>
      </c>
      <c r="AR6" s="226">
        <f ca="1">+INDIRECT("[EMPINFO.xlsm]"&amp;$O$2&amp;"!j6")</f>
        <v>0</v>
      </c>
      <c r="AS6" s="840">
        <f ca="1">+INDIRECT("[EMPINFO.xlsm]"&amp;$O$2&amp;"!k6")</f>
        <v>178.14999999999998</v>
      </c>
      <c r="AT6" s="226">
        <f ca="1">+INDIRECT("[EMPINFO.xlsm]"&amp;$O$2&amp;"!m6")</f>
        <v>0</v>
      </c>
      <c r="AU6" s="844">
        <f ca="1">+INDIRECT("[EMPINFO.xlsm]"&amp;$O$2&amp;"!n6")</f>
        <v>240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0.15</v>
      </c>
      <c r="BC6" s="289">
        <f t="shared" ca="1" si="21"/>
        <v>2775</v>
      </c>
      <c r="BD6" s="255"/>
      <c r="BE6" s="206"/>
    </row>
    <row r="7" spans="1:62" ht="15.75" customHeight="1" thickBot="1" x14ac:dyDescent="0.3">
      <c r="A7" s="54"/>
      <c r="B7" s="3" t="s">
        <v>137</v>
      </c>
      <c r="C7" s="921" t="str">
        <f>INDEX([1]!empdata,MATCH(ID,[1]!empid,0),4)</f>
        <v>Raisa</v>
      </c>
      <c r="D7" s="922"/>
      <c r="E7" s="922"/>
      <c r="F7" s="886"/>
      <c r="H7" s="312" t="s">
        <v>138</v>
      </c>
      <c r="I7" s="927" t="str">
        <f>INDEX([1]!empdata,MATCH(ID,[1]!empid,0),6)</f>
        <v>562091M</v>
      </c>
      <c r="J7" s="859"/>
      <c r="K7" s="857"/>
      <c r="L7" s="101"/>
      <c r="M7" s="303"/>
      <c r="N7" s="211">
        <f t="shared" ca="1" si="0"/>
        <v>8.7309999999999999</v>
      </c>
      <c r="O7" s="213">
        <f>+DATA!A6</f>
        <v>46113</v>
      </c>
      <c r="P7" s="219">
        <f ca="1">+INDIRECT("[EMPINFO.xlsm]"&amp;$O$2&amp;"!G7")</f>
        <v>4</v>
      </c>
      <c r="Q7" s="215">
        <f ca="1">IF(AZ7="active",INDIRECT("[EMPINFO.xlsm]"&amp;$O$2&amp;"!H7"),0)</f>
        <v>40</v>
      </c>
      <c r="R7" s="239">
        <f t="shared" ca="1" si="22"/>
        <v>8.7309999999999999</v>
      </c>
      <c r="S7" s="216">
        <f t="shared" ca="1" si="1"/>
        <v>1513.3733333333323</v>
      </c>
      <c r="T7" s="220">
        <f t="shared" ca="1" si="2"/>
        <v>0</v>
      </c>
      <c r="U7" s="218">
        <f t="shared" ca="1" si="3"/>
        <v>0</v>
      </c>
      <c r="V7" s="220">
        <f ca="1">+aproth*aprhrrt</f>
        <v>0</v>
      </c>
      <c r="W7" s="201"/>
      <c r="X7" s="218">
        <f t="shared" ca="1" si="4"/>
        <v>0</v>
      </c>
      <c r="Y7" s="803">
        <f t="shared" ca="1" si="5"/>
        <v>0</v>
      </c>
      <c r="Z7" s="218">
        <f t="shared" ca="1" si="6"/>
        <v>1513.3733333333323</v>
      </c>
      <c r="AA7" s="803">
        <f t="shared" ca="1" si="7"/>
        <v>0</v>
      </c>
      <c r="AB7" s="218">
        <f ca="1">+INDIRECT("[EMPINFO.xlsm]"&amp;$O$2&amp;"!s7")</f>
        <v>0</v>
      </c>
      <c r="AC7" s="292">
        <v>1.5</v>
      </c>
      <c r="AD7" s="218">
        <f t="shared" ca="1" si="8"/>
        <v>0</v>
      </c>
      <c r="AE7" s="220">
        <f t="shared" ca="1" si="9"/>
        <v>0</v>
      </c>
      <c r="AF7" s="218">
        <f t="shared" ca="1" si="10"/>
        <v>0</v>
      </c>
      <c r="AG7" s="803">
        <f t="shared" ca="1" si="11"/>
        <v>349.24</v>
      </c>
      <c r="AH7" s="218">
        <f t="shared" ca="1" si="12"/>
        <v>139.69999999999999</v>
      </c>
      <c r="AI7" s="803">
        <f t="shared" ca="1" si="13"/>
        <v>139.69999999999999</v>
      </c>
      <c r="AJ7" s="218">
        <f t="shared" ca="1" si="14"/>
        <v>279.39999999999998</v>
      </c>
      <c r="AK7" s="803">
        <f t="shared" ca="1" si="15"/>
        <v>4.1900000000000004</v>
      </c>
      <c r="AL7" s="218">
        <f t="shared" ca="1" si="23"/>
        <v>1657.2633333333324</v>
      </c>
      <c r="AM7" s="290" t="str">
        <f t="shared" ca="1" si="16"/>
        <v>C</v>
      </c>
      <c r="AN7" s="291" t="str">
        <f t="shared" ca="1" si="17"/>
        <v>FT</v>
      </c>
      <c r="AO7" s="223">
        <f ca="1">+INDIRECT("[EMPINFO.xlsm]"&amp;$O$2&amp;"!t7")</f>
        <v>30</v>
      </c>
      <c r="AP7" s="226">
        <f ca="1">+INDIRECT("[EMPINFO.xlsm]"&amp;$O$2&amp;"!o7")</f>
        <v>-160</v>
      </c>
      <c r="AQ7" s="840">
        <f ca="1">+INDIRECT("[EMPINFO.xlsm]"&amp;$O$2&amp;"!p7")</f>
        <v>-319.94</v>
      </c>
      <c r="AR7" s="226">
        <f ca="1">+INDIRECT("[EMPINFO.xlsm]"&amp;$O$2&amp;"!j7")</f>
        <v>0</v>
      </c>
      <c r="AS7" s="840">
        <f ca="1">+INDIRECT("[EMPINFO.xlsm]"&amp;$O$2&amp;"!k7")</f>
        <v>178.14999999999998</v>
      </c>
      <c r="AT7" s="226">
        <f ca="1">+INDIRECT("[EMPINFO.xlsm]"&amp;$O$2&amp;"!m7")</f>
        <v>0</v>
      </c>
      <c r="AU7" s="844">
        <f ca="1">+INDIRECT("[EMPINFO.xlsm]"&amp;$O$2&amp;"!n7")</f>
        <v>240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v>
      </c>
      <c r="BC7" s="289">
        <f t="shared" ca="1" si="21"/>
        <v>0</v>
      </c>
      <c r="BD7" s="255"/>
      <c r="BE7" s="206"/>
    </row>
    <row r="8" spans="1:62" ht="15.75" customHeight="1" thickBot="1" x14ac:dyDescent="0.3">
      <c r="A8" s="54"/>
      <c r="B8" s="3" t="s">
        <v>139</v>
      </c>
      <c r="C8" s="921" t="str">
        <f>INDEX([1]!empdata,MATCH(ID,[1]!empid,0),18)</f>
        <v>16 Anfield</v>
      </c>
      <c r="D8" s="922"/>
      <c r="E8" s="922"/>
      <c r="F8" s="886"/>
      <c r="I8" s="312" t="s">
        <v>140</v>
      </c>
      <c r="L8" s="101"/>
      <c r="M8" s="303"/>
      <c r="N8" s="211">
        <f t="shared" ca="1" si="0"/>
        <v>8.7309999999999999</v>
      </c>
      <c r="O8" s="213">
        <f>+DATA!A7</f>
        <v>46143</v>
      </c>
      <c r="P8" s="219">
        <f ca="1">+INDIRECT("[EMPINFO.xlsm]"&amp;$O$2&amp;"!G8")</f>
        <v>4</v>
      </c>
      <c r="Q8" s="215">
        <f ca="1">IF(AZ8="active",INDIRECT("[EMPINFO.xlsm]"&amp;$O$2&amp;"!H8"),0)</f>
        <v>40</v>
      </c>
      <c r="R8" s="239">
        <f t="shared" ca="1" si="22"/>
        <v>8.7309999999999999</v>
      </c>
      <c r="S8" s="216">
        <f t="shared" ca="1" si="1"/>
        <v>1513.3733333333323</v>
      </c>
      <c r="T8" s="220">
        <f t="shared" ca="1" si="2"/>
        <v>0</v>
      </c>
      <c r="U8" s="218">
        <f t="shared" ca="1" si="3"/>
        <v>0</v>
      </c>
      <c r="V8" s="220">
        <f ca="1">+mayoth*mayhrrt</f>
        <v>0</v>
      </c>
      <c r="W8" s="201"/>
      <c r="X8" s="218">
        <f t="shared" ca="1" si="4"/>
        <v>0</v>
      </c>
      <c r="Y8" s="803">
        <f t="shared" ca="1" si="5"/>
        <v>0</v>
      </c>
      <c r="Z8" s="218">
        <f t="shared" ca="1" si="6"/>
        <v>1513.3733333333323</v>
      </c>
      <c r="AA8" s="803">
        <f t="shared" ca="1" si="7"/>
        <v>0</v>
      </c>
      <c r="AB8" s="218">
        <f ca="1">+INDIRECT("[EMPINFO.xlsm]"&amp;$O$2&amp;"!s8")</f>
        <v>0</v>
      </c>
      <c r="AC8" s="292">
        <v>1.5</v>
      </c>
      <c r="AD8" s="218">
        <f t="shared" ca="1" si="8"/>
        <v>0</v>
      </c>
      <c r="AE8" s="220">
        <f t="shared" ca="1" si="9"/>
        <v>0</v>
      </c>
      <c r="AF8" s="218">
        <f t="shared" ca="1" si="10"/>
        <v>0</v>
      </c>
      <c r="AG8" s="803">
        <f t="shared" ca="1" si="11"/>
        <v>349.24</v>
      </c>
      <c r="AH8" s="218">
        <f t="shared" ca="1" si="12"/>
        <v>139.69999999999999</v>
      </c>
      <c r="AI8" s="803">
        <f t="shared" ca="1" si="13"/>
        <v>139.69999999999999</v>
      </c>
      <c r="AJ8" s="218">
        <f t="shared" ca="1" si="14"/>
        <v>279.39999999999998</v>
      </c>
      <c r="AK8" s="803">
        <f t="shared" ca="1" si="15"/>
        <v>4.1900000000000004</v>
      </c>
      <c r="AL8" s="218">
        <f t="shared" ca="1" si="23"/>
        <v>1657.2633333333324</v>
      </c>
      <c r="AM8" s="290" t="str">
        <f t="shared" ca="1" si="16"/>
        <v>C</v>
      </c>
      <c r="AN8" s="291" t="str">
        <f t="shared" ca="1" si="17"/>
        <v>FT</v>
      </c>
      <c r="AO8" s="223">
        <f ca="1">+INDIRECT("[EMPINFO.xlsm]"&amp;$O$2&amp;"!t8")</f>
        <v>31</v>
      </c>
      <c r="AP8" s="226">
        <f ca="1">+INDIRECT("[EMPINFO.xlsm]"&amp;$O$2&amp;"!o8")</f>
        <v>-200</v>
      </c>
      <c r="AQ8" s="840">
        <f ca="1">+INDIRECT("[EMPINFO.xlsm]"&amp;$O$2&amp;"!p8")</f>
        <v>-519.94000000000005</v>
      </c>
      <c r="AR8" s="226">
        <f ca="1">+INDIRECT("[EMPINFO.xlsm]"&amp;$O$2&amp;"!j8")</f>
        <v>0</v>
      </c>
      <c r="AS8" s="840">
        <f ca="1">+INDIRECT("[EMPINFO.xlsm]"&amp;$O$2&amp;"!k8")</f>
        <v>178.14999999999998</v>
      </c>
      <c r="AT8" s="226">
        <f ca="1">+INDIRECT("[EMPINFO.xlsm]"&amp;$O$2&amp;"!m8")</f>
        <v>0</v>
      </c>
      <c r="AU8" s="844">
        <f ca="1">+INDIRECT("[EMPINFO.xlsm]"&amp;$O$2&amp;"!n8")</f>
        <v>240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v>
      </c>
      <c r="BC8" s="289">
        <f t="shared" ca="1" si="21"/>
        <v>0</v>
      </c>
      <c r="BD8" s="255"/>
      <c r="BE8" s="206"/>
    </row>
    <row r="9" spans="1:62" ht="15.75" customHeight="1" thickBot="1" x14ac:dyDescent="0.3">
      <c r="A9" s="54"/>
      <c r="B9" s="4" t="s">
        <v>141</v>
      </c>
      <c r="C9" s="921" t="str">
        <f>INDEX([1]!empdata,MATCH(ID,[1]!empid,0),19)</f>
        <v xml:space="preserve"> Triq il-Qronfol</v>
      </c>
      <c r="D9" s="922"/>
      <c r="E9" s="922"/>
      <c r="F9" s="886"/>
      <c r="H9" s="312" t="s">
        <v>20</v>
      </c>
      <c r="I9" s="927" t="str">
        <f>INDEX([1]!empdata,MATCH(ID,[1]!empid,0),14)</f>
        <v>B43779068</v>
      </c>
      <c r="J9" s="859"/>
      <c r="K9" s="857"/>
      <c r="L9" s="101"/>
      <c r="M9" s="303"/>
      <c r="N9" s="211">
        <f t="shared" ca="1" si="0"/>
        <v>8.7309999999999999</v>
      </c>
      <c r="O9" s="213">
        <f>+DATA!A8</f>
        <v>46174</v>
      </c>
      <c r="P9" s="219">
        <f ca="1">+INDIRECT("[EMPINFO.xlsm]"&amp;$O$2&amp;"!G9")</f>
        <v>5</v>
      </c>
      <c r="Q9" s="215">
        <f ca="1">IF(AZ9="active",INDIRECT("[EMPINFO.xlsm]"&amp;$O$2&amp;"!H9"),0)</f>
        <v>40</v>
      </c>
      <c r="R9" s="239">
        <f t="shared" ca="1" si="22"/>
        <v>8.7309999999999999</v>
      </c>
      <c r="S9" s="216">
        <f t="shared" ca="1" si="1"/>
        <v>1513.3733333333323</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1648.4733333333322</v>
      </c>
      <c r="AA9" s="803">
        <f t="shared" ca="1" si="7"/>
        <v>16</v>
      </c>
      <c r="AB9" s="218">
        <f ca="1">+INDIRECT("[EMPINFO.xlsm]"&amp;$O$2&amp;"!s9")</f>
        <v>0</v>
      </c>
      <c r="AC9" s="292">
        <v>1.5</v>
      </c>
      <c r="AD9" s="218">
        <f t="shared" ca="1" si="8"/>
        <v>0</v>
      </c>
      <c r="AE9" s="220">
        <f t="shared" ca="1" si="9"/>
        <v>0</v>
      </c>
      <c r="AF9" s="218">
        <f t="shared" ca="1" si="10"/>
        <v>16</v>
      </c>
      <c r="AG9" s="803">
        <f t="shared" ca="1" si="11"/>
        <v>349.24</v>
      </c>
      <c r="AH9" s="218">
        <f t="shared" ca="1" si="12"/>
        <v>174.62</v>
      </c>
      <c r="AI9" s="803">
        <f t="shared" ca="1" si="13"/>
        <v>174.62</v>
      </c>
      <c r="AJ9" s="218">
        <f t="shared" ca="1" si="14"/>
        <v>349.24</v>
      </c>
      <c r="AK9" s="803">
        <f t="shared" ca="1" si="15"/>
        <v>5.24</v>
      </c>
      <c r="AL9" s="218">
        <f t="shared" ca="1" si="23"/>
        <v>1828.3333333333323</v>
      </c>
      <c r="AM9" s="290" t="str">
        <f t="shared" ca="1" si="16"/>
        <v>C</v>
      </c>
      <c r="AN9" s="291" t="str">
        <f t="shared" ca="1" si="17"/>
        <v>FT</v>
      </c>
      <c r="AO9" s="223">
        <f ca="1">+INDIRECT("[EMPINFO.xlsm]"&amp;$O$2&amp;"!t9")</f>
        <v>30</v>
      </c>
      <c r="AP9" s="226">
        <f ca="1">+INDIRECT("[EMPINFO.xlsm]"&amp;$O$2&amp;"!o9")</f>
        <v>-160</v>
      </c>
      <c r="AQ9" s="840">
        <f ca="1">+INDIRECT("[EMPINFO.xlsm]"&amp;$O$2&amp;"!p9")</f>
        <v>-679.94</v>
      </c>
      <c r="AR9" s="226">
        <f ca="1">+INDIRECT("[EMPINFO.xlsm]"&amp;$O$2&amp;"!j9")</f>
        <v>0</v>
      </c>
      <c r="AS9" s="840">
        <f ca="1">+INDIRECT("[EMPINFO.xlsm]"&amp;$O$2&amp;"!k9")</f>
        <v>178.14999999999998</v>
      </c>
      <c r="AT9" s="226">
        <f ca="1">+INDIRECT("[EMPINFO.xlsm]"&amp;$O$2&amp;"!m9")</f>
        <v>0</v>
      </c>
      <c r="AU9" s="844">
        <f ca="1">+INDIRECT("[EMPINFO.xlsm]"&amp;$O$2&amp;"!n9")</f>
        <v>240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0.15</v>
      </c>
      <c r="BC9" s="289">
        <f t="shared" ca="1" si="21"/>
        <v>2775</v>
      </c>
      <c r="BD9" s="255"/>
      <c r="BE9" s="206"/>
    </row>
    <row r="10" spans="1:62" ht="15.75" customHeight="1" thickBot="1" x14ac:dyDescent="0.3">
      <c r="A10" s="54"/>
      <c r="B10" s="5" t="s">
        <v>142</v>
      </c>
      <c r="C10" s="921" t="str">
        <f>INDEX([1]!empdata,MATCH(ID,[1]!empid,0),20)</f>
        <v>Fgura</v>
      </c>
      <c r="D10" s="922"/>
      <c r="E10" s="922"/>
      <c r="F10" s="886"/>
      <c r="I10" s="312" t="s">
        <v>143</v>
      </c>
      <c r="L10" s="101"/>
      <c r="M10" s="303"/>
      <c r="N10" s="211">
        <f t="shared" ca="1" si="0"/>
        <v>8.7309999999999999</v>
      </c>
      <c r="O10" s="213">
        <f>+DATA!A9</f>
        <v>46204</v>
      </c>
      <c r="P10" s="219">
        <f ca="1">+INDIRECT("[EMPINFO.xlsm]"&amp;$O$2&amp;"!G10")</f>
        <v>4</v>
      </c>
      <c r="Q10" s="215">
        <f ca="1">IF(AZ10="active",INDIRECT("[EMPINFO.xlsm]"&amp;$O$2&amp;"!H10"),0)</f>
        <v>40</v>
      </c>
      <c r="R10" s="239">
        <f t="shared" ca="1" si="22"/>
        <v>8.7309999999999999</v>
      </c>
      <c r="S10" s="216">
        <f t="shared" ca="1" si="1"/>
        <v>1513.3733333333323</v>
      </c>
      <c r="T10" s="220">
        <f t="shared" ca="1" si="2"/>
        <v>0</v>
      </c>
      <c r="U10" s="218">
        <f t="shared" ca="1" si="3"/>
        <v>0</v>
      </c>
      <c r="V10" s="220">
        <f ca="1">+juloth*julhrrt</f>
        <v>0</v>
      </c>
      <c r="W10" s="201"/>
      <c r="X10" s="218">
        <f t="shared" ca="1" si="4"/>
        <v>0</v>
      </c>
      <c r="Y10" s="803">
        <f t="shared" ca="1" si="5"/>
        <v>0</v>
      </c>
      <c r="Z10" s="218">
        <f t="shared" ca="1" si="6"/>
        <v>1513.3733333333323</v>
      </c>
      <c r="AA10" s="803">
        <f t="shared" ca="1" si="7"/>
        <v>0</v>
      </c>
      <c r="AB10" s="218">
        <f ca="1">+INDIRECT("[EMPINFO.xlsm]"&amp;$O$2&amp;"!s10")</f>
        <v>0</v>
      </c>
      <c r="AC10" s="292">
        <v>1.5</v>
      </c>
      <c r="AD10" s="218">
        <f t="shared" ca="1" si="8"/>
        <v>0</v>
      </c>
      <c r="AE10" s="220">
        <f t="shared" ca="1" si="9"/>
        <v>0</v>
      </c>
      <c r="AF10" s="218">
        <f t="shared" ca="1" si="10"/>
        <v>0</v>
      </c>
      <c r="AG10" s="803">
        <f t="shared" ca="1" si="11"/>
        <v>349.24</v>
      </c>
      <c r="AH10" s="218">
        <f t="shared" ca="1" si="12"/>
        <v>139.69999999999999</v>
      </c>
      <c r="AI10" s="803">
        <f t="shared" ca="1" si="13"/>
        <v>139.69999999999999</v>
      </c>
      <c r="AJ10" s="218">
        <f t="shared" ca="1" si="14"/>
        <v>279.39999999999998</v>
      </c>
      <c r="AK10" s="803">
        <f t="shared" ca="1" si="15"/>
        <v>4.1900000000000004</v>
      </c>
      <c r="AL10" s="218">
        <f t="shared" ca="1" si="23"/>
        <v>1657.2633333333324</v>
      </c>
      <c r="AM10" s="290" t="str">
        <f t="shared" ca="1" si="16"/>
        <v>C</v>
      </c>
      <c r="AN10" s="291" t="str">
        <f t="shared" ca="1" si="17"/>
        <v>FT</v>
      </c>
      <c r="AO10" s="223">
        <f ca="1">+INDIRECT("[EMPINFO.xlsm]"&amp;$O$2&amp;"!t10")</f>
        <v>31</v>
      </c>
      <c r="AP10" s="226">
        <f ca="1">+INDIRECT("[EMPINFO.xlsm]"&amp;$O$2&amp;"!o10")</f>
        <v>-160</v>
      </c>
      <c r="AQ10" s="840">
        <f ca="1">+INDIRECT("[EMPINFO.xlsm]"&amp;$O$2&amp;"!p10")</f>
        <v>-839.94</v>
      </c>
      <c r="AR10" s="226">
        <f ca="1">+INDIRECT("[EMPINFO.xlsm]"&amp;$O$2&amp;"!j10")</f>
        <v>0</v>
      </c>
      <c r="AS10" s="840">
        <f ca="1">+INDIRECT("[EMPINFO.xlsm]"&amp;$O$2&amp;"!k10")</f>
        <v>178.14999999999998</v>
      </c>
      <c r="AT10" s="226">
        <f ca="1">+INDIRECT("[EMPINFO.xlsm]"&amp;$O$2&amp;"!m10")</f>
        <v>0</v>
      </c>
      <c r="AU10" s="844">
        <f ca="1">+INDIRECT("[EMPINFO.xlsm]"&amp;$O$2&amp;"!n10")</f>
        <v>240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v>
      </c>
      <c r="BC10" s="289">
        <f t="shared" ca="1" si="21"/>
        <v>0</v>
      </c>
      <c r="BD10" s="255"/>
      <c r="BE10" s="206"/>
      <c r="BF10" s="32"/>
      <c r="BH10" s="32"/>
      <c r="BI10" s="30"/>
      <c r="BJ10" s="31"/>
    </row>
    <row r="11" spans="1:62" ht="15.75" customHeight="1" thickBot="1" x14ac:dyDescent="0.3">
      <c r="A11" s="54"/>
      <c r="B11" s="6" t="s">
        <v>144</v>
      </c>
      <c r="C11" s="921" t="str">
        <f>INDEX([1]!empdata,MATCH(ID,[1]!empid,0),21)</f>
        <v>FGR1101</v>
      </c>
      <c r="D11" s="922"/>
      <c r="E11" s="922"/>
      <c r="F11" s="886"/>
      <c r="H11" s="312" t="s">
        <v>31</v>
      </c>
      <c r="I11" s="927">
        <f>INDEX([1]!empdata,MATCH(ID,[1]!empid,0),7)</f>
        <v>0</v>
      </c>
      <c r="J11" s="859"/>
      <c r="K11" s="857"/>
      <c r="L11" s="101"/>
      <c r="M11" s="303"/>
      <c r="N11" s="211">
        <f t="shared" ca="1" si="0"/>
        <v>8.7309999999999999</v>
      </c>
      <c r="O11" s="213">
        <f>+DATA!A10</f>
        <v>46235</v>
      </c>
      <c r="P11" s="219">
        <f ca="1">+INDIRECT("[EMPINFO.xlsm]"&amp;$O$2&amp;"!G11")</f>
        <v>5</v>
      </c>
      <c r="Q11" s="215">
        <f ca="1">IF(AZ11="active",INDIRECT("[EMPINFO.xlsm]"&amp;$O$2&amp;"!H11"),0)</f>
        <v>40</v>
      </c>
      <c r="R11" s="239">
        <f t="shared" ca="1" si="22"/>
        <v>8.7309999999999999</v>
      </c>
      <c r="S11" s="216">
        <f t="shared" ca="1" si="1"/>
        <v>1513.3733333333323</v>
      </c>
      <c r="T11" s="220">
        <f t="shared" ca="1" si="2"/>
        <v>0</v>
      </c>
      <c r="U11" s="218">
        <f t="shared" ca="1" si="3"/>
        <v>0</v>
      </c>
      <c r="V11" s="220">
        <f ca="1">+augoth*aughrrt</f>
        <v>0</v>
      </c>
      <c r="W11" s="201"/>
      <c r="X11" s="218">
        <f t="shared" ca="1" si="4"/>
        <v>0</v>
      </c>
      <c r="Y11" s="803">
        <f t="shared" ca="1" si="5"/>
        <v>0</v>
      </c>
      <c r="Z11" s="218">
        <f t="shared" ca="1" si="6"/>
        <v>1513.3733333333323</v>
      </c>
      <c r="AA11" s="803">
        <f t="shared" ca="1" si="7"/>
        <v>0</v>
      </c>
      <c r="AB11" s="218">
        <f ca="1">+INDIRECT("[EMPINFO.xlsm]"&amp;$O$2&amp;"!s11")</f>
        <v>0</v>
      </c>
      <c r="AC11" s="292">
        <v>1.5</v>
      </c>
      <c r="AD11" s="218">
        <f t="shared" ca="1" si="8"/>
        <v>0</v>
      </c>
      <c r="AE11" s="220">
        <f t="shared" ca="1" si="9"/>
        <v>0</v>
      </c>
      <c r="AF11" s="218">
        <f t="shared" ca="1" si="10"/>
        <v>0</v>
      </c>
      <c r="AG11" s="803">
        <f t="shared" ca="1" si="11"/>
        <v>349.24</v>
      </c>
      <c r="AH11" s="218">
        <f t="shared" ca="1" si="12"/>
        <v>174.62</v>
      </c>
      <c r="AI11" s="803">
        <f t="shared" ca="1" si="13"/>
        <v>174.62</v>
      </c>
      <c r="AJ11" s="218">
        <f t="shared" ca="1" si="14"/>
        <v>349.24</v>
      </c>
      <c r="AK11" s="803">
        <f t="shared" ca="1" si="15"/>
        <v>5.24</v>
      </c>
      <c r="AL11" s="218">
        <f t="shared" ca="1" si="23"/>
        <v>1693.2333333333324</v>
      </c>
      <c r="AM11" s="290" t="str">
        <f t="shared" ca="1" si="16"/>
        <v>C</v>
      </c>
      <c r="AN11" s="291" t="str">
        <f t="shared" ca="1" si="17"/>
        <v>FT</v>
      </c>
      <c r="AO11" s="223">
        <f ca="1">+INDIRECT("[EMPINFO.xlsm]"&amp;$O$2&amp;"!t11")</f>
        <v>31</v>
      </c>
      <c r="AP11" s="226">
        <f ca="1">+INDIRECT("[EMPINFO.xlsm]"&amp;$O$2&amp;"!o11")</f>
        <v>-200</v>
      </c>
      <c r="AQ11" s="840">
        <f ca="1">+INDIRECT("[EMPINFO.xlsm]"&amp;$O$2&amp;"!p11")</f>
        <v>-1039.94</v>
      </c>
      <c r="AR11" s="226">
        <f ca="1">+INDIRECT("[EMPINFO.xlsm]"&amp;$O$2&amp;"!j11")</f>
        <v>0</v>
      </c>
      <c r="AS11" s="840">
        <f ca="1">+INDIRECT("[EMPINFO.xlsm]"&amp;$O$2&amp;"!k11")</f>
        <v>178.14999999999998</v>
      </c>
      <c r="AT11" s="226">
        <f ca="1">+INDIRECT("[EMPINFO.xlsm]"&amp;$O$2&amp;"!m11")</f>
        <v>0</v>
      </c>
      <c r="AU11" s="844">
        <f ca="1">+INDIRECT("[EMPINFO.xlsm]"&amp;$O$2&amp;"!n11")</f>
        <v>240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v>
      </c>
      <c r="BC11" s="289">
        <f t="shared" ca="1" si="21"/>
        <v>0</v>
      </c>
      <c r="BD11" s="255"/>
      <c r="BE11" s="206"/>
      <c r="BF11" s="27"/>
      <c r="BH11" s="27"/>
    </row>
    <row r="12" spans="1:62" ht="17.45" customHeight="1" thickBot="1" x14ac:dyDescent="0.3">
      <c r="A12" s="313"/>
      <c r="B12" s="91" t="s">
        <v>14</v>
      </c>
      <c r="C12" s="945">
        <f>INDEX([1]!empdata,MATCH(ID,[1]!empid,0),10)</f>
        <v>99834966</v>
      </c>
      <c r="D12" s="946"/>
      <c r="E12" s="946"/>
      <c r="F12" s="947"/>
      <c r="G12" s="85"/>
      <c r="H12" s="85"/>
      <c r="I12" s="85"/>
      <c r="J12" s="85"/>
      <c r="K12" s="85"/>
      <c r="L12" s="314"/>
      <c r="M12" s="303"/>
      <c r="N12" s="211">
        <f t="shared" ca="1" si="0"/>
        <v>8.7309999999999999</v>
      </c>
      <c r="O12" s="213">
        <f>+DATA!A11</f>
        <v>46266</v>
      </c>
      <c r="P12" s="219">
        <f ca="1">+INDIRECT("[EMPINFO.xlsm]"&amp;$O$2&amp;"!G12")</f>
        <v>4</v>
      </c>
      <c r="Q12" s="215">
        <f ca="1">IF(AZ12="active",INDIRECT("[EMPINFO.xlsm]"&amp;$O$2&amp;"!H12"),0)</f>
        <v>40</v>
      </c>
      <c r="R12" s="239">
        <f t="shared" ca="1" si="22"/>
        <v>8.7309999999999999</v>
      </c>
      <c r="S12" s="216">
        <f t="shared" ca="1" si="1"/>
        <v>1513.3733333333323</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1634.5333333333324</v>
      </c>
      <c r="AA12" s="803">
        <f t="shared" ca="1" si="7"/>
        <v>13</v>
      </c>
      <c r="AB12" s="218">
        <f ca="1">+INDIRECT("[EMPINFO.xlsm]"&amp;$O$2&amp;"!s12")</f>
        <v>0</v>
      </c>
      <c r="AC12" s="292">
        <v>1.5</v>
      </c>
      <c r="AD12" s="218">
        <f t="shared" ca="1" si="8"/>
        <v>0</v>
      </c>
      <c r="AE12" s="220">
        <f t="shared" ca="1" si="9"/>
        <v>0</v>
      </c>
      <c r="AF12" s="218">
        <f t="shared" ca="1" si="10"/>
        <v>13</v>
      </c>
      <c r="AG12" s="803">
        <f t="shared" ca="1" si="11"/>
        <v>349.24</v>
      </c>
      <c r="AH12" s="218">
        <f t="shared" ca="1" si="12"/>
        <v>139.69999999999999</v>
      </c>
      <c r="AI12" s="803">
        <f t="shared" ca="1" si="13"/>
        <v>139.69999999999999</v>
      </c>
      <c r="AJ12" s="218">
        <f t="shared" ca="1" si="14"/>
        <v>279.39999999999998</v>
      </c>
      <c r="AK12" s="803">
        <f t="shared" ca="1" si="15"/>
        <v>4.1900000000000004</v>
      </c>
      <c r="AL12" s="218">
        <f t="shared" ca="1" si="23"/>
        <v>1778.4233333333325</v>
      </c>
      <c r="AM12" s="290" t="str">
        <f t="shared" ca="1" si="16"/>
        <v>C</v>
      </c>
      <c r="AN12" s="291" t="str">
        <f t="shared" ca="1" si="17"/>
        <v>FT</v>
      </c>
      <c r="AO12" s="223">
        <f ca="1">+INDIRECT("[EMPINFO.xlsm]"&amp;$O$2&amp;"!t12")</f>
        <v>30</v>
      </c>
      <c r="AP12" s="226">
        <f ca="1">+INDIRECT("[EMPINFO.xlsm]"&amp;$O$2&amp;"!o12")</f>
        <v>-160</v>
      </c>
      <c r="AQ12" s="840">
        <f ca="1">+INDIRECT("[EMPINFO.xlsm]"&amp;$O$2&amp;"!p12")</f>
        <v>-1199.94</v>
      </c>
      <c r="AR12" s="226">
        <f ca="1">+INDIRECT("[EMPINFO.xlsm]"&amp;$O$2&amp;"!j12")</f>
        <v>0</v>
      </c>
      <c r="AS12" s="840">
        <f ca="1">+INDIRECT("[EMPINFO.xlsm]"&amp;$O$2&amp;"!k12")</f>
        <v>178.14999999999998</v>
      </c>
      <c r="AT12" s="226">
        <f ca="1">+INDIRECT("[EMPINFO.xlsm]"&amp;$O$2&amp;"!m12")</f>
        <v>0</v>
      </c>
      <c r="AU12" s="844">
        <f ca="1">+INDIRECT("[EMPINFO.xlsm]"&amp;$O$2&amp;"!n12")</f>
        <v>240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0.15</v>
      </c>
      <c r="BC12" s="289">
        <f t="shared" ca="1" si="21"/>
        <v>2775</v>
      </c>
      <c r="BD12" s="255"/>
      <c r="BE12" s="206"/>
    </row>
    <row r="13" spans="1:62" ht="15.75" customHeight="1" thickBot="1" x14ac:dyDescent="0.3">
      <c r="A13" s="54"/>
      <c r="L13" s="101"/>
      <c r="M13" s="303"/>
      <c r="N13" s="211">
        <f t="shared" ca="1" si="0"/>
        <v>8.7309999999999999</v>
      </c>
      <c r="O13" s="213">
        <f>+DATA!A12</f>
        <v>46296</v>
      </c>
      <c r="P13" s="219">
        <f ca="1">+INDIRECT("[EMPINFO.xlsm]"&amp;$O$2&amp;"!G13")</f>
        <v>4</v>
      </c>
      <c r="Q13" s="215">
        <f ca="1">IF(AZ13="active",INDIRECT("[EMPINFO.xlsm]"&amp;$O$2&amp;"!H13"),0)</f>
        <v>40</v>
      </c>
      <c r="R13" s="239">
        <f t="shared" ca="1" si="22"/>
        <v>8.7309999999999999</v>
      </c>
      <c r="S13" s="216">
        <f t="shared" ca="1" si="1"/>
        <v>1513.3733333333323</v>
      </c>
      <c r="T13" s="220">
        <f t="shared" ca="1" si="2"/>
        <v>0</v>
      </c>
      <c r="U13" s="218">
        <f t="shared" ca="1" si="3"/>
        <v>0</v>
      </c>
      <c r="V13" s="220">
        <f ca="1">+octoth*octhrrt</f>
        <v>0</v>
      </c>
      <c r="W13" s="201"/>
      <c r="X13" s="218">
        <f t="shared" ca="1" si="4"/>
        <v>0</v>
      </c>
      <c r="Y13" s="803">
        <f t="shared" ca="1" si="5"/>
        <v>0</v>
      </c>
      <c r="Z13" s="218">
        <f t="shared" ca="1" si="6"/>
        <v>1513.3733333333323</v>
      </c>
      <c r="AA13" s="803">
        <f t="shared" ca="1" si="7"/>
        <v>0</v>
      </c>
      <c r="AB13" s="218">
        <f ca="1">+INDIRECT("[EMPINFO.xlsm]"&amp;$O$2&amp;"!s13")</f>
        <v>0</v>
      </c>
      <c r="AC13" s="292">
        <v>1.5</v>
      </c>
      <c r="AD13" s="218">
        <f t="shared" ca="1" si="8"/>
        <v>0</v>
      </c>
      <c r="AE13" s="220">
        <f t="shared" ca="1" si="9"/>
        <v>0</v>
      </c>
      <c r="AF13" s="218">
        <f t="shared" ca="1" si="10"/>
        <v>0</v>
      </c>
      <c r="AG13" s="803">
        <f t="shared" ca="1" si="11"/>
        <v>349.24</v>
      </c>
      <c r="AH13" s="218">
        <f t="shared" ca="1" si="12"/>
        <v>139.69999999999999</v>
      </c>
      <c r="AI13" s="803">
        <f t="shared" ca="1" si="13"/>
        <v>139.69999999999999</v>
      </c>
      <c r="AJ13" s="218">
        <f t="shared" ca="1" si="14"/>
        <v>279.39999999999998</v>
      </c>
      <c r="AK13" s="803">
        <f t="shared" ca="1" si="15"/>
        <v>4.1900000000000004</v>
      </c>
      <c r="AL13" s="218">
        <f t="shared" ca="1" si="23"/>
        <v>1657.2633333333324</v>
      </c>
      <c r="AM13" s="290" t="str">
        <f t="shared" ca="1" si="16"/>
        <v>C</v>
      </c>
      <c r="AN13" s="291" t="str">
        <f t="shared" ca="1" si="17"/>
        <v>FT</v>
      </c>
      <c r="AO13" s="223">
        <f ca="1">+INDIRECT("[EMPINFO.xlsm]"&amp;$O$2&amp;"!t13")</f>
        <v>31</v>
      </c>
      <c r="AP13" s="226">
        <f ca="1">+INDIRECT("[EMPINFO.xlsm]"&amp;$O$2&amp;"!o13")</f>
        <v>-200</v>
      </c>
      <c r="AQ13" s="840">
        <f ca="1">+INDIRECT("[EMPINFO.xlsm]"&amp;$O$2&amp;"!p13")</f>
        <v>-1399.94</v>
      </c>
      <c r="AR13" s="226">
        <f ca="1">+INDIRECT("[EMPINFO.xlsm]"&amp;$O$2&amp;"!j13")</f>
        <v>0</v>
      </c>
      <c r="AS13" s="840">
        <f ca="1">+INDIRECT("[EMPINFO.xlsm]"&amp;$O$2&amp;"!k13")</f>
        <v>178.14999999999998</v>
      </c>
      <c r="AT13" s="226">
        <f ca="1">+INDIRECT("[EMPINFO.xlsm]"&amp;$O$2&amp;"!m13")</f>
        <v>0</v>
      </c>
      <c r="AU13" s="844">
        <f ca="1">+INDIRECT("[EMPINFO.xlsm]"&amp;$O$2&amp;"!n13")</f>
        <v>240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v>
      </c>
      <c r="BC13" s="289">
        <f t="shared" ca="1" si="21"/>
        <v>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8.7309999999999999</v>
      </c>
      <c r="O14" s="213">
        <f>+DATA!A13</f>
        <v>46327</v>
      </c>
      <c r="P14" s="219">
        <f ca="1">+INDIRECT("[EMPINFO.xlsm]"&amp;$O$2&amp;"!G14")</f>
        <v>5</v>
      </c>
      <c r="Q14" s="215">
        <f ca="1">IF(AZ14="active",INDIRECT("[EMPINFO.xlsm]"&amp;$O$2&amp;"!H14"),0)</f>
        <v>40</v>
      </c>
      <c r="R14" s="239">
        <f t="shared" ca="1" si="22"/>
        <v>8.7309999999999999</v>
      </c>
      <c r="S14" s="216">
        <f t="shared" ca="1" si="1"/>
        <v>1513.3733333333323</v>
      </c>
      <c r="T14" s="220">
        <f t="shared" ca="1" si="2"/>
        <v>0</v>
      </c>
      <c r="U14" s="218">
        <f t="shared" ca="1" si="3"/>
        <v>0</v>
      </c>
      <c r="V14" s="220">
        <f ca="1">+novoth*novhrrt</f>
        <v>0</v>
      </c>
      <c r="W14" s="201"/>
      <c r="X14" s="218">
        <f t="shared" ca="1" si="4"/>
        <v>0</v>
      </c>
      <c r="Y14" s="803">
        <f t="shared" ca="1" si="5"/>
        <v>0</v>
      </c>
      <c r="Z14" s="218">
        <f t="shared" ca="1" si="6"/>
        <v>1513.3733333333323</v>
      </c>
      <c r="AA14" s="803">
        <f t="shared" ca="1" si="7"/>
        <v>0</v>
      </c>
      <c r="AB14" s="218">
        <f ca="1">+INDIRECT("[EMPINFO.xlsm]"&amp;$O$2&amp;"!s14")</f>
        <v>0</v>
      </c>
      <c r="AC14" s="292">
        <v>1.5</v>
      </c>
      <c r="AD14" s="218">
        <f t="shared" ca="1" si="8"/>
        <v>0</v>
      </c>
      <c r="AE14" s="220">
        <f t="shared" ca="1" si="9"/>
        <v>0</v>
      </c>
      <c r="AF14" s="218">
        <f t="shared" ca="1" si="10"/>
        <v>0</v>
      </c>
      <c r="AG14" s="803">
        <f t="shared" ca="1" si="11"/>
        <v>349.24</v>
      </c>
      <c r="AH14" s="218">
        <f t="shared" ca="1" si="12"/>
        <v>174.62</v>
      </c>
      <c r="AI14" s="803">
        <f t="shared" ca="1" si="13"/>
        <v>174.62</v>
      </c>
      <c r="AJ14" s="218">
        <f t="shared" ca="1" si="14"/>
        <v>349.24</v>
      </c>
      <c r="AK14" s="803">
        <f t="shared" ca="1" si="15"/>
        <v>5.24</v>
      </c>
      <c r="AL14" s="218">
        <f t="shared" ca="1" si="23"/>
        <v>1693.2333333333324</v>
      </c>
      <c r="AM14" s="290" t="str">
        <f t="shared" ca="1" si="16"/>
        <v>C</v>
      </c>
      <c r="AN14" s="291" t="str">
        <f t="shared" ca="1" si="17"/>
        <v>FT</v>
      </c>
      <c r="AO14" s="223">
        <f ca="1">+INDIRECT("[EMPINFO.xlsm]"&amp;$O$2&amp;"!t14")</f>
        <v>30</v>
      </c>
      <c r="AP14" s="226">
        <f ca="1">+INDIRECT("[EMPINFO.xlsm]"&amp;$O$2&amp;"!o14")</f>
        <v>-160</v>
      </c>
      <c r="AQ14" s="840">
        <f ca="1">+INDIRECT("[EMPINFO.xlsm]"&amp;$O$2&amp;"!p14")</f>
        <v>-1559.94</v>
      </c>
      <c r="AR14" s="226">
        <f ca="1">+INDIRECT("[EMPINFO.xlsm]"&amp;$O$2&amp;"!j14")</f>
        <v>0</v>
      </c>
      <c r="AS14" s="840">
        <f ca="1">+INDIRECT("[EMPINFO.xlsm]"&amp;$O$2&amp;"!k14")</f>
        <v>178.14999999999998</v>
      </c>
      <c r="AT14" s="226">
        <f ca="1">+INDIRECT("[EMPINFO.xlsm]"&amp;$O$2&amp;"!m14")</f>
        <v>0</v>
      </c>
      <c r="AU14" s="844">
        <f ca="1">+INDIRECT("[EMPINFO.xlsm]"&amp;$O$2&amp;"!n14")</f>
        <v>240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v>
      </c>
      <c r="BC14" s="289">
        <f t="shared" ca="1" si="21"/>
        <v>0</v>
      </c>
      <c r="BD14" s="255"/>
      <c r="BE14" s="206"/>
      <c r="BF14" s="32"/>
      <c r="BH14" s="32"/>
    </row>
    <row r="15" spans="1:62" ht="15.75" customHeight="1" thickBot="1" x14ac:dyDescent="0.3">
      <c r="A15" s="54"/>
      <c r="L15" s="101"/>
      <c r="M15" s="303"/>
      <c r="N15" s="211">
        <f t="shared" ca="1" si="0"/>
        <v>8.7309999999999999</v>
      </c>
      <c r="O15" s="213">
        <f>+DATA!A14</f>
        <v>46357</v>
      </c>
      <c r="P15" s="219">
        <f ca="1">+INDIRECT("[EMPINFO.xlsm]"&amp;$O$2&amp;"!G15")</f>
        <v>4</v>
      </c>
      <c r="Q15" s="215">
        <f ca="1">IF(AZ15="active",INDIRECT("[EMPINFO.xlsm]"&amp;$O$2&amp;"!H15"),0)</f>
        <v>40</v>
      </c>
      <c r="R15" s="239">
        <f t="shared" ca="1" si="22"/>
        <v>8.7309999999999999</v>
      </c>
      <c r="S15" s="216">
        <f t="shared" ca="1" si="1"/>
        <v>1513.3733333333323</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1648.4733333333322</v>
      </c>
      <c r="AA15" s="803">
        <f t="shared" ca="1" si="7"/>
        <v>16</v>
      </c>
      <c r="AB15" s="218">
        <f ca="1">+INDIRECT("[EMPINFO.xlsm]"&amp;$O$2&amp;"!s15")</f>
        <v>0</v>
      </c>
      <c r="AC15" s="292">
        <v>1.5</v>
      </c>
      <c r="AD15" s="218">
        <f t="shared" ca="1" si="8"/>
        <v>0</v>
      </c>
      <c r="AE15" s="220">
        <f t="shared" ca="1" si="9"/>
        <v>0</v>
      </c>
      <c r="AF15" s="218">
        <f t="shared" ca="1" si="10"/>
        <v>16</v>
      </c>
      <c r="AG15" s="803">
        <f t="shared" ca="1" si="11"/>
        <v>349.24</v>
      </c>
      <c r="AH15" s="218">
        <f t="shared" ca="1" si="12"/>
        <v>139.69999999999999</v>
      </c>
      <c r="AI15" s="803">
        <f t="shared" ca="1" si="13"/>
        <v>139.69999999999999</v>
      </c>
      <c r="AJ15" s="218">
        <f t="shared" ca="1" si="14"/>
        <v>279.39999999999998</v>
      </c>
      <c r="AK15" s="803">
        <f t="shared" ca="1" si="15"/>
        <v>4.1900000000000004</v>
      </c>
      <c r="AL15" s="218">
        <f t="shared" ca="1" si="23"/>
        <v>1792.3633333333323</v>
      </c>
      <c r="AM15" s="290" t="str">
        <f t="shared" ca="1" si="16"/>
        <v>C</v>
      </c>
      <c r="AN15" s="291" t="str">
        <f t="shared" ca="1" si="17"/>
        <v>FT</v>
      </c>
      <c r="AO15" s="223">
        <f ca="1">+INDIRECT("[EMPINFO.xlsm]"&amp;$O$2&amp;"!t15")</f>
        <v>31</v>
      </c>
      <c r="AP15" s="226">
        <f ca="1">+INDIRECT("[EMPINFO.xlsm]"&amp;$O$2&amp;"!o15")</f>
        <v>-160</v>
      </c>
      <c r="AQ15" s="840">
        <f ca="1">+INDIRECT("[EMPINFO.xlsm]"&amp;$O$2&amp;"!p15")</f>
        <v>-1719.94</v>
      </c>
      <c r="AR15" s="226">
        <f ca="1">+INDIRECT("[EMPINFO.xlsm]"&amp;$O$2&amp;"!j15")</f>
        <v>0</v>
      </c>
      <c r="AS15" s="840">
        <f ca="1">+INDIRECT("[EMPINFO.xlsm]"&amp;$O$2&amp;"!k15")</f>
        <v>178.14999999999998</v>
      </c>
      <c r="AT15" s="226">
        <f ca="1">+INDIRECT("[EMPINFO.xlsm]"&amp;$O$2&amp;"!m15")</f>
        <v>0</v>
      </c>
      <c r="AU15" s="844">
        <f ca="1">+INDIRECT("[EMPINFO.xlsm]"&amp;$O$2&amp;"!n15")</f>
        <v>240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0.15</v>
      </c>
      <c r="BC15" s="289">
        <f t="shared" ca="1" si="21"/>
        <v>2775</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18160.479999999992</v>
      </c>
      <c r="T16" s="221">
        <f t="shared" ca="1" si="24"/>
        <v>0</v>
      </c>
      <c r="U16" s="217">
        <f t="shared" ca="1" si="24"/>
        <v>0</v>
      </c>
      <c r="V16" s="221">
        <f t="shared" ca="1" si="24"/>
        <v>0</v>
      </c>
      <c r="W16" s="217">
        <f t="shared" ca="1" si="24"/>
        <v>512.52</v>
      </c>
      <c r="X16" s="217">
        <f t="shared" ca="1" si="24"/>
        <v>0</v>
      </c>
      <c r="Y16" s="804">
        <f t="shared" ca="1" si="24"/>
        <v>0</v>
      </c>
      <c r="Z16" s="217">
        <f t="shared" ca="1" si="24"/>
        <v>18672.999999999989</v>
      </c>
      <c r="AA16" s="804">
        <f t="shared" ca="1" si="24"/>
        <v>58</v>
      </c>
      <c r="AB16" s="217">
        <f ca="1">+INDIRECT("[EMPINFO.xlsm]"&amp;$O$2&amp;"!S16")</f>
        <v>0</v>
      </c>
      <c r="AC16" s="221" t="s">
        <v>150</v>
      </c>
      <c r="AD16" s="217">
        <f ca="1">SUM(AD4:AD15)</f>
        <v>0</v>
      </c>
      <c r="AE16" s="221">
        <f ca="1">SUM(AE4:AE15)</f>
        <v>0</v>
      </c>
      <c r="AF16" s="217">
        <f ca="1">SUM(AF4:AF15)</f>
        <v>58</v>
      </c>
      <c r="AG16" s="221"/>
      <c r="AH16" s="217">
        <f ca="1">SUM(AH4:AH15)</f>
        <v>1816.0800000000002</v>
      </c>
      <c r="AI16" s="803">
        <f ca="1">SUM(AI4:AI15)</f>
        <v>1816.0800000000002</v>
      </c>
      <c r="AJ16" s="217">
        <f t="shared" ca="1" si="14"/>
        <v>3632.1600000000003</v>
      </c>
      <c r="AK16" s="835">
        <f ca="1">SUM(AK4:AK15)</f>
        <v>54.48</v>
      </c>
      <c r="AL16" s="217">
        <f ca="1">+SUM(AL4:AL15)</f>
        <v>20543.55999999999</v>
      </c>
      <c r="AM16" s="298"/>
      <c r="AN16" s="297"/>
      <c r="AO16" s="224">
        <f ca="1">+INDIRECT("[EMPINFO.xlsm]"&amp;$O$2&amp;"!T16")</f>
        <v>365</v>
      </c>
      <c r="AP16" s="299">
        <f>+[1]RGaldes!O16</f>
        <v>0</v>
      </c>
      <c r="AQ16" s="841">
        <f ca="1">+INDIRECT("[EMPINFO.xlsm]"&amp;$O$2&amp;"!p16")</f>
        <v>-1719.94</v>
      </c>
      <c r="AR16" s="299"/>
      <c r="AS16" s="841">
        <f ca="1">+INDIRECT("[EMPINFO.xlsm]"&amp;$O$2&amp;"!k16")</f>
        <v>178.14999999999998</v>
      </c>
      <c r="AT16" s="299">
        <f ca="1">+INDIRECT("[EMPINFO.xlsm]"&amp;$O$2&amp;"!m16")</f>
        <v>0</v>
      </c>
      <c r="AU16" s="841">
        <f ca="1">+INDIRECT("[EMPINFO.xlsm]"&amp;$O$2&amp;"!n16")</f>
        <v>240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18673</v>
      </c>
      <c r="I17" s="456"/>
      <c r="K17" s="317" t="s">
        <v>151</v>
      </c>
      <c r="L17" s="101"/>
      <c r="M17" s="256">
        <v>8.5</v>
      </c>
      <c r="N17" s="257" t="s">
        <v>152</v>
      </c>
      <c r="O17" s="258">
        <f ca="1">+Med_Tot</f>
        <v>18672.999999999989</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-1719.94</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Attard Raisa</v>
      </c>
      <c r="P19" s="374" t="str">
        <f>+IDCard</f>
        <v>562091M</v>
      </c>
      <c r="Q19" s="375" t="str">
        <f>+designation</f>
        <v>9. Receptionist</v>
      </c>
      <c r="R19" s="376" t="s">
        <v>156</v>
      </c>
      <c r="S19" s="377">
        <f ca="1">+S20+S23+S22+S24+S25+S26+S21</f>
        <v>1513.3733333333323</v>
      </c>
      <c r="T19" s="378" t="str">
        <f>+FS4_Status</f>
        <v>PAR2</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1513.3733333333323</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279.39999999999998</v>
      </c>
      <c r="U21" s="372">
        <f ca="1">INDEX(PYRL_Summary,MATCH(O21,months,0),22)</f>
        <v>139.69999999999999</v>
      </c>
      <c r="V21" s="373">
        <f ca="1">INDEX(PYRL_Summary,MATCH(O21,months,0),23)</f>
        <v>139.69999999999999</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4.1900000000000004</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18673</v>
      </c>
      <c r="I23" s="466"/>
      <c r="J23" s="318" t="s">
        <v>169</v>
      </c>
      <c r="K23" s="916"/>
      <c r="L23" s="917"/>
      <c r="N23" s="420"/>
      <c r="O23" s="344">
        <f>+ID</f>
        <v>2021009</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0</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MT33APSB77013000000044505220011</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1373.6733333333323</v>
      </c>
      <c r="V26" s="418"/>
      <c r="X26" s="575"/>
    </row>
    <row r="27" spans="1:56" ht="24" customHeight="1" thickBot="1" x14ac:dyDescent="0.3">
      <c r="A27" s="54"/>
      <c r="B27" s="73" t="s">
        <v>52</v>
      </c>
      <c r="G27" s="73" t="s">
        <v>53</v>
      </c>
      <c r="H27" s="8">
        <f ca="1">IF(OR(Timer="PT", Timer="pt_casual"),0,AA16)</f>
        <v>58</v>
      </c>
      <c r="I27" s="319" t="s">
        <v>179</v>
      </c>
      <c r="J27" s="96"/>
      <c r="L27" s="322">
        <v>0</v>
      </c>
      <c r="N27" s="421" t="s">
        <v>180</v>
      </c>
      <c r="O27" s="360" t="s">
        <v>181</v>
      </c>
      <c r="P27" s="361">
        <f>+O21-1</f>
        <v>46022</v>
      </c>
      <c r="Q27" s="362"/>
      <c r="R27" s="363" t="s">
        <v>182</v>
      </c>
      <c r="S27" s="364">
        <f ca="1">(INDEX(PYRL_Summary,MATCH(P27,months,0),33))</f>
        <v>15</v>
      </c>
      <c r="T27" s="544">
        <f>IF(Y27=0, "DO NOT INPUT HERE. USE HIGHLIGHTED ",Y27)</f>
        <v>173404684</v>
      </c>
      <c r="U27" s="545"/>
      <c r="V27" s="546"/>
      <c r="W27" s="73" t="s">
        <v>183</v>
      </c>
      <c r="Y27" s="436">
        <v>173404684</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189.14999999999998</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Attard Raisa</v>
      </c>
      <c r="P29" s="394" t="str">
        <f>+IDCard</f>
        <v>562091M</v>
      </c>
      <c r="Q29" s="395" t="str">
        <f>+designation</f>
        <v>9. Receptionist</v>
      </c>
      <c r="R29" s="396" t="s">
        <v>156</v>
      </c>
      <c r="S29" s="397">
        <f ca="1">+S30+S33+S32+S34+S35+S36+S31</f>
        <v>1513.3733333333323</v>
      </c>
      <c r="T29" s="431" t="str">
        <f>+FS4_Status</f>
        <v>PAR2</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1513.3733333333323</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58</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279.39999999999998</v>
      </c>
      <c r="U31" s="358">
        <f ca="1">INDEX(PYRL_Summary,MATCH(O31,months,0),22)</f>
        <v>139.69999999999999</v>
      </c>
      <c r="V31" s="359">
        <f ca="1">INDEX(PYRL_Summary,MATCH(O31,months,0),23)</f>
        <v>139.69999999999999</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4.1900000000000004</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2021009</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0</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MT33APSB77013000000044505220011</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1373.6733333333323</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49.85</v>
      </c>
      <c r="R37" s="354"/>
      <c r="S37" s="356"/>
      <c r="T37" s="544" t="str">
        <f>IF(Y37=0, "DO NOT INPUT HERE. USE HIGHLIGHTED ",Y37)</f>
        <v>Transaction ID is: 174693061</v>
      </c>
      <c r="U37" s="545"/>
      <c r="V37" s="546"/>
      <c r="W37" s="73" t="s">
        <v>183</v>
      </c>
      <c r="Y37" s="574" t="s">
        <v>643</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7.1054273576010019E-15</v>
      </c>
      <c r="R38" s="410" t="s">
        <v>188</v>
      </c>
      <c r="S38" s="411">
        <f ca="1">INDEX(PYRL_Summary,MATCH(O31,months,0),33)</f>
        <v>178.14999999999998</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Attard Raisa</v>
      </c>
      <c r="P39" s="374" t="str">
        <f>+IDCard</f>
        <v>562091M</v>
      </c>
      <c r="Q39" s="375" t="str">
        <f>+designation</f>
        <v>9. Receptionist</v>
      </c>
      <c r="R39" s="376" t="s">
        <v>156</v>
      </c>
      <c r="S39" s="377">
        <f ca="1">+S40+S43+S42+S44+S45+S46+S41</f>
        <v>1634.5333333333324</v>
      </c>
      <c r="T39" s="378" t="str">
        <f>+FS4_Status</f>
        <v>PAR2</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1513.3733333333323</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349.24</v>
      </c>
      <c r="U41" s="372">
        <f ca="1">INDEX(PYRL_Summary,MATCH(O41,months,0),22)</f>
        <v>174.62</v>
      </c>
      <c r="V41" s="373">
        <f ca="1">INDEX(PYRL_Summary,MATCH(O41,months,0),23)</f>
        <v>174.62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5.24</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2021009</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13</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MT33APSB77013000000044505220011</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1446.9133333333325</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11</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6.0000000000009379E-2</v>
      </c>
      <c r="R48" s="392" t="s">
        <v>188</v>
      </c>
      <c r="S48" s="393">
        <f ca="1">INDEX(PYRL_Summary,MATCH(O41,months,0),33)</f>
        <v>178.14999999999998</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Attard Raisa</v>
      </c>
      <c r="P49" s="394" t="str">
        <f>+IDCard</f>
        <v>562091M</v>
      </c>
      <c r="Q49" s="395" t="str">
        <f>+designation</f>
        <v>9. Receptionist</v>
      </c>
      <c r="R49" s="396" t="s">
        <v>156</v>
      </c>
      <c r="S49" s="397">
        <f ca="1">+S50+S53+S52+S54+S55+S56+S51</f>
        <v>1513.3733333333323</v>
      </c>
      <c r="T49" s="431" t="str">
        <f>+FS4_Status</f>
        <v>PAR2</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1513.3733333333323</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279.39999999999998</v>
      </c>
      <c r="U51" s="358">
        <f ca="1">INDEX(PYRL_Summary,MATCH(O51,months,0),22)</f>
        <v>139.69999999999999</v>
      </c>
      <c r="V51" s="359">
        <f ca="1">INDEX(PYRL_Summary,MATCH(O51,months,0),23)</f>
        <v>139.69999999999999</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4.1900000000000004</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2021009</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MT33APSB77013000000044505220011</v>
      </c>
      <c r="U55" s="890"/>
      <c r="V55" s="891"/>
    </row>
    <row r="56" spans="1:37" ht="16.5" customHeight="1" thickBot="1" x14ac:dyDescent="0.3">
      <c r="E56" s="116" t="s">
        <v>215</v>
      </c>
      <c r="F56" s="115" t="str">
        <f>INDEX([1]!empdata,MATCH(ID,[1]!empid,0),17)</f>
        <v>MT33APSB77013000000044505220011</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1373.6733333333323</v>
      </c>
      <c r="V56" s="418"/>
    </row>
    <row r="57" spans="1:37" ht="26.25" customHeight="1" thickBot="1" x14ac:dyDescent="0.3">
      <c r="E57" s="116" t="s">
        <v>216</v>
      </c>
      <c r="F57" s="340" t="str">
        <f>INDEX([1]!empdata,MATCH(ID,[1]!empid,0),12)</f>
        <v>charsenraisa@gmail.com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33550</v>
      </c>
      <c r="G58" s="56"/>
      <c r="H58" s="63"/>
      <c r="N58" s="406">
        <f ca="1">INDEX(PYRL_Summary,MATCH(O51,months,0),4)</f>
        <v>4</v>
      </c>
      <c r="O58" s="407" t="s">
        <v>187</v>
      </c>
      <c r="P58" s="408">
        <f>+O41</f>
        <v>46082</v>
      </c>
      <c r="Q58" s="409">
        <f ca="1">INDEX(PYRL_Summary,MATCH(P58,months,0),31)</f>
        <v>-159.94</v>
      </c>
      <c r="R58" s="410" t="s">
        <v>188</v>
      </c>
      <c r="S58" s="411">
        <f ca="1">INDEX(PYRL_Summary,MATCH(O51,months,0),33)</f>
        <v>178.14999999999998</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44480</v>
      </c>
      <c r="G59" s="56"/>
      <c r="H59" s="63"/>
      <c r="N59" s="386">
        <f ca="1">IF(OR(INDEX(PYRL_Summary,MATCH(O61,months,0),28)="pt",INDEX(PYRL_Summary,MATCH(O61,months,0),28)="pt_casual"),0,IF(N62-N61&gt;=1,1,0))</f>
        <v>1</v>
      </c>
      <c r="O59" s="894" t="str">
        <f>Surname&amp;" "&amp;Name</f>
        <v>Attard Raisa</v>
      </c>
      <c r="P59" s="374" t="str">
        <f>+IDCard</f>
        <v>562091M</v>
      </c>
      <c r="Q59" s="375" t="str">
        <f>+designation</f>
        <v>9. Receptionist</v>
      </c>
      <c r="R59" s="376" t="s">
        <v>156</v>
      </c>
      <c r="S59" s="377">
        <f ca="1">+S60+S63+S62+S64+S65+S66+S61</f>
        <v>1513.3733333333323</v>
      </c>
      <c r="T59" s="378" t="str">
        <f>+FS4_Status</f>
        <v>PAR2</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9. Receptionist</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1513.3733333333323</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279.39999999999998</v>
      </c>
      <c r="U61" s="372">
        <f ca="1">INDEX(PYRL_Summary,MATCH(O61,months,0),22)</f>
        <v>139.69999999999999</v>
      </c>
      <c r="V61" s="373">
        <f ca="1">INDEX(PYRL_Summary,MATCH(O61,months,0),23)</f>
        <v>139.69999999999999</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PAR2</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4.1900000000000004</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2021009</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0</v>
      </c>
      <c r="X64" s="577"/>
    </row>
    <row r="65" spans="5:37" ht="15.75" customHeight="1" thickBot="1" x14ac:dyDescent="0.3">
      <c r="E65" s="925" t="s">
        <v>224</v>
      </c>
      <c r="F65" s="926"/>
      <c r="G65" s="103">
        <f ca="1">+Med_Tot</f>
        <v>18672.999999999989</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MT33APSB77013000000044505220011</v>
      </c>
      <c r="U65" s="890"/>
      <c r="V65" s="891"/>
    </row>
    <row r="66" spans="5:37" ht="16.5" customHeight="1" thickBot="1" x14ac:dyDescent="0.3">
      <c r="E66" s="952" t="s">
        <v>226</v>
      </c>
      <c r="F66" s="953"/>
      <c r="G66" s="112">
        <f ca="1">+PREVFS3+Med_Tot</f>
        <v>18672.999999999989</v>
      </c>
      <c r="H66" s="114">
        <f ca="1">IF(grossyearly&lt;F68,1,IF(grossyearly&lt;F69,2,IF(grossyearly&lt;F70,3,IF(grossyearly&lt;F71,4,5))))</f>
        <v>2</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1373.6733333333323</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PAR2max1</v>
      </c>
      <c r="F68" s="66">
        <f>+VLOOKUP(E68,SStable,4,)</f>
        <v>18500</v>
      </c>
      <c r="G68" s="109">
        <f>+VLOOKUP(E68,SStable,5,)</f>
        <v>0</v>
      </c>
      <c r="H68" s="104">
        <f>+VLOOKUP(E68,SStable,6,)</f>
        <v>0</v>
      </c>
      <c r="N68" s="388">
        <f ca="1">INDEX(PYRL_Summary,MATCH(O61,months,0),4)</f>
        <v>4</v>
      </c>
      <c r="O68" s="389" t="s">
        <v>187</v>
      </c>
      <c r="P68" s="390">
        <f>+O51</f>
        <v>46113</v>
      </c>
      <c r="Q68" s="391">
        <f ca="1">INDEX(PYRL_Summary,MATCH(P68,months,0),31)</f>
        <v>-319.94</v>
      </c>
      <c r="R68" s="392" t="s">
        <v>188</v>
      </c>
      <c r="S68" s="393">
        <f ca="1">INDEX(PYRL_Summary,MATCH(O61,months,0),33)</f>
        <v>178.14999999999998</v>
      </c>
      <c r="T68" s="425" t="str">
        <f>+Clinic_add</f>
        <v>7,  Mediatrix, Sanctuary Str. Zabbar ZBR1010
8, Mediatrix, Guze Duca Str., Qormi QRM9088</v>
      </c>
      <c r="U68" s="426"/>
      <c r="V68" s="427" t="s">
        <v>189</v>
      </c>
    </row>
    <row r="69" spans="5:37" ht="27" customHeight="1" thickBot="1" x14ac:dyDescent="0.3">
      <c r="E69" s="80" t="str">
        <f>CONCATENATE(FS4_Status,"max",2)</f>
        <v>PAR2max2</v>
      </c>
      <c r="F69" s="66">
        <f>+VLOOKUP(E69,SStable,4,)</f>
        <v>25500</v>
      </c>
      <c r="G69" s="109">
        <f>+VLOOKUP(E69,SStable,5,)</f>
        <v>0.15</v>
      </c>
      <c r="H69" s="104">
        <f>+VLOOKUP(E69,SStable,6,)</f>
        <v>2775</v>
      </c>
      <c r="N69" s="403">
        <f ca="1">IF(OR(INDEX(PYRL_Summary,MATCH(O71,months,0),28)="pt",INDEX(PYRL_Summary,MATCH(O71,months,0),28)="pt_casual"),0,IF(N72-N71&gt;=1,1,0))</f>
        <v>1</v>
      </c>
      <c r="O69" s="908" t="str">
        <f>Surname&amp;" "&amp;Name</f>
        <v>Attard Raisa</v>
      </c>
      <c r="P69" s="394" t="str">
        <f>+IDCard</f>
        <v>562091M</v>
      </c>
      <c r="Q69" s="395" t="str">
        <f>+designation</f>
        <v>9. Receptionist</v>
      </c>
      <c r="R69" s="396" t="s">
        <v>156</v>
      </c>
      <c r="S69" s="397">
        <f ca="1">+S70+S73+S72+S74+S75+S76+S71</f>
        <v>1648.4733333333322</v>
      </c>
      <c r="T69" s="431" t="str">
        <f>+FS4_Status</f>
        <v>PAR2</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PAR2max3</v>
      </c>
      <c r="F70" s="66">
        <f>+VLOOKUP(E70,SStable,4,)</f>
        <v>60000</v>
      </c>
      <c r="G70" s="109">
        <f>+VLOOKUP(E70,SStable,5,)</f>
        <v>0.25</v>
      </c>
      <c r="H70" s="104">
        <f>+VLOOKUP(E70,SStable,6,)</f>
        <v>5325</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1513.3733333333323</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PAR2max4</v>
      </c>
      <c r="F71" s="66">
        <f>+VLOOKUP(E71,SStable,4,)</f>
        <v>150000</v>
      </c>
      <c r="G71" s="109">
        <f>+VLOOKUP(E71,SStable,5,)</f>
        <v>0.35</v>
      </c>
      <c r="H71" s="104">
        <f>+VLOOKUP(E71,SStable,6,)</f>
        <v>11325</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349.24</v>
      </c>
      <c r="U71" s="358">
        <f ca="1">INDEX(PYRL_Summary,MATCH(O71,months,0),22)</f>
        <v>174.62</v>
      </c>
      <c r="V71" s="359">
        <f ca="1">INDEX(PYRL_Summary,MATCH(O71,months,0),23)</f>
        <v>174.62</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PAR2max5</v>
      </c>
      <c r="F72" s="66" t="s">
        <v>230</v>
      </c>
      <c r="G72" s="109">
        <f>+VLOOKUP(E72,SStable,5,)</f>
        <v>0</v>
      </c>
      <c r="H72" s="104">
        <f>+VLOOKUP(E72,SStable,6,)</f>
        <v>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5.24</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2021009</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16</v>
      </c>
      <c r="X74" s="577"/>
    </row>
    <row r="75" spans="5:37" ht="15.75" customHeight="1" thickBot="1" x14ac:dyDescent="0.3">
      <c r="E75" s="293"/>
      <c r="F75" s="294" t="s">
        <v>130</v>
      </c>
      <c r="G75" s="295">
        <f ca="1">IF(AND(Timer="pt",grossyearly&lt;10000),+ptrate,IF(grossyearly&lt;$F$68,$G$68,IF(grossyearly&lt;$F$69,$G$69,IF(grossyearly&lt;$F$70,$G$70,IF(grossyearly&lt;$F$71,$G$71,$G$72)))))</f>
        <v>0.15</v>
      </c>
      <c r="H75" s="296">
        <f ca="1">IF(grossyearly&lt;$F$68,$H$68,IF(grossyearly&lt;$F$69,$H$69,IF(grossyearly&lt;$F$70,$H$70,IF(grossyearly&lt;$F$71,$H$71,$H$72))))</f>
        <v>2775</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MT33APSB77013000000044505220011</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1457.8533333333321</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-519.94000000000005</v>
      </c>
      <c r="R78" s="410" t="s">
        <v>188</v>
      </c>
      <c r="S78" s="411">
        <f ca="1">INDEX(PYRL_Summary,MATCH(O71,months,0),33)</f>
        <v>178.14999999999998</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Attard Raisa</v>
      </c>
      <c r="P79" s="374" t="str">
        <f>+IDCard</f>
        <v>562091M</v>
      </c>
      <c r="Q79" s="375" t="str">
        <f>+designation</f>
        <v>9. Receptionist</v>
      </c>
      <c r="R79" s="376" t="s">
        <v>156</v>
      </c>
      <c r="S79" s="377">
        <f ca="1">+S80+S83+S82+S84+S85+S86+S81</f>
        <v>1513.3733333333323</v>
      </c>
      <c r="T79" s="378" t="str">
        <f>+FS4_Status</f>
        <v>PAR2</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1513.3733333333323</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279.39999999999998</v>
      </c>
      <c r="U81" s="372">
        <f ca="1">INDEX(PYRL_Summary,MATCH(O81,months,0),22)</f>
        <v>139.69999999999999</v>
      </c>
      <c r="V81" s="373">
        <f ca="1">INDEX(PYRL_Summary,MATCH(O81,months,0),23)</f>
        <v>139.69999999999999</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4.1900000000000004</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2021009</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MT33APSB77013000000044505220011</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1373.6733333333323</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178.14999999999998</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Attard Raisa</v>
      </c>
      <c r="P89" s="394" t="str">
        <f>+IDCard</f>
        <v>562091M</v>
      </c>
      <c r="Q89" s="395" t="str">
        <f>+designation</f>
        <v>9. Receptionist</v>
      </c>
      <c r="R89" s="396" t="s">
        <v>156</v>
      </c>
      <c r="S89" s="397">
        <f ca="1">+S90+S93+S92+S94+S95+S96+S91</f>
        <v>1513.3733333333323</v>
      </c>
      <c r="T89" s="431" t="str">
        <f>+FS4_Status</f>
        <v>PAR2</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1513.3733333333323</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349.24</v>
      </c>
      <c r="U91" s="358">
        <f ca="1">INDEX(PYRL_Summary,MATCH(O91,months,0),22)</f>
        <v>174.62</v>
      </c>
      <c r="V91" s="359">
        <f ca="1">INDEX(PYRL_Summary,MATCH(O91,months,0),23)</f>
        <v>174.62</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5.24</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2021009</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MT33APSB77013000000044505220011</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1338.7533333333322</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-839.94</v>
      </c>
      <c r="R98" s="410" t="s">
        <v>188</v>
      </c>
      <c r="S98" s="411">
        <f ca="1">INDEX(PYRL_Summary,MATCH(O91,months,0),33)</f>
        <v>178.14999999999998</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Attard Raisa</v>
      </c>
      <c r="P99" s="374" t="str">
        <f>+IDCard</f>
        <v>562091M</v>
      </c>
      <c r="Q99" s="375" t="str">
        <f>+designation</f>
        <v>9. Receptionist</v>
      </c>
      <c r="R99" s="376" t="s">
        <v>156</v>
      </c>
      <c r="S99" s="377">
        <f ca="1">+S100+S103+S102+S104+S105+S106+S101</f>
        <v>1634.5333333333324</v>
      </c>
      <c r="T99" s="378" t="str">
        <f>+FS4_Status</f>
        <v>PAR2</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1513.3733333333323</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279.39999999999998</v>
      </c>
      <c r="U101" s="372">
        <f ca="1">INDEX(PYRL_Summary,MATCH(O101,months,0),22)</f>
        <v>139.69999999999999</v>
      </c>
      <c r="V101" s="373">
        <f ca="1">INDEX(PYRL_Summary,MATCH(O101,months,0),23)</f>
        <v>139.69999999999999</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4.1900000000000004</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2021009</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13</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MT33APSB77013000000044505220011</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1481.8333333333323</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-1039.94</v>
      </c>
      <c r="R108" s="392" t="s">
        <v>188</v>
      </c>
      <c r="S108" s="393">
        <f ca="1">INDEX(PYRL_Summary,MATCH(O101,months,0),33)</f>
        <v>178.14999999999998</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Attard Raisa</v>
      </c>
      <c r="P109" s="394" t="str">
        <f>+IDCard</f>
        <v>562091M</v>
      </c>
      <c r="Q109" s="395" t="str">
        <f>+designation</f>
        <v>9. Receptionist</v>
      </c>
      <c r="R109" s="396" t="s">
        <v>156</v>
      </c>
      <c r="S109" s="397">
        <f ca="1">+S110+S113+S112+S114+S115+S116+S111</f>
        <v>1513.3733333333323</v>
      </c>
      <c r="T109" s="431" t="str">
        <f>+FS4_Status</f>
        <v>PAR2</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1513.3733333333323</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279.39999999999998</v>
      </c>
      <c r="U111" s="358">
        <f ca="1">INDEX(PYRL_Summary,MATCH(W109,months,0),22)</f>
        <v>139.69999999999999</v>
      </c>
      <c r="V111" s="359">
        <f ca="1">INDEX(PYRL_Summary,MATCH(W109,months,0),23)</f>
        <v>139.69999999999999</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4.1900000000000004</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2021009</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MT33APSB77013000000044505220011</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1373.6733333333323</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-1199.94</v>
      </c>
      <c r="R118" s="410" t="s">
        <v>188</v>
      </c>
      <c r="S118" s="411">
        <f ca="1">INDEX(PYRL_Summary,MATCH(W109,months,0),33)</f>
        <v>178.14999999999998</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Attard Raisa</v>
      </c>
      <c r="P119" s="374" t="str">
        <f>+IDCard</f>
        <v>562091M</v>
      </c>
      <c r="Q119" s="375" t="str">
        <f>+designation</f>
        <v>9. Receptionist</v>
      </c>
      <c r="R119" s="376" t="s">
        <v>156</v>
      </c>
      <c r="S119" s="377">
        <f ca="1">+S120+S123+S122+S124+S125+S126+S121</f>
        <v>1513.3733333333323</v>
      </c>
      <c r="T119" s="378" t="str">
        <f>+FS4_Status</f>
        <v>PAR2</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1513.3733333333323</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349.24</v>
      </c>
      <c r="U121" s="372">
        <f ca="1">INDEX(PYRL_Summary,MATCH(W119,months,0),22)</f>
        <v>174.62</v>
      </c>
      <c r="V121" s="373">
        <f ca="1">INDEX(PYRL_Summary,MATCH(W119,months,0),23)</f>
        <v>174.62</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5.24</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2021009</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MT33APSB77013000000044505220011</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1338.7533333333322</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-1399.94</v>
      </c>
      <c r="R128" s="392" t="s">
        <v>188</v>
      </c>
      <c r="S128" s="393">
        <f ca="1">INDEX(PYRL_Summary,MATCH(W119,months,0),33)</f>
        <v>178.14999999999998</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Attard Raisa</v>
      </c>
      <c r="P129" s="394" t="str">
        <f>+IDCard</f>
        <v>562091M</v>
      </c>
      <c r="Q129" s="395" t="str">
        <f>+designation</f>
        <v>9. Receptionist</v>
      </c>
      <c r="R129" s="396" t="s">
        <v>156</v>
      </c>
      <c r="S129" s="397">
        <f ca="1">+S130+S133+S132+S134+S135+S136+S131</f>
        <v>1648.4733333333322</v>
      </c>
      <c r="T129" s="431" t="str">
        <f>+FS4_Status</f>
        <v>PAR2</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1513.3733333333323</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279.39999999999998</v>
      </c>
      <c r="U131" s="358">
        <f ca="1">INDEX(PYRL_Summary,MATCH(W129,months,0),22)</f>
        <v>139.69999999999999</v>
      </c>
      <c r="V131" s="359">
        <f ca="1">INDEX(PYRL_Summary,MATCH(W129,months,0),23)</f>
        <v>139.69999999999999</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4.1900000000000004</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2021009</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16</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MT33APSB77013000000044505220011</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1492.7733333333322</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-1559.94</v>
      </c>
      <c r="R138" s="410" t="s">
        <v>188</v>
      </c>
      <c r="S138" s="411">
        <f ca="1">INDEX(PYRL_Summary,MATCH(W129,months,0),33)</f>
        <v>178.14999999999998</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232" priority="29">
      <formula>$P25=0</formula>
    </cfRule>
  </conditionalFormatting>
  <conditionalFormatting sqref="Q25:R25">
    <cfRule type="expression" dxfId="231" priority="28">
      <formula>$R25=0</formula>
    </cfRule>
  </conditionalFormatting>
  <conditionalFormatting sqref="S25">
    <cfRule type="expression" dxfId="230" priority="27">
      <formula>$S25=0</formula>
    </cfRule>
  </conditionalFormatting>
  <conditionalFormatting sqref="S26">
    <cfRule type="expression" dxfId="229" priority="25">
      <formula>$S$46&gt;0.01</formula>
    </cfRule>
    <cfRule type="expression" dxfId="228" priority="26">
      <formula>$S$46=0</formula>
    </cfRule>
  </conditionalFormatting>
  <conditionalFormatting sqref="T23 T33 T43 T53 T63 T73 T83 T93 T103 T113 T123 T133">
    <cfRule type="expression" dxfId="227" priority="24" stopIfTrue="1">
      <formula>"$R$23=0"""</formula>
    </cfRule>
  </conditionalFormatting>
  <conditionalFormatting sqref="O26:Q26">
    <cfRule type="expression" dxfId="226" priority="23">
      <formula>$Q$26=0</formula>
    </cfRule>
  </conditionalFormatting>
  <conditionalFormatting sqref="V23">
    <cfRule type="expression" dxfId="225" priority="22">
      <formula>$V$23=0</formula>
    </cfRule>
  </conditionalFormatting>
  <conditionalFormatting sqref="O35:P35">
    <cfRule type="expression" dxfId="224" priority="21">
      <formula>$P35=0</formula>
    </cfRule>
  </conditionalFormatting>
  <conditionalFormatting sqref="Q35:R35">
    <cfRule type="expression" dxfId="223" priority="20">
      <formula>$R35=0</formula>
    </cfRule>
  </conditionalFormatting>
  <conditionalFormatting sqref="S35">
    <cfRule type="expression" dxfId="222" priority="19">
      <formula>$S35=0</formula>
    </cfRule>
  </conditionalFormatting>
  <conditionalFormatting sqref="S36">
    <cfRule type="expression" dxfId="221" priority="17">
      <formula>$S$46&gt;0.01</formula>
    </cfRule>
    <cfRule type="expression" dxfId="220" priority="18">
      <formula>$S$46=0</formula>
    </cfRule>
  </conditionalFormatting>
  <conditionalFormatting sqref="O36:Q36">
    <cfRule type="expression" dxfId="219" priority="16">
      <formula>$Q$26=0</formula>
    </cfRule>
  </conditionalFormatting>
  <conditionalFormatting sqref="V33">
    <cfRule type="expression" dxfId="218" priority="15">
      <formula>$V$23=0</formula>
    </cfRule>
  </conditionalFormatting>
  <conditionalFormatting sqref="O45:P45 O65:P65 O85:P85 O105:P105 O125:P125">
    <cfRule type="expression" dxfId="217" priority="14">
      <formula>$P45=0</formula>
    </cfRule>
  </conditionalFormatting>
  <conditionalFormatting sqref="Q45:R45 Q65:R65 Q85:R85 Q105:R105 Q125:R125">
    <cfRule type="expression" dxfId="216" priority="13">
      <formula>$R45=0</formula>
    </cfRule>
  </conditionalFormatting>
  <conditionalFormatting sqref="S45 S65 S85 S105 S125">
    <cfRule type="expression" dxfId="215" priority="12">
      <formula>$S45=0</formula>
    </cfRule>
  </conditionalFormatting>
  <conditionalFormatting sqref="S46 S66 S86 S106 S126">
    <cfRule type="expression" dxfId="214" priority="10">
      <formula>$S$46&gt;0.01</formula>
    </cfRule>
    <cfRule type="expression" dxfId="213" priority="11">
      <formula>$S$46=0</formula>
    </cfRule>
  </conditionalFormatting>
  <conditionalFormatting sqref="O46:Q46 O66:Q66 O86:Q86 O106:Q106 O126:Q126">
    <cfRule type="expression" dxfId="212" priority="9">
      <formula>$Q$26=0</formula>
    </cfRule>
  </conditionalFormatting>
  <conditionalFormatting sqref="V43 V63 V83 V103 V123">
    <cfRule type="expression" dxfId="211" priority="8">
      <formula>$V$23=0</formula>
    </cfRule>
  </conditionalFormatting>
  <conditionalFormatting sqref="O55:P55 O75:P75 O95:P95 O115:P115 O135:P135">
    <cfRule type="expression" dxfId="210" priority="7">
      <formula>$P55=0</formula>
    </cfRule>
  </conditionalFormatting>
  <conditionalFormatting sqref="Q55:R55 Q75:R75 Q95:R95 Q115:R115 Q135:R135">
    <cfRule type="expression" dxfId="209" priority="6">
      <formula>$R55=0</formula>
    </cfRule>
  </conditionalFormatting>
  <conditionalFormatting sqref="S55 S75 S95 S115 S135">
    <cfRule type="expression" dxfId="208" priority="5">
      <formula>$S55=0</formula>
    </cfRule>
  </conditionalFormatting>
  <conditionalFormatting sqref="S56 S76 S96 S116 S136">
    <cfRule type="expression" dxfId="207" priority="3">
      <formula>$S$46&gt;0.01</formula>
    </cfRule>
    <cfRule type="expression" dxfId="206" priority="4">
      <formula>$S$46=0</formula>
    </cfRule>
  </conditionalFormatting>
  <conditionalFormatting sqref="O56:Q56 O76:Q76 O96:Q96 O116:Q116 O136:Q136">
    <cfRule type="expression" dxfId="205" priority="2">
      <formula>$Q$26=0</formula>
    </cfRule>
  </conditionalFormatting>
  <conditionalFormatting sqref="V53 V73 V93 V113 V133">
    <cfRule type="expression" dxfId="204" priority="1">
      <formula>$V$23=0</formula>
    </cfRule>
  </conditionalFormatting>
  <hyperlinks>
    <hyperlink ref="F57" r:id="rId1" display="drchrisgauci@gmail.com" xr:uid="{00000000-0004-0000-15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05633"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05634"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05635"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05636"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05637"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05638"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05639"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05640"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05641"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05642"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05643"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05644"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05645"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533C-125F-4EF3-BBC4-40929790F58A}">
  <sheetPr codeName="Sheet121">
    <tabColor rgb="FF0070C0"/>
  </sheetPr>
  <dimension ref="A1:BJ149"/>
  <sheetViews>
    <sheetView topLeftCell="J19" workbookViewId="0">
      <selection activeCell="AA38" sqref="AA38"/>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23.42578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2"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NScerri_Esposito</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ht="43.5" customHeight="1" thickBot="1" x14ac:dyDescent="0.35">
      <c r="A2" s="307"/>
      <c r="B2" s="942" t="s">
        <v>89</v>
      </c>
      <c r="C2" s="84"/>
      <c r="D2" s="90" t="s">
        <v>1</v>
      </c>
      <c r="E2" s="84"/>
      <c r="F2" s="84"/>
      <c r="G2" s="84"/>
      <c r="H2" s="84"/>
      <c r="L2" s="309"/>
      <c r="M2" s="301" t="s">
        <v>90</v>
      </c>
      <c r="N2" s="570">
        <v>2026004</v>
      </c>
      <c r="O2" s="227" t="str">
        <f>CONCATENATE(LEFT(Name,1),Surname)</f>
        <v>NScerri_Esposito</v>
      </c>
      <c r="P2" s="219" t="s">
        <v>91</v>
      </c>
      <c r="Q2" s="215" t="s">
        <v>92</v>
      </c>
      <c r="R2" s="547" t="s">
        <v>93</v>
      </c>
      <c r="S2" s="216" t="s">
        <v>94</v>
      </c>
      <c r="T2" s="229" t="s">
        <v>95</v>
      </c>
      <c r="U2" s="230" t="s">
        <v>96</v>
      </c>
      <c r="V2" s="228" t="s">
        <v>97</v>
      </c>
      <c r="W2" s="202" t="s">
        <v>98</v>
      </c>
      <c r="X2" s="231" t="s">
        <v>99</v>
      </c>
      <c r="Y2" s="232" t="s">
        <v>100</v>
      </c>
      <c r="Z2" s="218" t="s">
        <v>101</v>
      </c>
      <c r="AA2" s="228" t="s">
        <v>102</v>
      </c>
      <c r="AB2" s="230" t="s">
        <v>103</v>
      </c>
      <c r="AC2" s="228" t="s">
        <v>104</v>
      </c>
      <c r="AD2" s="230" t="s">
        <v>105</v>
      </c>
      <c r="AE2" s="228" t="s">
        <v>106</v>
      </c>
      <c r="AF2" s="233" t="s">
        <v>107</v>
      </c>
      <c r="AG2" s="234" t="s">
        <v>108</v>
      </c>
      <c r="AH2" s="233" t="s">
        <v>109</v>
      </c>
      <c r="AI2" s="234" t="s">
        <v>110</v>
      </c>
      <c r="AJ2" s="233" t="s">
        <v>111</v>
      </c>
      <c r="AK2" s="234" t="s">
        <v>72</v>
      </c>
      <c r="AL2" s="233" t="s">
        <v>112</v>
      </c>
      <c r="AM2" s="234" t="s">
        <v>113</v>
      </c>
      <c r="AN2" s="233" t="s">
        <v>114</v>
      </c>
      <c r="AO2" s="235" t="s">
        <v>115</v>
      </c>
      <c r="AP2" s="236" t="s">
        <v>116</v>
      </c>
      <c r="AQ2" s="235" t="s">
        <v>117</v>
      </c>
      <c r="AR2" s="236" t="s">
        <v>118</v>
      </c>
      <c r="AS2" s="235" t="s">
        <v>119</v>
      </c>
      <c r="AT2" s="236" t="s">
        <v>120</v>
      </c>
      <c r="AU2" s="240" t="str">
        <f>+[1]RGaldes!N2</f>
        <v>SL Balance</v>
      </c>
      <c r="AV2" s="242" t="s">
        <v>121</v>
      </c>
      <c r="AW2" s="243" t="s">
        <v>122</v>
      </c>
      <c r="AX2" s="235" t="s">
        <v>123</v>
      </c>
      <c r="AY2" s="237" t="s">
        <v>124</v>
      </c>
      <c r="AZ2" s="238">
        <v>0</v>
      </c>
      <c r="BA2" s="235" t="s">
        <v>125</v>
      </c>
      <c r="BB2" s="280" t="s">
        <v>126</v>
      </c>
      <c r="BC2" s="281" t="s">
        <v>127</v>
      </c>
      <c r="BD2" s="255"/>
      <c r="BE2" s="29"/>
    </row>
    <row r="3" spans="1:62" ht="37.5" customHeight="1" thickBot="1" x14ac:dyDescent="0.35">
      <c r="A3" s="54"/>
      <c r="B3" s="901"/>
      <c r="D3" s="308"/>
      <c r="L3" s="309"/>
      <c r="M3" s="748" t="s">
        <v>128</v>
      </c>
      <c r="N3" s="571"/>
      <c r="O3" s="246">
        <f>+O4-1</f>
        <v>46022</v>
      </c>
      <c r="P3" s="245"/>
      <c r="Q3" s="247"/>
      <c r="R3" s="548" t="s">
        <v>129</v>
      </c>
      <c r="S3" s="245"/>
      <c r="T3" s="245"/>
      <c r="U3" s="245"/>
      <c r="V3" s="245"/>
      <c r="W3" s="245"/>
      <c r="X3" s="249"/>
      <c r="Y3" s="250"/>
      <c r="Z3" s="245"/>
      <c r="AA3" s="245"/>
      <c r="AB3" s="245"/>
      <c r="AC3" s="245"/>
      <c r="AD3" s="245"/>
      <c r="AE3" s="245"/>
      <c r="AF3" s="251"/>
      <c r="AG3" s="251"/>
      <c r="AH3" s="251"/>
      <c r="AI3" s="251"/>
      <c r="AJ3" s="251"/>
      <c r="AK3" s="251"/>
      <c r="AL3" s="251"/>
      <c r="AM3" s="251"/>
      <c r="AN3" s="251"/>
      <c r="AO3" s="252">
        <f>IF((O21-StartEmp&gt;92),92,(IF(OR(StartEmp=O21,StartEmp&gt;O21),0,(O21-StartEmp))))</f>
        <v>0</v>
      </c>
      <c r="AP3" s="251">
        <f ca="1">+INDIRECT("[EMPINFO.xlsm]"&amp;$O$2&amp;"!o3")</f>
        <v>0</v>
      </c>
      <c r="AQ3" s="251">
        <f ca="1">+INDIRECT("[EMPINFO.xlsm]"&amp;$O$2&amp;"!p3")</f>
        <v>0</v>
      </c>
      <c r="AR3" s="251">
        <f ca="1">+INDIRECT("[EMPINFO.xlsm]"&amp;$O$2&amp;"!j3")</f>
        <v>0</v>
      </c>
      <c r="AS3" s="251">
        <f ca="1">+INDIRECT("[EMPINFO.xlsm]"&amp;$O$2&amp;"!k3")</f>
        <v>0</v>
      </c>
      <c r="AT3" s="251"/>
      <c r="AU3" s="251">
        <f ca="1">+INDIRECT("[EMPINFO.xlsm]"&amp;$O$2&amp;"!n3")</f>
        <v>0</v>
      </c>
      <c r="AV3" s="253"/>
      <c r="AW3" s="254"/>
      <c r="AX3" s="251">
        <f ca="1">+INDIRECT("[EMPINFO.xlsm]"&amp;$O$2&amp;"!u3")</f>
        <v>0</v>
      </c>
      <c r="AY3" s="251"/>
      <c r="AZ3" s="251"/>
      <c r="BA3" s="251"/>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0</v>
      </c>
      <c r="O4" s="213">
        <f>+DATA!A3</f>
        <v>46023</v>
      </c>
      <c r="P4" s="219">
        <f ca="1">+INDIRECT("[EMPINFO.xlsm]"&amp;$O$2&amp;"!G4")</f>
        <v>0</v>
      </c>
      <c r="Q4" s="215">
        <f ca="1">IF(AZ4="active",INDIRECT("[EMPINFO.xlsm]"&amp;$O$2&amp;"!H4"),0)</f>
        <v>0</v>
      </c>
      <c r="R4" s="239">
        <f ca="1">IF(AZ4&lt;&gt;"active",0,N3+COLA)</f>
        <v>0</v>
      </c>
      <c r="S4" s="216">
        <f t="shared" ref="S4:S15" ca="1" si="1">+Q4*R4*4.33333333333333*AO4/AX4</f>
        <v>0</v>
      </c>
      <c r="T4" s="220">
        <f t="shared" ref="T4:T15" ca="1" si="2">+BA4*R4</f>
        <v>0</v>
      </c>
      <c r="U4" s="218">
        <f t="shared" ref="U4:U15" ca="1" si="3">-AY4*R4</f>
        <v>0</v>
      </c>
      <c r="V4" s="220">
        <f ca="1">+janoth*janhrrt</f>
        <v>0</v>
      </c>
      <c r="W4" s="201"/>
      <c r="X4" s="218">
        <f t="shared" ref="X4:X15" si="4">IF((AT3=0),AV3,(AV3-(AV3/(Q3*P3)*AT3)))</f>
        <v>0</v>
      </c>
      <c r="Y4" s="220">
        <f t="shared" ref="Y4:Y15" si="5">IF((AT3=0),AW3,(AW3-(AW3/(Q3*P3)*AT3*1.5)))</f>
        <v>0</v>
      </c>
      <c r="Z4" s="218">
        <f t="shared" ref="Z4:Z15" ca="1" si="6">+SUM(S4:Y4)</f>
        <v>0</v>
      </c>
      <c r="AA4" s="220">
        <f t="shared" ref="AA4:AA15" ca="1" si="7">IF(OR(AN4="PT",AN4="PT_Casual"),TRUNC((Z4*PT_Rate),0),(TRUNC((Z4*BB4)-(BC4/12),0)))</f>
        <v>0</v>
      </c>
      <c r="AB4" s="218">
        <f ca="1">+INDIRECT("[EMPINFO.xlsm]"&amp;$O$2&amp;"!s4")</f>
        <v>0</v>
      </c>
      <c r="AC4" s="292">
        <v>1.5</v>
      </c>
      <c r="AD4" s="218">
        <f t="shared" ref="AD4:AD15" ca="1" si="8">+AB4*(R4*AC4)</f>
        <v>0</v>
      </c>
      <c r="AE4" s="220">
        <f t="shared" ref="AE4:AE15" ca="1" si="9">+TRUNC((AD4*0.15),0)</f>
        <v>0</v>
      </c>
      <c r="AF4" s="218">
        <f t="shared" ref="AF4:AF15" ca="1" si="10">+AA4+AE4</f>
        <v>0</v>
      </c>
      <c r="AG4" s="220">
        <f t="shared" ref="AG4:AG15" ca="1" si="11">+R4*Q4</f>
        <v>0</v>
      </c>
      <c r="AH4" s="218">
        <f t="shared" ref="AH4:AH15" ca="1" si="12">ROUND(IF(AN4="",0,IF(OR(AN4="PT",AN4="PT_Casual"),0,IF(AM4="B",ROUND(SSCBemployermultiplier*P4,2),IF(AM4="c",SOCSECCRATE*AG4*P4,IF(AM4="D",ROUND(socsecrateD*P4,2)))))),2)</f>
        <v>0</v>
      </c>
      <c r="AI4" s="220">
        <f t="shared" ref="AI4:AI15" ca="1" si="13">ROUND(IF(AN4="",0,IF(OR(AN4="PT",AN4="PT_Casual"),0,IF(AM4="B",ROUND(SSCBemployermultiplier*P4,2),IF(AM4="c",SOCSECCRATE*AG4*P4,IF(AM4="D",ROUND(socsecrateD*P4,2)))))),2)</f>
        <v>0</v>
      </c>
      <c r="AJ4" s="218">
        <f t="shared" ref="AJ4:AJ16" ca="1" si="14">+AH4+AI4</f>
        <v>0</v>
      </c>
      <c r="AK4" s="220">
        <f t="shared" ref="AK4:AK15" ca="1" si="15">ROUND(IF(AN4="",0,IF(OR(AN4="PT",AN4="PT_Casual"),0,IF(AM4="B",SSCBmlfmultiplier*P4,IF(AM4="c",SSCCmlfmultiplier*P4*AG4,IF(AM4="D",SSCDmlfmultiplier*P4))))),2)</f>
        <v>0</v>
      </c>
      <c r="AL4" s="218">
        <f ca="1">+Z4+AH4+AK4</f>
        <v>0</v>
      </c>
      <c r="AM4" s="290">
        <f t="shared" ref="AM4:AM15" ca="1" si="16">IF(AZ4="Active",IF(OR(AN4="PT",AN4="PT_Casual"),0,(IF(AG4&lt;SSCcatBMAX,"B",(IF(AG4&lt;SSCcatCMAX,"C","D"))))),0)</f>
        <v>0</v>
      </c>
      <c r="AN4" s="291" t="str">
        <f t="shared" ref="AN4:AN15" ca="1" si="17">IF(AZ4="active",+Timer,"")</f>
        <v/>
      </c>
      <c r="AO4" s="223">
        <f ca="1">+INDIRECT("[EMPINFO.xlsm]"&amp;$O$2&amp;"!t4")</f>
        <v>0</v>
      </c>
      <c r="AP4" s="226">
        <f ca="1">+INDIRECT("[EMPINFO.xlsm]"&amp;$O$2&amp;"!o4")</f>
        <v>0</v>
      </c>
      <c r="AQ4" s="223">
        <f ca="1">+INDIRECT("[EMPINFO.xlsm]"&amp;$O$2&amp;"!p4")</f>
        <v>0</v>
      </c>
      <c r="AR4" s="226">
        <f ca="1">+INDIRECT("[EMPINFO.xlsm]"&amp;$O$2&amp;"!j4")</f>
        <v>0</v>
      </c>
      <c r="AS4" s="223">
        <f ca="1">+INDIRECT("[EMPINFO.xlsm]"&amp;$O$2&amp;"!k4")</f>
        <v>5.3333333333333339</v>
      </c>
      <c r="AT4" s="226">
        <f ca="1">+INDIRECT("[EMPINFO.xlsm]"&amp;$O$2&amp;"!m4")</f>
        <v>0</v>
      </c>
      <c r="AU4" s="241">
        <f ca="1">+INDIRECT("[EMPINFO.xlsm]"&amp;$O$2&amp;"!n4")</f>
        <v>5.7142857142857144</v>
      </c>
      <c r="AV4" s="244">
        <f t="shared" ref="AV4:AW15" si="18">+AV3</f>
        <v>0</v>
      </c>
      <c r="AW4" s="244">
        <f t="shared" si="18"/>
        <v>0</v>
      </c>
      <c r="AX4" s="223">
        <f ca="1">+INDIRECT("[EMPINFO.xlsm]"&amp;$O$2&amp;"!u4")</f>
        <v>31</v>
      </c>
      <c r="AY4" s="215">
        <f ca="1">+INDIRECT("[EMPINFO.xlsm]"&amp;$O$2&amp;"!v4")</f>
        <v>0</v>
      </c>
      <c r="AZ4" s="207" t="str">
        <f ca="1">+INDIRECT("[EMPINFO.xlsm]"&amp;$O$2&amp;"!x4")</f>
        <v>INACTIVE</v>
      </c>
      <c r="BA4" s="241">
        <f ca="1">+INDIRECT("[EMPINFO.xlsm]"&amp;$O$2&amp;"!w4")</f>
        <v>0</v>
      </c>
      <c r="BB4" s="288">
        <f t="shared" ref="BB4:BB15" ca="1" si="19">IF(AND(Timer="pt",(Z4*12)&lt;10000),+ptrate,IF((Z4*12)&lt;$F$68,$G$68,IF((Z4*12)&lt;$F$69,$G$69,IF((Z4*12)&lt;$F$70,$G$70,IF((Z4*12)&lt;$F$71,$G$71,$G$72)))))</f>
        <v>0</v>
      </c>
      <c r="BC4" s="289">
        <f t="shared" ref="BC4:BC15" ca="1" si="20">IF((Z4*12)&lt;$F$68,$H$68,IF((Z4*12)&lt;$F$69,$H$69,IF((Z4*12)&lt;$F$70,$H$70,IF((Z4*12)&lt;$F$71,$H$71,$H$72))))</f>
        <v>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8</v>
      </c>
      <c r="O5" s="213">
        <f>+DATA!A4</f>
        <v>46054</v>
      </c>
      <c r="P5" s="219">
        <f ca="1">+INDIRECT("[EMPINFO.xlsm]"&amp;$O$2&amp;"!G5")</f>
        <v>2</v>
      </c>
      <c r="Q5" s="215">
        <f ca="1">IF(AZ5="active",INDIRECT("[EMPINFO.xlsm]"&amp;$O$2&amp;"!H5"),0)</f>
        <v>40</v>
      </c>
      <c r="R5" s="239">
        <v>8</v>
      </c>
      <c r="S5" s="216">
        <f t="shared" ca="1" si="1"/>
        <v>396.19047619047586</v>
      </c>
      <c r="T5" s="220">
        <f t="shared" ca="1" si="2"/>
        <v>0</v>
      </c>
      <c r="U5" s="218">
        <f t="shared" ca="1" si="3"/>
        <v>0</v>
      </c>
      <c r="V5" s="220">
        <f>+feboth*febhrrt</f>
        <v>0</v>
      </c>
      <c r="W5" s="201"/>
      <c r="X5" s="218">
        <f t="shared" ca="1" si="4"/>
        <v>0</v>
      </c>
      <c r="Y5" s="220">
        <f t="shared" ca="1" si="5"/>
        <v>0</v>
      </c>
      <c r="Z5" s="218">
        <f t="shared" ca="1" si="6"/>
        <v>396.19047619047586</v>
      </c>
      <c r="AA5" s="220">
        <f t="shared" ca="1" si="7"/>
        <v>0</v>
      </c>
      <c r="AB5" s="218">
        <f ca="1">+INDIRECT("[EMPINFO.xlsm]"&amp;$O$2&amp;"!s5")</f>
        <v>0</v>
      </c>
      <c r="AC5" s="292">
        <v>1.5</v>
      </c>
      <c r="AD5" s="218">
        <f t="shared" ca="1" si="8"/>
        <v>0</v>
      </c>
      <c r="AE5" s="220">
        <f t="shared" ca="1" si="9"/>
        <v>0</v>
      </c>
      <c r="AF5" s="218">
        <f t="shared" ca="1" si="10"/>
        <v>0</v>
      </c>
      <c r="AG5" s="220">
        <f t="shared" ca="1" si="11"/>
        <v>320</v>
      </c>
      <c r="AH5" s="218">
        <f t="shared" ca="1" si="12"/>
        <v>64</v>
      </c>
      <c r="AI5" s="220">
        <f t="shared" ca="1" si="13"/>
        <v>64</v>
      </c>
      <c r="AJ5" s="218">
        <f t="shared" ca="1" si="14"/>
        <v>128</v>
      </c>
      <c r="AK5" s="220">
        <f t="shared" ca="1" si="15"/>
        <v>1.92</v>
      </c>
      <c r="AL5" s="218">
        <f t="shared" ref="AL5:AL15" ca="1" si="21">+Z5+AI5+AK5</f>
        <v>462.11047619047588</v>
      </c>
      <c r="AM5" s="290" t="str">
        <f t="shared" ca="1" si="16"/>
        <v>C</v>
      </c>
      <c r="AN5" s="291" t="str">
        <f t="shared" ca="1" si="17"/>
        <v>FT</v>
      </c>
      <c r="AO5" s="223">
        <f ca="1">+INDIRECT("[EMPINFO.xlsm]"&amp;$O$2&amp;"!t5")</f>
        <v>8</v>
      </c>
      <c r="AP5" s="226">
        <f ca="1">+INDIRECT("[EMPINFO.xlsm]"&amp;$O$2&amp;"!o5")</f>
        <v>8</v>
      </c>
      <c r="AQ5" s="223">
        <f ca="1">+INDIRECT("[EMPINFO.xlsm]"&amp;$O$2&amp;"!p5")</f>
        <v>8</v>
      </c>
      <c r="AR5" s="226">
        <f ca="1">+INDIRECT("[EMPINFO.xlsm]"&amp;$O$2&amp;"!j5")</f>
        <v>0</v>
      </c>
      <c r="AS5" s="223">
        <f ca="1">+INDIRECT("[EMPINFO.xlsm]"&amp;$O$2&amp;"!k5")</f>
        <v>5.3333333333333339</v>
      </c>
      <c r="AT5" s="226">
        <f ca="1">+INDIRECT("[EMPINFO.xlsm]"&amp;$O$2&amp;"!m5")</f>
        <v>0</v>
      </c>
      <c r="AU5" s="241">
        <f ca="1">+INDIRECT("[EMPINFO.xlsm]"&amp;$O$2&amp;"!n5")</f>
        <v>5.7142857142857144</v>
      </c>
      <c r="AV5" s="244">
        <f t="shared" si="18"/>
        <v>0</v>
      </c>
      <c r="AW5" s="244">
        <f t="shared" si="18"/>
        <v>0</v>
      </c>
      <c r="AX5" s="223">
        <f ca="1">+INDIRECT("[EMPINFO.xlsm]"&amp;$O$2&amp;"!u5")</f>
        <v>28</v>
      </c>
      <c r="AY5" s="215">
        <f ca="1">+INDIRECT("[EMPINFO.xlsm]"&amp;$O$2&amp;"!v5")</f>
        <v>0</v>
      </c>
      <c r="AZ5" s="207" t="str">
        <f ca="1">+INDIRECT("[EMPINFO.xlsm]"&amp;$O$2&amp;"!x5")</f>
        <v>ACTIVE</v>
      </c>
      <c r="BA5" s="241">
        <f ca="1">+INDIRECT("[EMPINFO.xlsm]"&amp;$O$2&amp;"!w5")</f>
        <v>0</v>
      </c>
      <c r="BB5" s="288">
        <f t="shared" ca="1" si="19"/>
        <v>0</v>
      </c>
      <c r="BC5" s="289">
        <f t="shared" ca="1" si="20"/>
        <v>0</v>
      </c>
      <c r="BD5" s="255"/>
      <c r="BE5" s="205"/>
      <c r="BG5" s="27"/>
      <c r="BH5" s="28"/>
    </row>
    <row r="6" spans="1:62" ht="15.75" customHeight="1" thickBot="1" x14ac:dyDescent="0.3">
      <c r="A6" s="54"/>
      <c r="B6" s="2" t="s">
        <v>135</v>
      </c>
      <c r="C6" s="921" t="str">
        <f>INDEX([1]!empdata,MATCH(ID,[1]!empid,0),3)</f>
        <v>Scerri_Esposito</v>
      </c>
      <c r="D6" s="922"/>
      <c r="E6" s="922"/>
      <c r="F6" s="886"/>
      <c r="I6" s="312" t="s">
        <v>136</v>
      </c>
      <c r="L6" s="101"/>
      <c r="M6" s="303"/>
      <c r="N6" s="211">
        <f t="shared" ca="1" si="0"/>
        <v>8</v>
      </c>
      <c r="O6" s="213">
        <f>+DATA!A5</f>
        <v>46082</v>
      </c>
      <c r="P6" s="219">
        <f ca="1">+INDIRECT("[EMPINFO.xlsm]"&amp;$O$2&amp;"!G6")</f>
        <v>0</v>
      </c>
      <c r="Q6" s="215">
        <f ca="1">IF(AZ6="active",INDIRECT("[EMPINFO.xlsm]"&amp;$O$2&amp;"!H6"),0)</f>
        <v>0</v>
      </c>
      <c r="R6" s="239">
        <f t="shared" ref="R6:R15" si="22">+R5</f>
        <v>8</v>
      </c>
      <c r="S6" s="216">
        <f t="shared" ca="1" si="1"/>
        <v>0</v>
      </c>
      <c r="T6" s="220">
        <f t="shared" ca="1" si="2"/>
        <v>0</v>
      </c>
      <c r="U6" s="218">
        <f t="shared" ca="1" si="3"/>
        <v>0</v>
      </c>
      <c r="V6" s="220">
        <f>+maroth*marhrrt</f>
        <v>0</v>
      </c>
      <c r="W6" s="202">
        <f ca="1">+IF(AZ6&lt;&gt;"active",0,(IF(Timer="PT_casual",(bonusmar/1040*(BA6+BA5+BA4)),(bonusmar/182*(AO6+AO5+AO4+AO3)*(Q6+Q5+Q4)/120))))</f>
        <v>0</v>
      </c>
      <c r="X6" s="218">
        <f t="shared" ca="1" si="4"/>
        <v>0</v>
      </c>
      <c r="Y6" s="220">
        <f t="shared" ca="1" si="5"/>
        <v>0</v>
      </c>
      <c r="Z6" s="218">
        <f t="shared" ca="1" si="6"/>
        <v>0</v>
      </c>
      <c r="AA6" s="220">
        <f t="shared" ca="1" si="7"/>
        <v>0</v>
      </c>
      <c r="AB6" s="218">
        <f ca="1">+INDIRECT("[EMPINFO.xlsm]"&amp;$O$2&amp;"!s6")</f>
        <v>0</v>
      </c>
      <c r="AC6" s="292">
        <v>1.5</v>
      </c>
      <c r="AD6" s="218">
        <f t="shared" ca="1" si="8"/>
        <v>0</v>
      </c>
      <c r="AE6" s="220">
        <f t="shared" ca="1" si="9"/>
        <v>0</v>
      </c>
      <c r="AF6" s="218">
        <f t="shared" ca="1" si="10"/>
        <v>0</v>
      </c>
      <c r="AG6" s="220">
        <f t="shared" ca="1" si="11"/>
        <v>0</v>
      </c>
      <c r="AH6" s="218">
        <f t="shared" ca="1" si="12"/>
        <v>0</v>
      </c>
      <c r="AI6" s="220">
        <f t="shared" ca="1" si="13"/>
        <v>0</v>
      </c>
      <c r="AJ6" s="218">
        <f t="shared" ca="1" si="14"/>
        <v>0</v>
      </c>
      <c r="AK6" s="220">
        <f t="shared" ca="1" si="15"/>
        <v>0</v>
      </c>
      <c r="AL6" s="218">
        <f t="shared" ca="1" si="21"/>
        <v>0</v>
      </c>
      <c r="AM6" s="290">
        <f t="shared" ca="1" si="16"/>
        <v>0</v>
      </c>
      <c r="AN6" s="291" t="str">
        <f t="shared" ca="1" si="17"/>
        <v/>
      </c>
      <c r="AO6" s="223">
        <f ca="1">+INDIRECT("[EMPINFO.xlsm]"&amp;$O$2&amp;"!t6")</f>
        <v>0</v>
      </c>
      <c r="AP6" s="226">
        <f ca="1">+INDIRECT("[EMPINFO.xlsm]"&amp;$O$2&amp;"!o6")</f>
        <v>0</v>
      </c>
      <c r="AQ6" s="223">
        <f ca="1">+INDIRECT("[EMPINFO.xlsm]"&amp;$O$2&amp;"!p6")</f>
        <v>8</v>
      </c>
      <c r="AR6" s="226">
        <f ca="1">+INDIRECT("[EMPINFO.xlsm]"&amp;$O$2&amp;"!j6")</f>
        <v>0</v>
      </c>
      <c r="AS6" s="223">
        <f ca="1">+INDIRECT("[EMPINFO.xlsm]"&amp;$O$2&amp;"!k6")</f>
        <v>5.3333333333333339</v>
      </c>
      <c r="AT6" s="226">
        <f ca="1">+INDIRECT("[EMPINFO.xlsm]"&amp;$O$2&amp;"!m6")</f>
        <v>0</v>
      </c>
      <c r="AU6" s="241">
        <f ca="1">+INDIRECT("[EMPINFO.xlsm]"&amp;$O$2&amp;"!n6")</f>
        <v>5.7142857142857144</v>
      </c>
      <c r="AV6" s="244">
        <f t="shared" si="18"/>
        <v>0</v>
      </c>
      <c r="AW6" s="244">
        <f t="shared" si="18"/>
        <v>0</v>
      </c>
      <c r="AX6" s="223">
        <f ca="1">+INDIRECT("[EMPINFO.xlsm]"&amp;$O$2&amp;"!u6")</f>
        <v>31</v>
      </c>
      <c r="AY6" s="215">
        <f ca="1">+INDIRECT("[EMPINFO.xlsm]"&amp;$O$2&amp;"!v6")</f>
        <v>0</v>
      </c>
      <c r="AZ6" s="207" t="str">
        <f ca="1">+INDIRECT("[EMPINFO.xlsm]"&amp;$O$2&amp;"!x6")</f>
        <v>INACTIVE</v>
      </c>
      <c r="BA6" s="241">
        <f ca="1">+INDIRECT("[EMPINFO.xlsm]"&amp;$O$2&amp;"!w6")</f>
        <v>0</v>
      </c>
      <c r="BB6" s="288">
        <f t="shared" ca="1" si="19"/>
        <v>0</v>
      </c>
      <c r="BC6" s="289">
        <f t="shared" ca="1" si="20"/>
        <v>0</v>
      </c>
      <c r="BD6" s="255"/>
      <c r="BE6" s="206"/>
    </row>
    <row r="7" spans="1:62" ht="15.75" customHeight="1" thickBot="1" x14ac:dyDescent="0.3">
      <c r="A7" s="54"/>
      <c r="B7" s="3" t="s">
        <v>137</v>
      </c>
      <c r="C7" s="921" t="str">
        <f>INDEX([1]!empdata,MATCH(ID,[1]!empid,0),4)</f>
        <v>Natasha</v>
      </c>
      <c r="D7" s="922"/>
      <c r="E7" s="922"/>
      <c r="F7" s="886"/>
      <c r="H7" s="312" t="s">
        <v>138</v>
      </c>
      <c r="I7" s="927" t="str">
        <f>INDEX([1]!empdata,MATCH(ID,[1]!empid,0),6)</f>
        <v>pears briefly</v>
      </c>
      <c r="J7" s="859"/>
      <c r="K7" s="857"/>
      <c r="L7" s="101"/>
      <c r="M7" s="303"/>
      <c r="N7" s="211">
        <f t="shared" ca="1" si="0"/>
        <v>8</v>
      </c>
      <c r="O7" s="213">
        <f>+DATA!A6</f>
        <v>46113</v>
      </c>
      <c r="P7" s="219">
        <f ca="1">+INDIRECT("[EMPINFO.xlsm]"&amp;$O$2&amp;"!G7")</f>
        <v>0</v>
      </c>
      <c r="Q7" s="215">
        <f ca="1">IF(AZ7="active",INDIRECT("[EMPINFO.xlsm]"&amp;$O$2&amp;"!H7"),0)</f>
        <v>0</v>
      </c>
      <c r="R7" s="239">
        <f t="shared" si="22"/>
        <v>8</v>
      </c>
      <c r="S7" s="216">
        <f t="shared" ca="1" si="1"/>
        <v>0</v>
      </c>
      <c r="T7" s="220">
        <f t="shared" ca="1" si="2"/>
        <v>0</v>
      </c>
      <c r="U7" s="218">
        <f t="shared" ca="1" si="3"/>
        <v>0</v>
      </c>
      <c r="V7" s="220">
        <f>+aproth*aprhrrt</f>
        <v>0</v>
      </c>
      <c r="W7" s="201"/>
      <c r="X7" s="218">
        <f t="shared" ca="1" si="4"/>
        <v>0</v>
      </c>
      <c r="Y7" s="220">
        <f t="shared" ca="1" si="5"/>
        <v>0</v>
      </c>
      <c r="Z7" s="218">
        <f t="shared" ca="1" si="6"/>
        <v>0</v>
      </c>
      <c r="AA7" s="220">
        <f t="shared" ca="1" si="7"/>
        <v>0</v>
      </c>
      <c r="AB7" s="218">
        <f ca="1">+INDIRECT("[EMPINFO.xlsm]"&amp;$O$2&amp;"!s7")</f>
        <v>0</v>
      </c>
      <c r="AC7" s="292">
        <v>1.5</v>
      </c>
      <c r="AD7" s="218">
        <f t="shared" ca="1" si="8"/>
        <v>0</v>
      </c>
      <c r="AE7" s="220">
        <f t="shared" ca="1" si="9"/>
        <v>0</v>
      </c>
      <c r="AF7" s="218">
        <f t="shared" ca="1" si="10"/>
        <v>0</v>
      </c>
      <c r="AG7" s="220">
        <f t="shared" ca="1" si="11"/>
        <v>0</v>
      </c>
      <c r="AH7" s="218">
        <f t="shared" ca="1" si="12"/>
        <v>0</v>
      </c>
      <c r="AI7" s="220">
        <f t="shared" ca="1" si="13"/>
        <v>0</v>
      </c>
      <c r="AJ7" s="218">
        <f t="shared" ca="1" si="14"/>
        <v>0</v>
      </c>
      <c r="AK7" s="220">
        <f t="shared" ca="1" si="15"/>
        <v>0</v>
      </c>
      <c r="AL7" s="218">
        <f t="shared" ca="1" si="21"/>
        <v>0</v>
      </c>
      <c r="AM7" s="290">
        <f t="shared" ca="1" si="16"/>
        <v>0</v>
      </c>
      <c r="AN7" s="291" t="str">
        <f t="shared" ca="1" si="17"/>
        <v/>
      </c>
      <c r="AO7" s="223">
        <f ca="1">+INDIRECT("[EMPINFO.xlsm]"&amp;$O$2&amp;"!t7")</f>
        <v>0</v>
      </c>
      <c r="AP7" s="226">
        <f ca="1">+INDIRECT("[EMPINFO.xlsm]"&amp;$O$2&amp;"!o7")</f>
        <v>0</v>
      </c>
      <c r="AQ7" s="223">
        <f ca="1">+INDIRECT("[EMPINFO.xlsm]"&amp;$O$2&amp;"!p7")</f>
        <v>8</v>
      </c>
      <c r="AR7" s="226">
        <f ca="1">+INDIRECT("[EMPINFO.xlsm]"&amp;$O$2&amp;"!j7")</f>
        <v>0</v>
      </c>
      <c r="AS7" s="223">
        <f ca="1">+INDIRECT("[EMPINFO.xlsm]"&amp;$O$2&amp;"!k7")</f>
        <v>5.3333333333333339</v>
      </c>
      <c r="AT7" s="226">
        <f ca="1">+INDIRECT("[EMPINFO.xlsm]"&amp;$O$2&amp;"!m7")</f>
        <v>0</v>
      </c>
      <c r="AU7" s="241">
        <f ca="1">+INDIRECT("[EMPINFO.xlsm]"&amp;$O$2&amp;"!n7")</f>
        <v>5.7142857142857144</v>
      </c>
      <c r="AV7" s="244">
        <f t="shared" si="18"/>
        <v>0</v>
      </c>
      <c r="AW7" s="244">
        <f t="shared" si="18"/>
        <v>0</v>
      </c>
      <c r="AX7" s="223">
        <f ca="1">+INDIRECT("[EMPINFO.xlsm]"&amp;$O$2&amp;"!u7")</f>
        <v>30</v>
      </c>
      <c r="AY7" s="215">
        <f ca="1">+INDIRECT("[EMPINFO.xlsm]"&amp;$O$2&amp;"!v7")</f>
        <v>0</v>
      </c>
      <c r="AZ7" s="207" t="str">
        <f ca="1">+INDIRECT("[EMPINFO.xlsm]"&amp;$O$2&amp;"!x7")</f>
        <v>INACTIVE</v>
      </c>
      <c r="BA7" s="241">
        <f ca="1">+INDIRECT("[EMPINFO.xlsm]"&amp;$O$2&amp;"!w7")</f>
        <v>0</v>
      </c>
      <c r="BB7" s="288">
        <f t="shared" ca="1" si="19"/>
        <v>0</v>
      </c>
      <c r="BC7" s="289">
        <f t="shared" ca="1" si="20"/>
        <v>0</v>
      </c>
      <c r="BD7" s="255"/>
      <c r="BE7" s="206"/>
    </row>
    <row r="8" spans="1:62" ht="15.75" customHeight="1" thickBot="1" x14ac:dyDescent="0.3">
      <c r="A8" s="54"/>
      <c r="B8" s="3" t="s">
        <v>139</v>
      </c>
      <c r="C8" s="921" t="str">
        <f>INDEX([1]!empdata,MATCH(ID,[1]!empid,0),18)</f>
        <v>59, Madonna tal-Karmnu</v>
      </c>
      <c r="D8" s="922"/>
      <c r="E8" s="922"/>
      <c r="F8" s="886"/>
      <c r="I8" s="312" t="s">
        <v>140</v>
      </c>
      <c r="L8" s="101"/>
      <c r="M8" s="303"/>
      <c r="N8" s="211">
        <f t="shared" ca="1" si="0"/>
        <v>8</v>
      </c>
      <c r="O8" s="213">
        <f>+DATA!A7</f>
        <v>46143</v>
      </c>
      <c r="P8" s="219">
        <f ca="1">+INDIRECT("[EMPINFO.xlsm]"&amp;$O$2&amp;"!G8")</f>
        <v>0</v>
      </c>
      <c r="Q8" s="215">
        <f ca="1">IF(AZ8="active",INDIRECT("[EMPINFO.xlsm]"&amp;$O$2&amp;"!H8"),0)</f>
        <v>0</v>
      </c>
      <c r="R8" s="239">
        <f t="shared" si="22"/>
        <v>8</v>
      </c>
      <c r="S8" s="216">
        <f t="shared" ca="1" si="1"/>
        <v>0</v>
      </c>
      <c r="T8" s="220">
        <f t="shared" ca="1" si="2"/>
        <v>0</v>
      </c>
      <c r="U8" s="218">
        <f t="shared" ca="1" si="3"/>
        <v>0</v>
      </c>
      <c r="V8" s="220">
        <f>+mayoth*mayhrrt</f>
        <v>0</v>
      </c>
      <c r="W8" s="201"/>
      <c r="X8" s="218">
        <f t="shared" ca="1" si="4"/>
        <v>0</v>
      </c>
      <c r="Y8" s="220">
        <f t="shared" ca="1" si="5"/>
        <v>0</v>
      </c>
      <c r="Z8" s="218">
        <f t="shared" ca="1" si="6"/>
        <v>0</v>
      </c>
      <c r="AA8" s="220">
        <f t="shared" ca="1" si="7"/>
        <v>0</v>
      </c>
      <c r="AB8" s="218">
        <f ca="1">+INDIRECT("[EMPINFO.xlsm]"&amp;$O$2&amp;"!s8")</f>
        <v>0</v>
      </c>
      <c r="AC8" s="292">
        <v>1.5</v>
      </c>
      <c r="AD8" s="218">
        <f t="shared" ca="1" si="8"/>
        <v>0</v>
      </c>
      <c r="AE8" s="220">
        <f t="shared" ca="1" si="9"/>
        <v>0</v>
      </c>
      <c r="AF8" s="218">
        <f t="shared" ca="1" si="10"/>
        <v>0</v>
      </c>
      <c r="AG8" s="220">
        <f t="shared" ca="1" si="11"/>
        <v>0</v>
      </c>
      <c r="AH8" s="218">
        <f t="shared" ca="1" si="12"/>
        <v>0</v>
      </c>
      <c r="AI8" s="220">
        <f t="shared" ca="1" si="13"/>
        <v>0</v>
      </c>
      <c r="AJ8" s="218">
        <f t="shared" ca="1" si="14"/>
        <v>0</v>
      </c>
      <c r="AK8" s="220">
        <f t="shared" ca="1" si="15"/>
        <v>0</v>
      </c>
      <c r="AL8" s="218">
        <f t="shared" ca="1" si="21"/>
        <v>0</v>
      </c>
      <c r="AM8" s="290">
        <f t="shared" ca="1" si="16"/>
        <v>0</v>
      </c>
      <c r="AN8" s="291" t="str">
        <f t="shared" ca="1" si="17"/>
        <v/>
      </c>
      <c r="AO8" s="223">
        <f ca="1">+INDIRECT("[EMPINFO.xlsm]"&amp;$O$2&amp;"!t8")</f>
        <v>0</v>
      </c>
      <c r="AP8" s="226">
        <f ca="1">+INDIRECT("[EMPINFO.xlsm]"&amp;$O$2&amp;"!o8")</f>
        <v>0</v>
      </c>
      <c r="AQ8" s="223">
        <f ca="1">+INDIRECT("[EMPINFO.xlsm]"&amp;$O$2&amp;"!p8")</f>
        <v>8</v>
      </c>
      <c r="AR8" s="226">
        <f ca="1">+INDIRECT("[EMPINFO.xlsm]"&amp;$O$2&amp;"!j8")</f>
        <v>0</v>
      </c>
      <c r="AS8" s="223">
        <f ca="1">+INDIRECT("[EMPINFO.xlsm]"&amp;$O$2&amp;"!k8")</f>
        <v>5.3333333333333339</v>
      </c>
      <c r="AT8" s="226">
        <f ca="1">+INDIRECT("[EMPINFO.xlsm]"&amp;$O$2&amp;"!m8")</f>
        <v>0</v>
      </c>
      <c r="AU8" s="241">
        <f ca="1">+INDIRECT("[EMPINFO.xlsm]"&amp;$O$2&amp;"!n8")</f>
        <v>5.7142857142857144</v>
      </c>
      <c r="AV8" s="244">
        <f t="shared" si="18"/>
        <v>0</v>
      </c>
      <c r="AW8" s="244">
        <f t="shared" si="18"/>
        <v>0</v>
      </c>
      <c r="AX8" s="223">
        <f ca="1">+INDIRECT("[EMPINFO.xlsm]"&amp;$O$2&amp;"!u8")</f>
        <v>31</v>
      </c>
      <c r="AY8" s="215">
        <f ca="1">+INDIRECT("[EMPINFO.xlsm]"&amp;$O$2&amp;"!v8")</f>
        <v>0</v>
      </c>
      <c r="AZ8" s="207" t="str">
        <f ca="1">+INDIRECT("[EMPINFO.xlsm]"&amp;$O$2&amp;"!x8")</f>
        <v>INACTIVE</v>
      </c>
      <c r="BA8" s="241">
        <f ca="1">+INDIRECT("[EMPINFO.xlsm]"&amp;$O$2&amp;"!w8")</f>
        <v>0</v>
      </c>
      <c r="BB8" s="288">
        <f t="shared" ca="1" si="19"/>
        <v>0</v>
      </c>
      <c r="BC8" s="289">
        <f t="shared" ca="1" si="20"/>
        <v>0</v>
      </c>
      <c r="BD8" s="255"/>
      <c r="BE8" s="206"/>
    </row>
    <row r="9" spans="1:62" ht="15.75" customHeight="1" thickBot="1" x14ac:dyDescent="0.3">
      <c r="A9" s="54"/>
      <c r="B9" s="4" t="s">
        <v>141</v>
      </c>
      <c r="C9" s="921" t="str">
        <f>INDEX([1]!empdata,MATCH(ID,[1]!empid,0),19)</f>
        <v>Triq Strickland</v>
      </c>
      <c r="D9" s="922"/>
      <c r="E9" s="922"/>
      <c r="F9" s="886"/>
      <c r="H9" s="312" t="s">
        <v>20</v>
      </c>
      <c r="I9" s="927" t="str">
        <f>INDEX([1]!empdata,MATCH(ID,[1]!empid,0),14)</f>
        <v>C36445508</v>
      </c>
      <c r="J9" s="859"/>
      <c r="K9" s="857"/>
      <c r="L9" s="101"/>
      <c r="M9" s="303"/>
      <c r="N9" s="211">
        <f t="shared" ca="1" si="0"/>
        <v>8</v>
      </c>
      <c r="O9" s="213">
        <f>+DATA!A8</f>
        <v>46174</v>
      </c>
      <c r="P9" s="219">
        <f ca="1">+INDIRECT("[EMPINFO.xlsm]"&amp;$O$2&amp;"!G9")</f>
        <v>0</v>
      </c>
      <c r="Q9" s="215">
        <f ca="1">IF(AZ9="active",INDIRECT("[EMPINFO.xlsm]"&amp;$O$2&amp;"!H9"),0)</f>
        <v>0</v>
      </c>
      <c r="R9" s="239">
        <f t="shared" si="22"/>
        <v>8</v>
      </c>
      <c r="S9" s="216">
        <f t="shared" ca="1" si="1"/>
        <v>0</v>
      </c>
      <c r="T9" s="220">
        <f t="shared" ca="1" si="2"/>
        <v>0</v>
      </c>
      <c r="U9" s="218">
        <f t="shared" ca="1" si="3"/>
        <v>0</v>
      </c>
      <c r="V9" s="220">
        <f>+junoth*junhrrt</f>
        <v>0</v>
      </c>
      <c r="W9" s="202">
        <f ca="1">IF(AZ9&lt;&gt;"active",0,(IF(Timer="PT_casual",(BONUSJUN/1040*(BA9+BA8+BA7+BA6+BA5+BA4)),(BONUSJUN*(SUM(AO4:AO9)/SUM(AX4:AX9))*(SUM(Q4:Q9)/240)))))</f>
        <v>0</v>
      </c>
      <c r="X9" s="218">
        <f t="shared" ca="1" si="4"/>
        <v>0</v>
      </c>
      <c r="Y9" s="220">
        <f t="shared" ca="1" si="5"/>
        <v>0</v>
      </c>
      <c r="Z9" s="218">
        <f t="shared" ca="1" si="6"/>
        <v>0</v>
      </c>
      <c r="AA9" s="220">
        <f t="shared" ca="1" si="7"/>
        <v>0</v>
      </c>
      <c r="AB9" s="218">
        <f ca="1">+INDIRECT("[EMPINFO.xlsm]"&amp;$O$2&amp;"!s9")</f>
        <v>0</v>
      </c>
      <c r="AC9" s="292">
        <v>1.5</v>
      </c>
      <c r="AD9" s="218">
        <f t="shared" ca="1" si="8"/>
        <v>0</v>
      </c>
      <c r="AE9" s="220">
        <f t="shared" ca="1" si="9"/>
        <v>0</v>
      </c>
      <c r="AF9" s="218">
        <f t="shared" ca="1" si="10"/>
        <v>0</v>
      </c>
      <c r="AG9" s="220">
        <f t="shared" ca="1" si="11"/>
        <v>0</v>
      </c>
      <c r="AH9" s="218">
        <f t="shared" ca="1" si="12"/>
        <v>0</v>
      </c>
      <c r="AI9" s="220">
        <f t="shared" ca="1" si="13"/>
        <v>0</v>
      </c>
      <c r="AJ9" s="218">
        <f t="shared" ca="1" si="14"/>
        <v>0</v>
      </c>
      <c r="AK9" s="220">
        <f t="shared" ca="1" si="15"/>
        <v>0</v>
      </c>
      <c r="AL9" s="218">
        <f t="shared" ca="1" si="21"/>
        <v>0</v>
      </c>
      <c r="AM9" s="290">
        <f t="shared" ca="1" si="16"/>
        <v>0</v>
      </c>
      <c r="AN9" s="291" t="str">
        <f t="shared" ca="1" si="17"/>
        <v/>
      </c>
      <c r="AO9" s="223">
        <f ca="1">+INDIRECT("[EMPINFO.xlsm]"&amp;$O$2&amp;"!t9")</f>
        <v>0</v>
      </c>
      <c r="AP9" s="226">
        <f ca="1">+INDIRECT("[EMPINFO.xlsm]"&amp;$O$2&amp;"!o9")</f>
        <v>0</v>
      </c>
      <c r="AQ9" s="223">
        <f ca="1">+INDIRECT("[EMPINFO.xlsm]"&amp;$O$2&amp;"!p9")</f>
        <v>8</v>
      </c>
      <c r="AR9" s="226">
        <f ca="1">+INDIRECT("[EMPINFO.xlsm]"&amp;$O$2&amp;"!j9")</f>
        <v>0</v>
      </c>
      <c r="AS9" s="223">
        <f ca="1">+INDIRECT("[EMPINFO.xlsm]"&amp;$O$2&amp;"!k9")</f>
        <v>5.3333333333333339</v>
      </c>
      <c r="AT9" s="226">
        <f ca="1">+INDIRECT("[EMPINFO.xlsm]"&amp;$O$2&amp;"!m9")</f>
        <v>0</v>
      </c>
      <c r="AU9" s="241">
        <f ca="1">+INDIRECT("[EMPINFO.xlsm]"&amp;$O$2&amp;"!n9")</f>
        <v>5.7142857142857144</v>
      </c>
      <c r="AV9" s="244">
        <f t="shared" si="18"/>
        <v>0</v>
      </c>
      <c r="AW9" s="244">
        <f t="shared" si="18"/>
        <v>0</v>
      </c>
      <c r="AX9" s="223">
        <f ca="1">+INDIRECT("[EMPINFO.xlsm]"&amp;$O$2&amp;"!u9")</f>
        <v>30</v>
      </c>
      <c r="AY9" s="215">
        <f ca="1">+INDIRECT("[EMPINFO.xlsm]"&amp;$O$2&amp;"!v9")</f>
        <v>0</v>
      </c>
      <c r="AZ9" s="207" t="str">
        <f ca="1">+INDIRECT("[EMPINFO.xlsm]"&amp;$O$2&amp;"!x9")</f>
        <v>INACTIVE</v>
      </c>
      <c r="BA9" s="241">
        <f ca="1">+INDIRECT("[EMPINFO.xlsm]"&amp;$O$2&amp;"!w9")</f>
        <v>0</v>
      </c>
      <c r="BB9" s="288">
        <f t="shared" ca="1" si="19"/>
        <v>0</v>
      </c>
      <c r="BC9" s="289">
        <f t="shared" ca="1" si="20"/>
        <v>0</v>
      </c>
      <c r="BD9" s="255"/>
      <c r="BE9" s="206"/>
    </row>
    <row r="10" spans="1:62" ht="15.75" customHeight="1" thickBot="1" x14ac:dyDescent="0.3">
      <c r="A10" s="54"/>
      <c r="B10" s="5" t="s">
        <v>142</v>
      </c>
      <c r="C10" s="921" t="str">
        <f>INDEX([1]!empdata,MATCH(ID,[1]!empid,0),20)</f>
        <v>Zabbar</v>
      </c>
      <c r="D10" s="922"/>
      <c r="E10" s="922"/>
      <c r="F10" s="886"/>
      <c r="I10" s="312" t="s">
        <v>143</v>
      </c>
      <c r="L10" s="101"/>
      <c r="M10" s="303"/>
      <c r="N10" s="211">
        <f t="shared" ca="1" si="0"/>
        <v>8</v>
      </c>
      <c r="O10" s="213">
        <f>+DATA!A9</f>
        <v>46204</v>
      </c>
      <c r="P10" s="219">
        <f ca="1">+INDIRECT("[EMPINFO.xlsm]"&amp;$O$2&amp;"!G10")</f>
        <v>0</v>
      </c>
      <c r="Q10" s="215">
        <f ca="1">IF(AZ10="active",INDIRECT("[EMPINFO.xlsm]"&amp;$O$2&amp;"!H10"),0)</f>
        <v>0</v>
      </c>
      <c r="R10" s="239">
        <f t="shared" si="22"/>
        <v>8</v>
      </c>
      <c r="S10" s="216">
        <f t="shared" ca="1" si="1"/>
        <v>0</v>
      </c>
      <c r="T10" s="220">
        <f t="shared" ca="1" si="2"/>
        <v>0</v>
      </c>
      <c r="U10" s="218">
        <f t="shared" ca="1" si="3"/>
        <v>0</v>
      </c>
      <c r="V10" s="220">
        <f>+juloth*julhrrt</f>
        <v>0</v>
      </c>
      <c r="W10" s="201"/>
      <c r="X10" s="218">
        <f t="shared" ca="1" si="4"/>
        <v>0</v>
      </c>
      <c r="Y10" s="220">
        <f t="shared" ca="1" si="5"/>
        <v>0</v>
      </c>
      <c r="Z10" s="218">
        <f t="shared" ca="1" si="6"/>
        <v>0</v>
      </c>
      <c r="AA10" s="220">
        <f t="shared" ca="1" si="7"/>
        <v>0</v>
      </c>
      <c r="AB10" s="218">
        <f ca="1">+INDIRECT("[EMPINFO.xlsm]"&amp;$O$2&amp;"!s10")</f>
        <v>0</v>
      </c>
      <c r="AC10" s="292">
        <v>1.5</v>
      </c>
      <c r="AD10" s="218">
        <f t="shared" ca="1" si="8"/>
        <v>0</v>
      </c>
      <c r="AE10" s="220">
        <f t="shared" ca="1" si="9"/>
        <v>0</v>
      </c>
      <c r="AF10" s="218">
        <f t="shared" ca="1" si="10"/>
        <v>0</v>
      </c>
      <c r="AG10" s="220">
        <f t="shared" ca="1" si="11"/>
        <v>0</v>
      </c>
      <c r="AH10" s="218">
        <f t="shared" ca="1" si="12"/>
        <v>0</v>
      </c>
      <c r="AI10" s="220">
        <f t="shared" ca="1" si="13"/>
        <v>0</v>
      </c>
      <c r="AJ10" s="218">
        <f t="shared" ca="1" si="14"/>
        <v>0</v>
      </c>
      <c r="AK10" s="220">
        <f t="shared" ca="1" si="15"/>
        <v>0</v>
      </c>
      <c r="AL10" s="218">
        <f t="shared" ca="1" si="21"/>
        <v>0</v>
      </c>
      <c r="AM10" s="290">
        <f t="shared" ca="1" si="16"/>
        <v>0</v>
      </c>
      <c r="AN10" s="291" t="str">
        <f t="shared" ca="1" si="17"/>
        <v/>
      </c>
      <c r="AO10" s="223">
        <f ca="1">+INDIRECT("[EMPINFO.xlsm]"&amp;$O$2&amp;"!t10")</f>
        <v>0</v>
      </c>
      <c r="AP10" s="226">
        <f ca="1">+INDIRECT("[EMPINFO.xlsm]"&amp;$O$2&amp;"!o10")</f>
        <v>0</v>
      </c>
      <c r="AQ10" s="223">
        <f ca="1">+INDIRECT("[EMPINFO.xlsm]"&amp;$O$2&amp;"!p10")</f>
        <v>8</v>
      </c>
      <c r="AR10" s="226">
        <f ca="1">+INDIRECT("[EMPINFO.xlsm]"&amp;$O$2&amp;"!j10")</f>
        <v>0</v>
      </c>
      <c r="AS10" s="223">
        <f ca="1">+INDIRECT("[EMPINFO.xlsm]"&amp;$O$2&amp;"!k10")</f>
        <v>5.3333333333333339</v>
      </c>
      <c r="AT10" s="226">
        <f ca="1">+INDIRECT("[EMPINFO.xlsm]"&amp;$O$2&amp;"!m10")</f>
        <v>0</v>
      </c>
      <c r="AU10" s="241">
        <f ca="1">+INDIRECT("[EMPINFO.xlsm]"&amp;$O$2&amp;"!n10")</f>
        <v>5.7142857142857144</v>
      </c>
      <c r="AV10" s="244">
        <f t="shared" si="18"/>
        <v>0</v>
      </c>
      <c r="AW10" s="244">
        <f t="shared" si="18"/>
        <v>0</v>
      </c>
      <c r="AX10" s="223">
        <f ca="1">+INDIRECT("[EMPINFO.xlsm]"&amp;$O$2&amp;"!u10")</f>
        <v>31</v>
      </c>
      <c r="AY10" s="215">
        <f ca="1">+INDIRECT("[EMPINFO.xlsm]"&amp;$O$2&amp;"!v10")</f>
        <v>0</v>
      </c>
      <c r="AZ10" s="207" t="str">
        <f ca="1">+INDIRECT("[EMPINFO.xlsm]"&amp;$O$2&amp;"!x10")</f>
        <v>INACTIVE</v>
      </c>
      <c r="BA10" s="241">
        <f ca="1">+INDIRECT("[EMPINFO.xlsm]"&amp;$O$2&amp;"!w10")</f>
        <v>0</v>
      </c>
      <c r="BB10" s="288">
        <f t="shared" ca="1" si="19"/>
        <v>0</v>
      </c>
      <c r="BC10" s="289">
        <f t="shared" ca="1" si="20"/>
        <v>0</v>
      </c>
      <c r="BD10" s="255"/>
      <c r="BE10" s="206"/>
      <c r="BF10" s="32"/>
      <c r="BH10" s="32"/>
      <c r="BI10" s="30"/>
      <c r="BJ10" s="31"/>
    </row>
    <row r="11" spans="1:62" ht="15.75" customHeight="1" thickBot="1" x14ac:dyDescent="0.3">
      <c r="A11" s="54"/>
      <c r="B11" s="6" t="s">
        <v>144</v>
      </c>
      <c r="C11" s="921" t="str">
        <f>INDEX([1]!empdata,MATCH(ID,[1]!empid,0),21)</f>
        <v>ZBR1395</v>
      </c>
      <c r="D11" s="922"/>
      <c r="E11" s="922"/>
      <c r="F11" s="886"/>
      <c r="H11" s="312" t="s">
        <v>31</v>
      </c>
      <c r="I11" s="927" t="str">
        <f>INDEX([1]!empdata,MATCH(ID,[1]!empid,0),7)</f>
        <v>176780M</v>
      </c>
      <c r="J11" s="859"/>
      <c r="K11" s="857"/>
      <c r="L11" s="101"/>
      <c r="M11" s="303"/>
      <c r="N11" s="211">
        <f t="shared" ca="1" si="0"/>
        <v>8</v>
      </c>
      <c r="O11" s="213">
        <f>+DATA!A10</f>
        <v>46235</v>
      </c>
      <c r="P11" s="219">
        <f ca="1">+INDIRECT("[EMPINFO.xlsm]"&amp;$O$2&amp;"!G11")</f>
        <v>0</v>
      </c>
      <c r="Q11" s="215">
        <f ca="1">IF(AZ11="active",INDIRECT("[EMPINFO.xlsm]"&amp;$O$2&amp;"!H11"),0)</f>
        <v>0</v>
      </c>
      <c r="R11" s="239">
        <f t="shared" si="22"/>
        <v>8</v>
      </c>
      <c r="S11" s="216">
        <f t="shared" ca="1" si="1"/>
        <v>0</v>
      </c>
      <c r="T11" s="220">
        <f t="shared" ca="1" si="2"/>
        <v>0</v>
      </c>
      <c r="U11" s="218">
        <f t="shared" ca="1" si="3"/>
        <v>0</v>
      </c>
      <c r="V11" s="220">
        <f>+augoth*aughrrt</f>
        <v>0</v>
      </c>
      <c r="W11" s="201"/>
      <c r="X11" s="218">
        <f t="shared" ca="1" si="4"/>
        <v>0</v>
      </c>
      <c r="Y11" s="220">
        <f t="shared" ca="1" si="5"/>
        <v>0</v>
      </c>
      <c r="Z11" s="218">
        <f t="shared" ca="1" si="6"/>
        <v>0</v>
      </c>
      <c r="AA11" s="220">
        <f t="shared" ca="1" si="7"/>
        <v>0</v>
      </c>
      <c r="AB11" s="218">
        <f ca="1">+INDIRECT("[EMPINFO.xlsm]"&amp;$O$2&amp;"!s11")</f>
        <v>0</v>
      </c>
      <c r="AC11" s="292">
        <v>1.5</v>
      </c>
      <c r="AD11" s="218">
        <f t="shared" ca="1" si="8"/>
        <v>0</v>
      </c>
      <c r="AE11" s="220">
        <f t="shared" ca="1" si="9"/>
        <v>0</v>
      </c>
      <c r="AF11" s="218">
        <f t="shared" ca="1" si="10"/>
        <v>0</v>
      </c>
      <c r="AG11" s="220">
        <f t="shared" ca="1" si="11"/>
        <v>0</v>
      </c>
      <c r="AH11" s="218">
        <f t="shared" ca="1" si="12"/>
        <v>0</v>
      </c>
      <c r="AI11" s="220">
        <f t="shared" ca="1" si="13"/>
        <v>0</v>
      </c>
      <c r="AJ11" s="218">
        <f t="shared" ca="1" si="14"/>
        <v>0</v>
      </c>
      <c r="AK11" s="220">
        <f t="shared" ca="1" si="15"/>
        <v>0</v>
      </c>
      <c r="AL11" s="218">
        <f t="shared" ca="1" si="21"/>
        <v>0</v>
      </c>
      <c r="AM11" s="290">
        <f t="shared" ca="1" si="16"/>
        <v>0</v>
      </c>
      <c r="AN11" s="291" t="str">
        <f t="shared" ca="1" si="17"/>
        <v/>
      </c>
      <c r="AO11" s="223">
        <f ca="1">+INDIRECT("[EMPINFO.xlsm]"&amp;$O$2&amp;"!t11")</f>
        <v>0</v>
      </c>
      <c r="AP11" s="226">
        <f ca="1">+INDIRECT("[EMPINFO.xlsm]"&amp;$O$2&amp;"!o11")</f>
        <v>40</v>
      </c>
      <c r="AQ11" s="223">
        <f ca="1">+INDIRECT("[EMPINFO.xlsm]"&amp;$O$2&amp;"!p11")</f>
        <v>48</v>
      </c>
      <c r="AR11" s="226">
        <f ca="1">+INDIRECT("[EMPINFO.xlsm]"&amp;$O$2&amp;"!j11")</f>
        <v>0</v>
      </c>
      <c r="AS11" s="223">
        <f ca="1">+INDIRECT("[EMPINFO.xlsm]"&amp;$O$2&amp;"!k11")</f>
        <v>5.3333333333333339</v>
      </c>
      <c r="AT11" s="226">
        <f ca="1">+INDIRECT("[EMPINFO.xlsm]"&amp;$O$2&amp;"!m11")</f>
        <v>0</v>
      </c>
      <c r="AU11" s="241">
        <f ca="1">+INDIRECT("[EMPINFO.xlsm]"&amp;$O$2&amp;"!n11")</f>
        <v>5.7142857142857144</v>
      </c>
      <c r="AV11" s="244">
        <f t="shared" si="18"/>
        <v>0</v>
      </c>
      <c r="AW11" s="244">
        <f t="shared" si="18"/>
        <v>0</v>
      </c>
      <c r="AX11" s="223">
        <f ca="1">+INDIRECT("[EMPINFO.xlsm]"&amp;$O$2&amp;"!u11")</f>
        <v>31</v>
      </c>
      <c r="AY11" s="215">
        <f ca="1">+INDIRECT("[EMPINFO.xlsm]"&amp;$O$2&amp;"!v11")</f>
        <v>0</v>
      </c>
      <c r="AZ11" s="207" t="str">
        <f ca="1">+INDIRECT("[EMPINFO.xlsm]"&amp;$O$2&amp;"!x11")</f>
        <v>INACTIVE</v>
      </c>
      <c r="BA11" s="241">
        <f ca="1">+INDIRECT("[EMPINFO.xlsm]"&amp;$O$2&amp;"!w11")</f>
        <v>0</v>
      </c>
      <c r="BB11" s="288">
        <f t="shared" ca="1" si="19"/>
        <v>0</v>
      </c>
      <c r="BC11" s="289">
        <f t="shared" ca="1" si="20"/>
        <v>0</v>
      </c>
      <c r="BD11" s="255"/>
      <c r="BE11" s="206"/>
      <c r="BF11" s="27"/>
      <c r="BH11" s="27"/>
    </row>
    <row r="12" spans="1:62" ht="17.45" customHeight="1" thickBot="1" x14ac:dyDescent="0.3">
      <c r="A12" s="313"/>
      <c r="B12" s="91" t="s">
        <v>14</v>
      </c>
      <c r="C12" s="945">
        <f>INDEX([1]!empdata,MATCH(ID,[1]!empid,0),10)</f>
        <v>99367693</v>
      </c>
      <c r="D12" s="946"/>
      <c r="E12" s="946"/>
      <c r="F12" s="947"/>
      <c r="G12" s="85"/>
      <c r="H12" s="85"/>
      <c r="I12" s="85"/>
      <c r="J12" s="85"/>
      <c r="K12" s="85"/>
      <c r="L12" s="314"/>
      <c r="M12" s="303"/>
      <c r="N12" s="211">
        <f t="shared" ca="1" si="0"/>
        <v>8</v>
      </c>
      <c r="O12" s="213">
        <f>+DATA!A11</f>
        <v>46266</v>
      </c>
      <c r="P12" s="219">
        <f ca="1">+INDIRECT("[EMPINFO.xlsm]"&amp;$O$2&amp;"!G12")</f>
        <v>0</v>
      </c>
      <c r="Q12" s="215">
        <f ca="1">IF(AZ12="active",INDIRECT("[EMPINFO.xlsm]"&amp;$O$2&amp;"!H12"),0)</f>
        <v>0</v>
      </c>
      <c r="R12" s="239">
        <f t="shared" si="22"/>
        <v>8</v>
      </c>
      <c r="S12" s="216">
        <f t="shared" ca="1" si="1"/>
        <v>0</v>
      </c>
      <c r="T12" s="220">
        <f t="shared" ca="1" si="2"/>
        <v>0</v>
      </c>
      <c r="U12" s="218">
        <f t="shared" ca="1" si="3"/>
        <v>0</v>
      </c>
      <c r="V12" s="220">
        <f>+sepoth*sephrrt</f>
        <v>0</v>
      </c>
      <c r="W12" s="202">
        <f ca="1">IF(AZ12&lt;&gt;"active",0,(IF(Timer="PT_casual",(bonussep/1040*(BA7:BA12)),(bonussep*(SUM(AO7:AO12)/SUM(AX7:AX12))*(SUM(Q7:Q12)/240)))))</f>
        <v>0</v>
      </c>
      <c r="X12" s="218">
        <f t="shared" ca="1" si="4"/>
        <v>0</v>
      </c>
      <c r="Y12" s="220">
        <f t="shared" ca="1" si="5"/>
        <v>0</v>
      </c>
      <c r="Z12" s="218">
        <f t="shared" ca="1" si="6"/>
        <v>0</v>
      </c>
      <c r="AA12" s="220">
        <f t="shared" ca="1" si="7"/>
        <v>0</v>
      </c>
      <c r="AB12" s="218">
        <f ca="1">+INDIRECT("[EMPINFO.xlsm]"&amp;$O$2&amp;"!s12")</f>
        <v>0</v>
      </c>
      <c r="AC12" s="292">
        <v>1.5</v>
      </c>
      <c r="AD12" s="218">
        <f t="shared" ca="1" si="8"/>
        <v>0</v>
      </c>
      <c r="AE12" s="220">
        <f t="shared" ca="1" si="9"/>
        <v>0</v>
      </c>
      <c r="AF12" s="218">
        <f t="shared" ca="1" si="10"/>
        <v>0</v>
      </c>
      <c r="AG12" s="220">
        <f t="shared" ca="1" si="11"/>
        <v>0</v>
      </c>
      <c r="AH12" s="218">
        <f t="shared" ca="1" si="12"/>
        <v>0</v>
      </c>
      <c r="AI12" s="220">
        <f t="shared" ca="1" si="13"/>
        <v>0</v>
      </c>
      <c r="AJ12" s="218">
        <f t="shared" ca="1" si="14"/>
        <v>0</v>
      </c>
      <c r="AK12" s="220">
        <f t="shared" ca="1" si="15"/>
        <v>0</v>
      </c>
      <c r="AL12" s="218">
        <f t="shared" ca="1" si="21"/>
        <v>0</v>
      </c>
      <c r="AM12" s="290">
        <f t="shared" ca="1" si="16"/>
        <v>0</v>
      </c>
      <c r="AN12" s="291" t="str">
        <f t="shared" ca="1" si="17"/>
        <v/>
      </c>
      <c r="AO12" s="223">
        <f ca="1">+INDIRECT("[EMPINFO.xlsm]"&amp;$O$2&amp;"!t12")</f>
        <v>0</v>
      </c>
      <c r="AP12" s="226">
        <f ca="1">+INDIRECT("[EMPINFO.xlsm]"&amp;$O$2&amp;"!o12")</f>
        <v>0</v>
      </c>
      <c r="AQ12" s="223">
        <f ca="1">+INDIRECT("[EMPINFO.xlsm]"&amp;$O$2&amp;"!p12")</f>
        <v>48</v>
      </c>
      <c r="AR12" s="226">
        <f ca="1">+INDIRECT("[EMPINFO.xlsm]"&amp;$O$2&amp;"!j12")</f>
        <v>0</v>
      </c>
      <c r="AS12" s="223">
        <f ca="1">+INDIRECT("[EMPINFO.xlsm]"&amp;$O$2&amp;"!k12")</f>
        <v>5.3333333333333339</v>
      </c>
      <c r="AT12" s="226">
        <f ca="1">+INDIRECT("[EMPINFO.xlsm]"&amp;$O$2&amp;"!m12")</f>
        <v>0</v>
      </c>
      <c r="AU12" s="241">
        <f ca="1">+INDIRECT("[EMPINFO.xlsm]"&amp;$O$2&amp;"!n12")</f>
        <v>5.7142857142857144</v>
      </c>
      <c r="AV12" s="244">
        <f t="shared" si="18"/>
        <v>0</v>
      </c>
      <c r="AW12" s="244">
        <f t="shared" si="18"/>
        <v>0</v>
      </c>
      <c r="AX12" s="223">
        <f ca="1">+INDIRECT("[EMPINFO.xlsm]"&amp;$O$2&amp;"!u12")</f>
        <v>30</v>
      </c>
      <c r="AY12" s="215">
        <f ca="1">+INDIRECT("[EMPINFO.xlsm]"&amp;$O$2&amp;"!v12")</f>
        <v>0</v>
      </c>
      <c r="AZ12" s="207" t="str">
        <f ca="1">+INDIRECT("[EMPINFO.xlsm]"&amp;$O$2&amp;"!x12")</f>
        <v>INACTIVE</v>
      </c>
      <c r="BA12" s="241">
        <f ca="1">+INDIRECT("[EMPINFO.xlsm]"&amp;$O$2&amp;"!w12")</f>
        <v>0</v>
      </c>
      <c r="BB12" s="288">
        <f t="shared" ca="1" si="19"/>
        <v>0</v>
      </c>
      <c r="BC12" s="289">
        <f t="shared" ca="1" si="20"/>
        <v>0</v>
      </c>
      <c r="BD12" s="255"/>
      <c r="BE12" s="206"/>
    </row>
    <row r="13" spans="1:62" ht="15.75" customHeight="1" thickBot="1" x14ac:dyDescent="0.3">
      <c r="A13" s="54"/>
      <c r="L13" s="101"/>
      <c r="M13" s="303"/>
      <c r="N13" s="211">
        <f t="shared" ca="1" si="0"/>
        <v>8</v>
      </c>
      <c r="O13" s="213">
        <f>+DATA!A12</f>
        <v>46296</v>
      </c>
      <c r="P13" s="219">
        <f ca="1">+INDIRECT("[EMPINFO.xlsm]"&amp;$O$2&amp;"!G13")</f>
        <v>0</v>
      </c>
      <c r="Q13" s="215">
        <f ca="1">IF(AZ13="active",INDIRECT("[EMPINFO.xlsm]"&amp;$O$2&amp;"!H13"),0)</f>
        <v>0</v>
      </c>
      <c r="R13" s="239">
        <f t="shared" si="22"/>
        <v>8</v>
      </c>
      <c r="S13" s="216">
        <f t="shared" ca="1" si="1"/>
        <v>0</v>
      </c>
      <c r="T13" s="220">
        <f t="shared" ca="1" si="2"/>
        <v>0</v>
      </c>
      <c r="U13" s="218">
        <f t="shared" ca="1" si="3"/>
        <v>0</v>
      </c>
      <c r="V13" s="220">
        <f>+octoth*octhrrt</f>
        <v>0</v>
      </c>
      <c r="W13" s="201"/>
      <c r="X13" s="218">
        <f t="shared" ca="1" si="4"/>
        <v>0</v>
      </c>
      <c r="Y13" s="220">
        <f t="shared" ca="1" si="5"/>
        <v>0</v>
      </c>
      <c r="Z13" s="218">
        <f t="shared" ca="1" si="6"/>
        <v>0</v>
      </c>
      <c r="AA13" s="220">
        <f t="shared" ca="1" si="7"/>
        <v>0</v>
      </c>
      <c r="AB13" s="218">
        <f ca="1">+INDIRECT("[EMPINFO.xlsm]"&amp;$O$2&amp;"!s13")</f>
        <v>0</v>
      </c>
      <c r="AC13" s="292">
        <v>1.5</v>
      </c>
      <c r="AD13" s="218">
        <f t="shared" ca="1" si="8"/>
        <v>0</v>
      </c>
      <c r="AE13" s="220">
        <f t="shared" ca="1" si="9"/>
        <v>0</v>
      </c>
      <c r="AF13" s="218">
        <f t="shared" ca="1" si="10"/>
        <v>0</v>
      </c>
      <c r="AG13" s="220">
        <f t="shared" ca="1" si="11"/>
        <v>0</v>
      </c>
      <c r="AH13" s="218">
        <f t="shared" ca="1" si="12"/>
        <v>0</v>
      </c>
      <c r="AI13" s="220">
        <f t="shared" ca="1" si="13"/>
        <v>0</v>
      </c>
      <c r="AJ13" s="218">
        <f t="shared" ca="1" si="14"/>
        <v>0</v>
      </c>
      <c r="AK13" s="220">
        <f t="shared" ca="1" si="15"/>
        <v>0</v>
      </c>
      <c r="AL13" s="218">
        <f t="shared" ca="1" si="21"/>
        <v>0</v>
      </c>
      <c r="AM13" s="290">
        <f t="shared" ca="1" si="16"/>
        <v>0</v>
      </c>
      <c r="AN13" s="291" t="str">
        <f t="shared" ca="1" si="17"/>
        <v/>
      </c>
      <c r="AO13" s="223">
        <f ca="1">+INDIRECT("[EMPINFO.xlsm]"&amp;$O$2&amp;"!t13")</f>
        <v>0</v>
      </c>
      <c r="AP13" s="226">
        <f ca="1">+INDIRECT("[EMPINFO.xlsm]"&amp;$O$2&amp;"!o13")</f>
        <v>0</v>
      </c>
      <c r="AQ13" s="223">
        <f ca="1">+INDIRECT("[EMPINFO.xlsm]"&amp;$O$2&amp;"!p13")</f>
        <v>48</v>
      </c>
      <c r="AR13" s="226">
        <f ca="1">+INDIRECT("[EMPINFO.xlsm]"&amp;$O$2&amp;"!j13")</f>
        <v>0</v>
      </c>
      <c r="AS13" s="223">
        <f ca="1">+INDIRECT("[EMPINFO.xlsm]"&amp;$O$2&amp;"!k13")</f>
        <v>5.3333333333333339</v>
      </c>
      <c r="AT13" s="226">
        <f ca="1">+INDIRECT("[EMPINFO.xlsm]"&amp;$O$2&amp;"!m13")</f>
        <v>0</v>
      </c>
      <c r="AU13" s="241">
        <f ca="1">+INDIRECT("[EMPINFO.xlsm]"&amp;$O$2&amp;"!n13")</f>
        <v>5.7142857142857144</v>
      </c>
      <c r="AV13" s="244">
        <f t="shared" si="18"/>
        <v>0</v>
      </c>
      <c r="AW13" s="244">
        <f t="shared" si="18"/>
        <v>0</v>
      </c>
      <c r="AX13" s="223">
        <f ca="1">+INDIRECT("[EMPINFO.xlsm]"&amp;$O$2&amp;"!u13")</f>
        <v>31</v>
      </c>
      <c r="AY13" s="215">
        <f ca="1">+INDIRECT("[EMPINFO.xlsm]"&amp;$O$2&amp;"!v13")</f>
        <v>0</v>
      </c>
      <c r="AZ13" s="207" t="str">
        <f ca="1">+INDIRECT("[EMPINFO.xlsm]"&amp;$O$2&amp;"!x13")</f>
        <v>INACTIVE</v>
      </c>
      <c r="BA13" s="241">
        <f ca="1">+INDIRECT("[EMPINFO.xlsm]"&amp;$O$2&amp;"!w13")</f>
        <v>0</v>
      </c>
      <c r="BB13" s="288">
        <f t="shared" ca="1" si="19"/>
        <v>0</v>
      </c>
      <c r="BC13" s="289">
        <f t="shared" ca="1" si="20"/>
        <v>0</v>
      </c>
      <c r="BD13" s="255"/>
      <c r="BE13" s="206"/>
    </row>
    <row r="14" spans="1:62" ht="23.25" customHeight="1" thickBot="1" x14ac:dyDescent="0.3">
      <c r="A14" s="69" t="s">
        <v>32</v>
      </c>
      <c r="B14" s="937" t="s">
        <v>145</v>
      </c>
      <c r="C14" s="938"/>
      <c r="D14" s="939"/>
      <c r="E14" s="70" t="s">
        <v>146</v>
      </c>
      <c r="F14" s="450">
        <f>IF(StartEmp&gt;O4,StartEmp,O4)</f>
        <v>46069</v>
      </c>
      <c r="G14" s="451"/>
      <c r="H14" s="71" t="s">
        <v>147</v>
      </c>
      <c r="I14" s="452">
        <f>+TERMDATE</f>
        <v>46076</v>
      </c>
      <c r="J14" s="453"/>
      <c r="K14" s="454"/>
      <c r="L14" s="63"/>
      <c r="M14" s="303"/>
      <c r="N14" s="211">
        <f t="shared" ca="1" si="0"/>
        <v>8</v>
      </c>
      <c r="O14" s="213">
        <f>+DATA!A13</f>
        <v>46327</v>
      </c>
      <c r="P14" s="219">
        <f ca="1">+INDIRECT("[EMPINFO.xlsm]"&amp;$O$2&amp;"!G14")</f>
        <v>0</v>
      </c>
      <c r="Q14" s="215">
        <f ca="1">IF(AZ14="active",INDIRECT("[EMPINFO.xlsm]"&amp;$O$2&amp;"!H14"),0)</f>
        <v>0</v>
      </c>
      <c r="R14" s="239">
        <f t="shared" si="22"/>
        <v>8</v>
      </c>
      <c r="S14" s="216">
        <f t="shared" ca="1" si="1"/>
        <v>0</v>
      </c>
      <c r="T14" s="220">
        <f t="shared" ca="1" si="2"/>
        <v>0</v>
      </c>
      <c r="U14" s="218">
        <f t="shared" ca="1" si="3"/>
        <v>0</v>
      </c>
      <c r="V14" s="220">
        <f>+novoth*novhrrt</f>
        <v>0</v>
      </c>
      <c r="W14" s="201"/>
      <c r="X14" s="218">
        <f t="shared" ca="1" si="4"/>
        <v>0</v>
      </c>
      <c r="Y14" s="220">
        <f t="shared" ca="1" si="5"/>
        <v>0</v>
      </c>
      <c r="Z14" s="218">
        <f t="shared" ca="1" si="6"/>
        <v>0</v>
      </c>
      <c r="AA14" s="220">
        <f t="shared" ca="1" si="7"/>
        <v>0</v>
      </c>
      <c r="AB14" s="218">
        <f ca="1">+INDIRECT("[EMPINFO.xlsm]"&amp;$O$2&amp;"!s14")</f>
        <v>0</v>
      </c>
      <c r="AC14" s="292">
        <v>1.5</v>
      </c>
      <c r="AD14" s="218">
        <f t="shared" ca="1" si="8"/>
        <v>0</v>
      </c>
      <c r="AE14" s="220">
        <f t="shared" ca="1" si="9"/>
        <v>0</v>
      </c>
      <c r="AF14" s="218">
        <f t="shared" ca="1" si="10"/>
        <v>0</v>
      </c>
      <c r="AG14" s="220">
        <f t="shared" ca="1" si="11"/>
        <v>0</v>
      </c>
      <c r="AH14" s="218">
        <f t="shared" ca="1" si="12"/>
        <v>0</v>
      </c>
      <c r="AI14" s="220">
        <f t="shared" ca="1" si="13"/>
        <v>0</v>
      </c>
      <c r="AJ14" s="218">
        <f t="shared" ca="1" si="14"/>
        <v>0</v>
      </c>
      <c r="AK14" s="220">
        <f t="shared" ca="1" si="15"/>
        <v>0</v>
      </c>
      <c r="AL14" s="218">
        <f t="shared" ca="1" si="21"/>
        <v>0</v>
      </c>
      <c r="AM14" s="290">
        <f t="shared" ca="1" si="16"/>
        <v>0</v>
      </c>
      <c r="AN14" s="291" t="str">
        <f t="shared" ca="1" si="17"/>
        <v/>
      </c>
      <c r="AO14" s="223">
        <f ca="1">+INDIRECT("[EMPINFO.xlsm]"&amp;$O$2&amp;"!t14")</f>
        <v>0</v>
      </c>
      <c r="AP14" s="226">
        <f ca="1">+INDIRECT("[EMPINFO.xlsm]"&amp;$O$2&amp;"!o14")</f>
        <v>0</v>
      </c>
      <c r="AQ14" s="223">
        <f ca="1">+INDIRECT("[EMPINFO.xlsm]"&amp;$O$2&amp;"!p14")</f>
        <v>48</v>
      </c>
      <c r="AR14" s="226">
        <f ca="1">+INDIRECT("[EMPINFO.xlsm]"&amp;$O$2&amp;"!j14")</f>
        <v>0</v>
      </c>
      <c r="AS14" s="223">
        <f ca="1">+INDIRECT("[EMPINFO.xlsm]"&amp;$O$2&amp;"!k14")</f>
        <v>5.3333333333333339</v>
      </c>
      <c r="AT14" s="226">
        <f ca="1">+INDIRECT("[EMPINFO.xlsm]"&amp;$O$2&amp;"!m14")</f>
        <v>0</v>
      </c>
      <c r="AU14" s="241">
        <f ca="1">+INDIRECT("[EMPINFO.xlsm]"&amp;$O$2&amp;"!n14")</f>
        <v>5.7142857142857144</v>
      </c>
      <c r="AV14" s="244">
        <f t="shared" si="18"/>
        <v>0</v>
      </c>
      <c r="AW14" s="244">
        <f t="shared" si="18"/>
        <v>0</v>
      </c>
      <c r="AX14" s="223">
        <f ca="1">+INDIRECT("[EMPINFO.xlsm]"&amp;$O$2&amp;"!u14")</f>
        <v>30</v>
      </c>
      <c r="AY14" s="215">
        <f ca="1">+INDIRECT("[EMPINFO.xlsm]"&amp;$O$2&amp;"!v14")</f>
        <v>0</v>
      </c>
      <c r="AZ14" s="207" t="str">
        <f ca="1">+INDIRECT("[EMPINFO.xlsm]"&amp;$O$2&amp;"!x14")</f>
        <v>INACTIVE</v>
      </c>
      <c r="BA14" s="241">
        <f ca="1">+INDIRECT("[EMPINFO.xlsm]"&amp;$O$2&amp;"!w14")</f>
        <v>0</v>
      </c>
      <c r="BB14" s="288">
        <f t="shared" ca="1" si="19"/>
        <v>0</v>
      </c>
      <c r="BC14" s="289">
        <f t="shared" ca="1" si="20"/>
        <v>0</v>
      </c>
      <c r="BD14" s="255"/>
      <c r="BE14" s="206"/>
      <c r="BF14" s="32"/>
      <c r="BH14" s="32"/>
    </row>
    <row r="15" spans="1:62" ht="15.75" customHeight="1" thickBot="1" x14ac:dyDescent="0.3">
      <c r="A15" s="54"/>
      <c r="L15" s="101"/>
      <c r="M15" s="303"/>
      <c r="N15" s="211">
        <f t="shared" ca="1" si="0"/>
        <v>8</v>
      </c>
      <c r="O15" s="213">
        <f>+DATA!A14</f>
        <v>46357</v>
      </c>
      <c r="P15" s="219">
        <f ca="1">+INDIRECT("[EMPINFO.xlsm]"&amp;$O$2&amp;"!G15")</f>
        <v>0</v>
      </c>
      <c r="Q15" s="215">
        <f ca="1">IF(AZ15="active",INDIRECT("[EMPINFO.xlsm]"&amp;$O$2&amp;"!H15"),0)</f>
        <v>0</v>
      </c>
      <c r="R15" s="239">
        <f t="shared" si="22"/>
        <v>8</v>
      </c>
      <c r="S15" s="216">
        <f t="shared" ca="1" si="1"/>
        <v>0</v>
      </c>
      <c r="T15" s="220">
        <f t="shared" ca="1" si="2"/>
        <v>0</v>
      </c>
      <c r="U15" s="218">
        <f t="shared" ca="1" si="3"/>
        <v>0</v>
      </c>
      <c r="V15" s="220">
        <f>+decoth*dechrrt</f>
        <v>0</v>
      </c>
      <c r="W15" s="202">
        <f ca="1">IF(AZ15&lt;&gt;"active",0,(IF(Timer="PT_casual",(bonusdec/1040*(BA10:BA15)),(bonusdec*(SUM(AO10:AO15)/SUM(AX10:AX15))*(SUM(Q10:Q15)/240)))))</f>
        <v>0</v>
      </c>
      <c r="X15" s="218">
        <f t="shared" ca="1" si="4"/>
        <v>0</v>
      </c>
      <c r="Y15" s="220">
        <f t="shared" ca="1" si="5"/>
        <v>0</v>
      </c>
      <c r="Z15" s="218">
        <f t="shared" ca="1" si="6"/>
        <v>0</v>
      </c>
      <c r="AA15" s="220">
        <f t="shared" ca="1" si="7"/>
        <v>0</v>
      </c>
      <c r="AB15" s="218">
        <f ca="1">+INDIRECT("[EMPINFO.xlsm]"&amp;$O$2&amp;"!s15")</f>
        <v>0</v>
      </c>
      <c r="AC15" s="292">
        <v>1.5</v>
      </c>
      <c r="AD15" s="218">
        <f t="shared" ca="1" si="8"/>
        <v>0</v>
      </c>
      <c r="AE15" s="220">
        <f t="shared" ca="1" si="9"/>
        <v>0</v>
      </c>
      <c r="AF15" s="218">
        <f t="shared" ca="1" si="10"/>
        <v>0</v>
      </c>
      <c r="AG15" s="220">
        <f t="shared" ca="1" si="11"/>
        <v>0</v>
      </c>
      <c r="AH15" s="218">
        <f t="shared" ca="1" si="12"/>
        <v>0</v>
      </c>
      <c r="AI15" s="220">
        <f t="shared" ca="1" si="13"/>
        <v>0</v>
      </c>
      <c r="AJ15" s="218">
        <f t="shared" ca="1" si="14"/>
        <v>0</v>
      </c>
      <c r="AK15" s="220">
        <f t="shared" ca="1" si="15"/>
        <v>0</v>
      </c>
      <c r="AL15" s="218">
        <f t="shared" ca="1" si="21"/>
        <v>0</v>
      </c>
      <c r="AM15" s="290">
        <f t="shared" ca="1" si="16"/>
        <v>0</v>
      </c>
      <c r="AN15" s="291" t="str">
        <f t="shared" ca="1" si="17"/>
        <v/>
      </c>
      <c r="AO15" s="223">
        <f ca="1">+INDIRECT("[EMPINFO.xlsm]"&amp;$O$2&amp;"!t15")</f>
        <v>0</v>
      </c>
      <c r="AP15" s="226">
        <f ca="1">+INDIRECT("[EMPINFO.xlsm]"&amp;$O$2&amp;"!o15")</f>
        <v>0</v>
      </c>
      <c r="AQ15" s="223">
        <f ca="1">+INDIRECT("[EMPINFO.xlsm]"&amp;$O$2&amp;"!p15")</f>
        <v>48</v>
      </c>
      <c r="AR15" s="226">
        <f ca="1">+INDIRECT("[EMPINFO.xlsm]"&amp;$O$2&amp;"!j15")</f>
        <v>0</v>
      </c>
      <c r="AS15" s="223">
        <f ca="1">+INDIRECT("[EMPINFO.xlsm]"&amp;$O$2&amp;"!k15")</f>
        <v>5.3333333333333339</v>
      </c>
      <c r="AT15" s="226">
        <f ca="1">+INDIRECT("[EMPINFO.xlsm]"&amp;$O$2&amp;"!m15")</f>
        <v>0</v>
      </c>
      <c r="AU15" s="241">
        <f ca="1">+INDIRECT("[EMPINFO.xlsm]"&amp;$O$2&amp;"!n15")</f>
        <v>5.7142857142857144</v>
      </c>
      <c r="AV15" s="244">
        <f t="shared" si="18"/>
        <v>0</v>
      </c>
      <c r="AW15" s="244">
        <f t="shared" si="18"/>
        <v>0</v>
      </c>
      <c r="AX15" s="223">
        <f ca="1">+INDIRECT("[EMPINFO.xlsm]"&amp;$O$2&amp;"!u15")</f>
        <v>31</v>
      </c>
      <c r="AY15" s="215">
        <f ca="1">+INDIRECT("[EMPINFO.xlsm]"&amp;$O$2&amp;"!v15")</f>
        <v>0</v>
      </c>
      <c r="AZ15" s="207" t="str">
        <f ca="1">+INDIRECT("[EMPINFO.xlsm]"&amp;$O$2&amp;"!x15")</f>
        <v>INACTIVE</v>
      </c>
      <c r="BA15" s="241">
        <f ca="1">+INDIRECT("[EMPINFO.xlsm]"&amp;$O$2&amp;"!w15")</f>
        <v>0</v>
      </c>
      <c r="BB15" s="288">
        <f t="shared" ca="1" si="19"/>
        <v>0</v>
      </c>
      <c r="BC15" s="289">
        <f t="shared" ca="1" si="20"/>
        <v>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2</v>
      </c>
      <c r="Q16" s="222"/>
      <c r="R16" s="209"/>
      <c r="S16" s="217">
        <f t="shared" ref="S16:AA16" ca="1" si="23">SUM(S4:S15)</f>
        <v>396.19047619047586</v>
      </c>
      <c r="T16" s="221">
        <f t="shared" ca="1" si="23"/>
        <v>0</v>
      </c>
      <c r="U16" s="217">
        <f t="shared" ca="1" si="23"/>
        <v>0</v>
      </c>
      <c r="V16" s="221">
        <f t="shared" ca="1" si="23"/>
        <v>0</v>
      </c>
      <c r="W16" s="217">
        <f t="shared" ca="1" si="23"/>
        <v>0</v>
      </c>
      <c r="X16" s="217">
        <f t="shared" ca="1" si="23"/>
        <v>0</v>
      </c>
      <c r="Y16" s="221">
        <f t="shared" ca="1" si="23"/>
        <v>0</v>
      </c>
      <c r="Z16" s="217">
        <f t="shared" ca="1" si="23"/>
        <v>396.19047619047586</v>
      </c>
      <c r="AA16" s="221">
        <f t="shared" ca="1" si="23"/>
        <v>0</v>
      </c>
      <c r="AB16" s="217">
        <f ca="1">+INDIRECT("[EMPINFO.xlsm]"&amp;$O$2&amp;"!S16")</f>
        <v>0</v>
      </c>
      <c r="AC16" s="221" t="s">
        <v>150</v>
      </c>
      <c r="AD16" s="217">
        <f ca="1">SUM(AD4:AD15)</f>
        <v>0</v>
      </c>
      <c r="AE16" s="221">
        <f ca="1">SUM(AE4:AE15)</f>
        <v>0</v>
      </c>
      <c r="AF16" s="217">
        <f ca="1">SUM(AF4:AF15)</f>
        <v>0</v>
      </c>
      <c r="AG16" s="221"/>
      <c r="AH16" s="217">
        <f ca="1">SUM(AH4:AH15)</f>
        <v>64</v>
      </c>
      <c r="AI16" s="220">
        <f ca="1">SUM(AI4:AI15)</f>
        <v>64</v>
      </c>
      <c r="AJ16" s="217">
        <f t="shared" ca="1" si="14"/>
        <v>128</v>
      </c>
      <c r="AK16" s="266">
        <f ca="1">SUM(AK4:AK15)</f>
        <v>1.92</v>
      </c>
      <c r="AL16" s="217">
        <f ca="1">+SUM(AL4:AL15)</f>
        <v>462.11047619047588</v>
      </c>
      <c r="AM16" s="298"/>
      <c r="AN16" s="297"/>
      <c r="AO16" s="224">
        <f ca="1">+INDIRECT("[EMPINFO.xlsm]"&amp;$O$2&amp;"!T16")</f>
        <v>8</v>
      </c>
      <c r="AP16" s="299">
        <f>+[1]RGaldes!O16</f>
        <v>0</v>
      </c>
      <c r="AQ16" s="224">
        <f ca="1">+INDIRECT("[EMPINFO.xlsm]"&amp;$O$2&amp;"!p16")</f>
        <v>48</v>
      </c>
      <c r="AR16" s="299"/>
      <c r="AS16" s="224">
        <f ca="1">+INDIRECT("[EMPINFO.xlsm]"&amp;$O$2&amp;"!k16")</f>
        <v>5.3333333333333339</v>
      </c>
      <c r="AT16" s="299">
        <f ca="1">+INDIRECT("[EMPINFO.xlsm]"&amp;$O$2&amp;"!m16")</f>
        <v>0</v>
      </c>
      <c r="AU16" s="224">
        <f ca="1">+INDIRECT("[EMPINFO.xlsm]"&amp;$O$2&amp;"!n16")</f>
        <v>5.7142857142857144</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396</v>
      </c>
      <c r="I17" s="456"/>
      <c r="K17" s="317" t="s">
        <v>151</v>
      </c>
      <c r="L17" s="101"/>
      <c r="M17" s="256"/>
      <c r="N17" s="257" t="s">
        <v>152</v>
      </c>
      <c r="O17" s="258">
        <f ca="1">+Med_Tot</f>
        <v>396.19047619047586</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48</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0</v>
      </c>
      <c r="O19" s="894" t="str">
        <f>Surname&amp;" "&amp;Name</f>
        <v>Scerri_Esposito Natasha</v>
      </c>
      <c r="P19" s="374" t="str">
        <f>+IDCard</f>
        <v>pears briefly</v>
      </c>
      <c r="Q19" s="375" t="str">
        <f>+designation</f>
        <v>11. Trainee Receptionist</v>
      </c>
      <c r="R19" s="376" t="s">
        <v>156</v>
      </c>
      <c r="S19" s="377">
        <f ca="1">+S20+S23+S22+S24+S25+S26+S21</f>
        <v>0</v>
      </c>
      <c r="T19" s="378" t="str">
        <f>+FS4_Status</f>
        <v>SIN</v>
      </c>
      <c r="U19" s="572" t="str">
        <f ca="1">INDEX(INDAT,MATCH(O21,(INDIRECT(("months"),TRUE)),0),26)</f>
        <v/>
      </c>
      <c r="V19" s="379">
        <f ca="1">INDEX(INDAT,MATCH(O21,(INDIRECT(("months"),TRUE)),0),25)</f>
        <v>0</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0</v>
      </c>
      <c r="R20" s="381" t="s">
        <v>94</v>
      </c>
      <c r="S20" s="382">
        <f ca="1">INDEX(PYRL_Summary,MATCH(O21,months,0),7)</f>
        <v>0</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0</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0</v>
      </c>
      <c r="U21" s="372">
        <f ca="1">INDEX(PYRL_Summary,MATCH(O21,months,0),22)</f>
        <v>0</v>
      </c>
      <c r="V21" s="373">
        <f ca="1">INDEX(PYRL_Summary,MATCH(O21,months,0),23)</f>
        <v>0</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0</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0</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396</v>
      </c>
      <c r="I23" s="466"/>
      <c r="J23" s="318" t="s">
        <v>169</v>
      </c>
      <c r="K23" s="916"/>
      <c r="L23" s="917"/>
      <c r="N23" s="420"/>
      <c r="O23" s="344">
        <f>+ID</f>
        <v>2026004</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0</v>
      </c>
      <c r="X24" s="577"/>
    </row>
    <row r="25" spans="1:56" ht="14.45" customHeight="1" thickBot="1" x14ac:dyDescent="0.3">
      <c r="A25" s="54"/>
      <c r="L25" s="101"/>
      <c r="M25" s="76"/>
      <c r="N25" s="420"/>
      <c r="O25" s="345" t="str">
        <f ca="1">IF(INDEX(INDAT,MATCH(O21,(INDIRECT(("months"),TRUE)),0),4)&gt;=0.01, "Performance Bonus"," ")</f>
        <v xml:space="preserve"> </v>
      </c>
      <c r="P25" s="100">
        <f>IF((INDEX(PYRL_Summary,MATCH(O21,months,0),12)&gt;=0.01),(INDEX(PYRL_Summary,MATCH(O21,months,0),12)),0)</f>
        <v>0</v>
      </c>
      <c r="Q25" s="99" t="str">
        <f ca="1">IF(INDEX(INDAT,MATCH(O21,(INDIRECT(("months"),TRUE)),0),5)&gt;=0.01, "Sup
 Bonus"," ")</f>
        <v xml:space="preserve"> </v>
      </c>
      <c r="R25" s="100">
        <f>IF((INDEX(PYRL_Summary,MATCH(O21,months,0),13)&gt;=0.01),(INDEX(PYRL_Summary,MATCH(O21,months,0),13)),0)</f>
        <v>0</v>
      </c>
      <c r="S25" s="102">
        <f>+P25+R25</f>
        <v>0</v>
      </c>
      <c r="T25" s="889" t="str">
        <f>+IBAN</f>
        <v>MT44VALL22013000000040022723312</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0</v>
      </c>
      <c r="V26" s="418"/>
      <c r="X26" s="575"/>
    </row>
    <row r="27" spans="1:56" ht="24" customHeight="1" thickBot="1" x14ac:dyDescent="0.3">
      <c r="A27" s="54"/>
      <c r="B27" s="73" t="s">
        <v>52</v>
      </c>
      <c r="G27" s="73" t="s">
        <v>53</v>
      </c>
      <c r="H27" s="8">
        <f ca="1">IF(OR(Timer="PT", Timer="pt_casual"),0,AA16)</f>
        <v>0</v>
      </c>
      <c r="I27" s="319" t="s">
        <v>179</v>
      </c>
      <c r="J27" s="96"/>
      <c r="L27" s="322">
        <v>0</v>
      </c>
      <c r="N27" s="421" t="s">
        <v>180</v>
      </c>
      <c r="O27" s="360" t="s">
        <v>181</v>
      </c>
      <c r="P27" s="361">
        <f>+O21-1</f>
        <v>46022</v>
      </c>
      <c r="Q27" s="362"/>
      <c r="R27" s="363" t="s">
        <v>182</v>
      </c>
      <c r="S27" s="364">
        <f ca="1">(INDEX(PYRL_Summary,MATCH(P27,months,0),33))</f>
        <v>0</v>
      </c>
      <c r="T27" s="544" t="str">
        <f>IF(Y27=0, "DO NOT INPUT HERE. USE HIGHLIGHTED ",Y27)</f>
        <v xml:space="preserve">DO NOT INPUT HERE. USE HIGHLIGHTED </v>
      </c>
      <c r="U27" s="545"/>
      <c r="V27" s="546"/>
      <c r="W27" s="73" t="s">
        <v>183</v>
      </c>
      <c r="Y27" s="436"/>
      <c r="Z27" s="78"/>
    </row>
    <row r="28" spans="1:56" ht="31.5" customHeight="1" thickBot="1" x14ac:dyDescent="0.3">
      <c r="A28" s="54"/>
      <c r="B28" s="73" t="s">
        <v>184</v>
      </c>
      <c r="G28" s="73" t="s">
        <v>185</v>
      </c>
      <c r="H28" s="68">
        <f ca="1">+AE16</f>
        <v>0</v>
      </c>
      <c r="I28" s="319" t="s">
        <v>186</v>
      </c>
      <c r="L28" s="322">
        <v>0</v>
      </c>
      <c r="N28" s="388">
        <f ca="1">INDEX(PYRL_Summary,MATCH(O21,months,0),4)</f>
        <v>0</v>
      </c>
      <c r="O28" s="389" t="s">
        <v>187</v>
      </c>
      <c r="P28" s="390">
        <f>+P27</f>
        <v>46022</v>
      </c>
      <c r="Q28" s="391">
        <f ca="1">INDEX(PYRL_Summary,MATCH(P28,months,0),31)</f>
        <v>0</v>
      </c>
      <c r="R28" s="392" t="s">
        <v>188</v>
      </c>
      <c r="S28" s="393">
        <f ca="1">INDEX(PYRL_Summary,MATCH(O21,months,0),33)</f>
        <v>5.3333333333333339</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Scerri_Esposito Natasha</v>
      </c>
      <c r="P29" s="394" t="str">
        <f>+IDCard</f>
        <v>pears briefly</v>
      </c>
      <c r="Q29" s="395" t="str">
        <f>+designation</f>
        <v>11. Trainee Receptionist</v>
      </c>
      <c r="R29" s="396" t="s">
        <v>156</v>
      </c>
      <c r="S29" s="397">
        <f ca="1">+S30+S33+S32+S34+S35+S36+S31</f>
        <v>396.19047619047586</v>
      </c>
      <c r="T29" s="431" t="str">
        <f>+FS4_Status</f>
        <v>SIN</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396.19047619047586</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0</v>
      </c>
      <c r="M31" s="66"/>
      <c r="N31" s="405">
        <f>IF(TERMDATE&lt;O31,0,IF(StartEmp&lt;=O31,O31,(IF(AND(StartEmp&gt;=O31,StartEmp&lt;=O41),StartEmp,0))))</f>
        <v>46069</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128</v>
      </c>
      <c r="U31" s="358">
        <f ca="1">INDEX(PYRL_Summary,MATCH(O31,months,0),22)</f>
        <v>64</v>
      </c>
      <c r="V31" s="359">
        <f ca="1">INDEX(PYRL_Summary,MATCH(O31,months,0),23)</f>
        <v>64</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46076</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1.92</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2026004</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INDEX(PYRL_Summary,MATCH(O31,months,0),10)</f>
        <v>0</v>
      </c>
      <c r="T34" s="189" t="s">
        <v>176</v>
      </c>
      <c r="U34" s="190"/>
      <c r="V34" s="350">
        <f ca="1">INDEX(PYRL_Summary,MATCH(O31,months,0),15)</f>
        <v>0</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MT44VALL22013000000040022723312</v>
      </c>
      <c r="U35" s="890"/>
      <c r="V35" s="891"/>
      <c r="Z35" t="s">
        <v>645</v>
      </c>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332.19047619047586</v>
      </c>
      <c r="V36" s="418"/>
    </row>
    <row r="37" spans="1:37" ht="25.5" customHeight="1" thickBot="1" x14ac:dyDescent="0.3">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174693953</v>
      </c>
      <c r="U37" s="545"/>
      <c r="V37" s="546"/>
      <c r="W37" s="73" t="s">
        <v>183</v>
      </c>
      <c r="Y37" s="436" t="s">
        <v>646</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2</v>
      </c>
      <c r="O38" s="407" t="s">
        <v>187</v>
      </c>
      <c r="P38" s="408">
        <f>+O21</f>
        <v>46023</v>
      </c>
      <c r="Q38" s="409">
        <f ca="1">INDEX(PYRL_Summary,MATCH(P38,months,0),31)</f>
        <v>0</v>
      </c>
      <c r="R38" s="410" t="s">
        <v>188</v>
      </c>
      <c r="S38" s="411">
        <f ca="1">INDEX(PYRL_Summary,MATCH(O31,months,0),33)</f>
        <v>5.3333333333333339</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0</v>
      </c>
      <c r="O39" s="894" t="str">
        <f>Surname&amp;" "&amp;Name</f>
        <v>Scerri_Esposito Natasha</v>
      </c>
      <c r="P39" s="374" t="str">
        <f>+IDCard</f>
        <v>pears briefly</v>
      </c>
      <c r="Q39" s="375" t="str">
        <f>+designation</f>
        <v>11. Trainee Receptionist</v>
      </c>
      <c r="R39" s="376" t="s">
        <v>156</v>
      </c>
      <c r="S39" s="377">
        <f ca="1">+S40+S43+S42+S44+S45+S46+S41</f>
        <v>0</v>
      </c>
      <c r="T39" s="378" t="str">
        <f>+FS4_Status</f>
        <v>SIN</v>
      </c>
      <c r="U39" s="572" t="str">
        <f ca="1">INDEX(INDAT,MATCH(O41,(INDIRECT(("months"),TRUE)),0),26)</f>
        <v/>
      </c>
      <c r="V39" s="379">
        <f ca="1">INDEX(INDAT,MATCH(O41,(INDIRECT(("months"),TRUE)),0),25)</f>
        <v>0</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0</v>
      </c>
      <c r="R40" s="381" t="s">
        <v>94</v>
      </c>
      <c r="S40" s="382">
        <f ca="1">INDEX(PYRL_Summary,MATCH(O41,months,0),7)</f>
        <v>0</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0</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0</v>
      </c>
      <c r="U41" s="372">
        <f ca="1">INDEX(PYRL_Summary,MATCH(O41,months,0),22)</f>
        <v>0</v>
      </c>
      <c r="V41" s="373">
        <f ca="1">INDEX(PYRL_Summary,MATCH(O41,months,0),23)</f>
        <v>0</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0</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0</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2026004</v>
      </c>
      <c r="P43" s="365" t="s">
        <v>172</v>
      </c>
      <c r="Q43" s="365"/>
      <c r="R43" s="366"/>
      <c r="S43" s="367">
        <f ca="1">INDEX(PYRL_Summary,MATCH(O41,months,0),11)</f>
        <v>0</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INDEX(PYRL_Summary,MATCH(O41,months,0),10)</f>
        <v>0</v>
      </c>
      <c r="T44" s="189" t="s">
        <v>176</v>
      </c>
      <c r="U44" s="190"/>
      <c r="V44" s="350">
        <f ca="1">INDEX(PYRL_Summary,MATCH(O41,months,0),15)</f>
        <v>0</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 xml:space="preserve"> </v>
      </c>
      <c r="R45" s="100">
        <f ca="1">IF((INDEX(PYRL_Summary,MATCH(O41,months,0),13)&gt;=0.01),(INDEX(PYRL_Summary,MATCH(O41,months,0),13)),0)</f>
        <v>0</v>
      </c>
      <c r="S45" s="102">
        <f ca="1">+P45+R45</f>
        <v>0</v>
      </c>
      <c r="T45" s="889" t="str">
        <f>+IBAN</f>
        <v>MT44VALL22013000000040022723312</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0</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0</v>
      </c>
      <c r="O48" s="389" t="s">
        <v>187</v>
      </c>
      <c r="P48" s="390">
        <f>+O31</f>
        <v>46054</v>
      </c>
      <c r="Q48" s="391">
        <f ca="1">INDEX(PYRL_Summary,MATCH(P48,months,0),31)</f>
        <v>8</v>
      </c>
      <c r="R48" s="392" t="s">
        <v>188</v>
      </c>
      <c r="S48" s="393">
        <f ca="1">INDEX(PYRL_Summary,MATCH(O41,months,0),33)</f>
        <v>5.3333333333333339</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0</v>
      </c>
      <c r="O49" s="908" t="str">
        <f>Surname&amp;" "&amp;Name</f>
        <v>Scerri_Esposito Natasha</v>
      </c>
      <c r="P49" s="394" t="str">
        <f>+IDCard</f>
        <v>pears briefly</v>
      </c>
      <c r="Q49" s="395" t="str">
        <f>+designation</f>
        <v>11. Trainee Receptionist</v>
      </c>
      <c r="R49" s="396" t="s">
        <v>156</v>
      </c>
      <c r="S49" s="397">
        <f ca="1">+S50+S53+S52+S54+S55+S56+S51</f>
        <v>0</v>
      </c>
      <c r="T49" s="431" t="str">
        <f>+FS4_Status</f>
        <v>SIN</v>
      </c>
      <c r="U49" s="573" t="str">
        <f ca="1">INDEX(INDAT,MATCH(O51,(INDIRECT(("months"),TRUE)),0),26)</f>
        <v/>
      </c>
      <c r="V49" s="432">
        <f ca="1">INDEX(INDAT,MATCH(O51,(INDIRECT(("months"),TRUE)),0),25)</f>
        <v>0</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0</v>
      </c>
      <c r="R50" s="398" t="s">
        <v>94</v>
      </c>
      <c r="S50" s="399">
        <f ca="1">INDEX(PYRL_Summary,MATCH(O51,months,0),7)</f>
        <v>0</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46076</v>
      </c>
      <c r="J51" s="859"/>
      <c r="K51" s="857"/>
      <c r="L51" s="101"/>
      <c r="N51" s="405">
        <f>IF(TERMDATE&lt;O51,0,IF(StartEmp&lt;=O51,O51,(IF(AND(StartEmp&gt;=O51,StartEmp&lt;=O61),StartEmp,0))))</f>
        <v>0</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0</v>
      </c>
      <c r="U51" s="358">
        <f ca="1">INDEX(PYRL_Summary,MATCH(O51,months,0),22)</f>
        <v>0</v>
      </c>
      <c r="V51" s="359">
        <f ca="1">INDEX(PYRL_Summary,MATCH(O51,months,0),23)</f>
        <v>0</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0</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0</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2026004</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INDEX(PYRL_Summary,MATCH(O51,months,0),10)</f>
        <v>0</v>
      </c>
      <c r="T54" s="189" t="s">
        <v>176</v>
      </c>
      <c r="U54" s="190"/>
      <c r="V54" s="350">
        <f ca="1">INDEX(PYRL_Summary,MATCH(O51,months,0),15)</f>
        <v>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 xml:space="preserve"> </v>
      </c>
      <c r="R55" s="100">
        <f ca="1">IF((INDEX(PYRL_Summary,MATCH(O51,months,0),13)&gt;=0.01),(INDEX(PYRL_Summary,MATCH(O51,months,0),13)),0)</f>
        <v>0</v>
      </c>
      <c r="S55" s="102">
        <f ca="1">+P55+R55</f>
        <v>0</v>
      </c>
      <c r="T55" s="889" t="str">
        <f>+IBAN</f>
        <v>MT44VALL22013000000040022723312</v>
      </c>
      <c r="U55" s="890"/>
      <c r="V55" s="891"/>
    </row>
    <row r="56" spans="1:37" ht="16.5" customHeight="1" thickBot="1" x14ac:dyDescent="0.3">
      <c r="E56" s="116" t="s">
        <v>215</v>
      </c>
      <c r="F56" s="115" t="str">
        <f>INDEX([1]!empdata,MATCH(ID,[1]!empid,0),17)</f>
        <v>MT44VALL22013000000040022723312</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0</v>
      </c>
      <c r="V56" s="418"/>
    </row>
    <row r="57" spans="1:37" ht="26.25" customHeight="1" thickBot="1" x14ac:dyDescent="0.3">
      <c r="E57" s="116" t="s">
        <v>216</v>
      </c>
      <c r="F57" s="340" t="str">
        <f>INDEX([1]!empdata,MATCH(ID,[1]!empid,0),12)</f>
        <v>nscerriesposito@gmail.com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30144</v>
      </c>
      <c r="G58" s="56"/>
      <c r="H58" s="63"/>
      <c r="N58" s="406">
        <f ca="1">INDEX(PYRL_Summary,MATCH(O51,months,0),4)</f>
        <v>0</v>
      </c>
      <c r="O58" s="407" t="s">
        <v>187</v>
      </c>
      <c r="P58" s="408">
        <f>+O41</f>
        <v>46082</v>
      </c>
      <c r="Q58" s="409">
        <f ca="1">INDEX(PYRL_Summary,MATCH(P58,months,0),31)</f>
        <v>8</v>
      </c>
      <c r="R58" s="410" t="s">
        <v>188</v>
      </c>
      <c r="S58" s="411">
        <f ca="1">INDEX(PYRL_Summary,MATCH(O51,months,0),33)</f>
        <v>5.3333333333333339</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46069</v>
      </c>
      <c r="G59" s="56"/>
      <c r="H59" s="63"/>
      <c r="N59" s="386">
        <f ca="1">IF(OR(INDEX(PYRL_Summary,MATCH(O61,months,0),28)="pt",INDEX(PYRL_Summary,MATCH(O61,months,0),28)="pt_casual"),0,IF(N62-N61&gt;=1,1,0))</f>
        <v>0</v>
      </c>
      <c r="O59" s="894" t="str">
        <f>Surname&amp;" "&amp;Name</f>
        <v>Scerri_Esposito Natasha</v>
      </c>
      <c r="P59" s="374" t="str">
        <f>+IDCard</f>
        <v>pears briefly</v>
      </c>
      <c r="Q59" s="375" t="str">
        <f>+designation</f>
        <v>11. Trainee Receptionist</v>
      </c>
      <c r="R59" s="376" t="s">
        <v>156</v>
      </c>
      <c r="S59" s="377">
        <f ca="1">+S60+S63+S62+S64+S65+S66+S61</f>
        <v>0</v>
      </c>
      <c r="T59" s="378" t="str">
        <f>+FS4_Status</f>
        <v>SIN</v>
      </c>
      <c r="U59" s="572" t="str">
        <f ca="1">INDEX(INDAT,MATCH(O61,(INDIRECT(("months"),TRUE)),0),26)</f>
        <v/>
      </c>
      <c r="V59" s="379">
        <f ca="1">INDEX(INDAT,MATCH(O61,(INDIRECT(("months"),TRUE)),0),25)</f>
        <v>0</v>
      </c>
      <c r="W59" s="422">
        <f>+$O$8</f>
        <v>46143</v>
      </c>
      <c r="X59" s="423"/>
      <c r="Y59" s="423"/>
      <c r="Z59" s="73"/>
      <c r="AA59" s="73"/>
    </row>
    <row r="60" spans="1:37" ht="20.25" customHeight="1" thickBot="1" x14ac:dyDescent="0.3">
      <c r="E60" s="116" t="s">
        <v>219</v>
      </c>
      <c r="F60" s="115" t="str">
        <f>INDEX([1]!empdata,MATCH(ID,[1]!empid,0),8)</f>
        <v>11. Trainee Receptionist</v>
      </c>
      <c r="G60" s="56"/>
      <c r="H60" s="63"/>
      <c r="N60" s="387">
        <f ca="1">IF(AND(OR((INDEX(PYRL_Summary,MATCH(O61,months,0),28))="PT",( INDEX(PYRL_Summary,MATCH(O61,months,0),28))="PT_casual" ),(N62-N61&gt;=1)),1,0)</f>
        <v>0</v>
      </c>
      <c r="O60" s="895"/>
      <c r="P60" s="416" t="s">
        <v>161</v>
      </c>
      <c r="Q60" s="380">
        <f ca="1">INDEX(PYRL_Summary,MATCH(O61,months,0),5)</f>
        <v>0</v>
      </c>
      <c r="R60" s="381" t="s">
        <v>94</v>
      </c>
      <c r="S60" s="382">
        <f ca="1">INDEX(PYRL_Summary,MATCH(O61,months,0),7)</f>
        <v>0</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0</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0</v>
      </c>
      <c r="U61" s="372">
        <f ca="1">INDEX(PYRL_Summary,MATCH(O61,months,0),22)</f>
        <v>0</v>
      </c>
      <c r="V61" s="373">
        <f ca="1">INDEX(PYRL_Summary,MATCH(O61,months,0),23)</f>
        <v>0</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0</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0</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46076</v>
      </c>
      <c r="G63" s="56"/>
      <c r="H63" s="63"/>
      <c r="N63" s="420"/>
      <c r="O63" s="344">
        <f>+ID</f>
        <v>2026004</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INDEX(PYRL_Summary,MATCH(O61,months,0),10)</f>
        <v>0</v>
      </c>
      <c r="T64" s="189" t="s">
        <v>176</v>
      </c>
      <c r="U64" s="190"/>
      <c r="V64" s="350">
        <f ca="1">INDEX(PYRL_Summary,MATCH(O61,months,0),15)</f>
        <v>0</v>
      </c>
      <c r="X64" s="577"/>
    </row>
    <row r="65" spans="5:37" ht="15.75" customHeight="1" thickBot="1" x14ac:dyDescent="0.3">
      <c r="E65" s="925" t="s">
        <v>224</v>
      </c>
      <c r="F65" s="926"/>
      <c r="G65" s="103">
        <f ca="1">+Med_Tot</f>
        <v>396.19047619047586</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 xml:space="preserve"> </v>
      </c>
      <c r="R65" s="100">
        <f ca="1">IF((INDEX(PYRL_Summary,MATCH(O61,months,0),13)&gt;=0.01),(INDEX(PYRL_Summary,MATCH(O61,months,0),13)),0)</f>
        <v>0</v>
      </c>
      <c r="S65" s="102">
        <f ca="1">+P65+R65</f>
        <v>0</v>
      </c>
      <c r="T65" s="889" t="str">
        <f>+IBAN</f>
        <v>MT44VALL22013000000040022723312</v>
      </c>
      <c r="U65" s="890"/>
      <c r="V65" s="891"/>
    </row>
    <row r="66" spans="5:37" ht="16.5" customHeight="1" thickBot="1" x14ac:dyDescent="0.3">
      <c r="E66" s="952" t="s">
        <v>226</v>
      </c>
      <c r="F66" s="953"/>
      <c r="G66" s="112">
        <f ca="1">+PREVFS3+Med_Tot</f>
        <v>396.19047619047586</v>
      </c>
      <c r="H66" s="114">
        <f ca="1">IF(grossyearly&lt;F68,1,IF(grossyearly&lt;F69,2,IF(grossyearly&lt;F70,3,IF(grossyearly&lt;F71,4,5))))</f>
        <v>1</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0</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0</v>
      </c>
      <c r="O68" s="389" t="s">
        <v>187</v>
      </c>
      <c r="P68" s="390">
        <f>+O51</f>
        <v>46113</v>
      </c>
      <c r="Q68" s="391">
        <f ca="1">INDEX(PYRL_Summary,MATCH(P68,months,0),31)</f>
        <v>8</v>
      </c>
      <c r="R68" s="392" t="s">
        <v>188</v>
      </c>
      <c r="S68" s="393">
        <f ca="1">INDEX(PYRL_Summary,MATCH(O61,months,0),33)</f>
        <v>5.3333333333333339</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0</v>
      </c>
      <c r="O69" s="908" t="str">
        <f>Surname&amp;" "&amp;Name</f>
        <v>Scerri_Esposito Natasha</v>
      </c>
      <c r="P69" s="394" t="str">
        <f>+IDCard</f>
        <v>pears briefly</v>
      </c>
      <c r="Q69" s="395" t="str">
        <f>+designation</f>
        <v>11. Trainee Receptionist</v>
      </c>
      <c r="R69" s="396" t="s">
        <v>156</v>
      </c>
      <c r="S69" s="397">
        <f ca="1">+S70+S73+S72+S74+S75+S76+S71</f>
        <v>0</v>
      </c>
      <c r="T69" s="431" t="str">
        <f>+FS4_Status</f>
        <v>SIN</v>
      </c>
      <c r="U69" s="573" t="str">
        <f ca="1">INDEX(INDAT,MATCH(O71,(INDIRECT(("months"),TRUE)),0),26)</f>
        <v/>
      </c>
      <c r="V69" s="432">
        <f ca="1">INDEX(INDAT,MATCH(O71,(INDIRECT(("months"),TRUE)),0),25)</f>
        <v>0</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0</v>
      </c>
      <c r="R70" s="398" t="s">
        <v>94</v>
      </c>
      <c r="S70" s="399">
        <f ca="1">INDEX(PYRL_Summary,MATCH(O71,months,0),7)</f>
        <v>0</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0</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0</v>
      </c>
      <c r="U71" s="358">
        <f ca="1">INDEX(PYRL_Summary,MATCH(O71,months,0),22)</f>
        <v>0</v>
      </c>
      <c r="V71" s="359">
        <f ca="1">INDEX(PYRL_Summary,MATCH(O71,months,0),23)</f>
        <v>0</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0</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0</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2026004</v>
      </c>
      <c r="P73" s="195" t="s">
        <v>172</v>
      </c>
      <c r="Q73" s="195"/>
      <c r="R73" s="194"/>
      <c r="S73" s="193">
        <f ca="1">INDEX(PYRL_Summary,MATCH(O71,months,0),11)</f>
        <v>0</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INDEX(PYRL_Summary,MATCH(O71,months,0),10)</f>
        <v>0</v>
      </c>
      <c r="T74" s="189" t="s">
        <v>176</v>
      </c>
      <c r="U74" s="190"/>
      <c r="V74" s="350">
        <f ca="1">INDEX(PYRL_Summary,MATCH(O71,months,0),15)</f>
        <v>0</v>
      </c>
      <c r="X74" s="577"/>
    </row>
    <row r="75" spans="5:37" ht="15.75" customHeight="1" thickBot="1" x14ac:dyDescent="0.3">
      <c r="E75" s="293"/>
      <c r="F75" s="294" t="s">
        <v>130</v>
      </c>
      <c r="G75" s="295">
        <f ca="1">IF(AND(Timer="pt",grossyearly&lt;10000),+ptrate,IF(grossyearly&lt;$F$68,$G$68,IF(grossyearly&lt;$F$69,$G$69,IF(grossyearly&lt;$F$70,$G$70,IF(grossyearly&lt;$F$71,$G$71,$G$72)))))</f>
        <v>0</v>
      </c>
      <c r="H75" s="296">
        <f ca="1">IF(grossyearly&lt;$F$68,$H$68,IF(grossyearly&lt;$F$69,$H$69,IF(grossyearly&lt;$F$70,$H$70,IF(grossyearly&lt;$F$71,$H$71,$H$72))))</f>
        <v>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 xml:space="preserve"> </v>
      </c>
      <c r="R75" s="100">
        <f ca="1">IF((INDEX(PYRL_Summary,MATCH(O71,months,0),13)&gt;=0.01),(INDEX(PYRL_Summary,MATCH(O71,months,0),13)),0)</f>
        <v>0</v>
      </c>
      <c r="S75" s="102">
        <f ca="1">+P75+R75</f>
        <v>0</v>
      </c>
      <c r="T75" s="889" t="str">
        <f>+IBAN</f>
        <v>MT44VALL22013000000040022723312</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0</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0</v>
      </c>
      <c r="O78" s="407" t="s">
        <v>187</v>
      </c>
      <c r="P78" s="408">
        <f>+O61</f>
        <v>46143</v>
      </c>
      <c r="Q78" s="409">
        <f ca="1">INDEX(PYRL_Summary,MATCH(P78,months,0),31)</f>
        <v>8</v>
      </c>
      <c r="R78" s="410" t="s">
        <v>188</v>
      </c>
      <c r="S78" s="411">
        <f ca="1">INDEX(PYRL_Summary,MATCH(O71,months,0),33)</f>
        <v>5.3333333333333339</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0</v>
      </c>
      <c r="O79" s="894" t="str">
        <f>Surname&amp;" "&amp;Name</f>
        <v>Scerri_Esposito Natasha</v>
      </c>
      <c r="P79" s="374" t="str">
        <f>+IDCard</f>
        <v>pears briefly</v>
      </c>
      <c r="Q79" s="375" t="str">
        <f>+designation</f>
        <v>11. Trainee Receptionist</v>
      </c>
      <c r="R79" s="376" t="s">
        <v>156</v>
      </c>
      <c r="S79" s="377">
        <f ca="1">+S80+S83+S82+S84+S85+S86+S81</f>
        <v>0</v>
      </c>
      <c r="T79" s="378" t="str">
        <f>+FS4_Status</f>
        <v>SIN</v>
      </c>
      <c r="U79" s="572" t="str">
        <f ca="1">INDEX(INDAT,MATCH(O81,(INDIRECT(("months"),TRUE)),0),26)</f>
        <v/>
      </c>
      <c r="V79" s="379">
        <f ca="1">INDEX(INDAT,MATCH(O81,(INDIRECT(("months"),TRUE)),0),25)</f>
        <v>0</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0</v>
      </c>
      <c r="R80" s="381" t="s">
        <v>94</v>
      </c>
      <c r="S80" s="382">
        <f ca="1">INDEX(PYRL_Summary,MATCH(O81,months,0),7)</f>
        <v>0</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0</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0</v>
      </c>
      <c r="U81" s="372">
        <f ca="1">INDEX(PYRL_Summary,MATCH(O81,months,0),22)</f>
        <v>0</v>
      </c>
      <c r="V81" s="373">
        <f ca="1">INDEX(PYRL_Summary,MATCH(O81,months,0),23)</f>
        <v>0</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0</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0</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2026004</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INDEX(PYRL_Summary,MATCH(O81,months,0),10)</f>
        <v>0</v>
      </c>
      <c r="T84" s="189" t="s">
        <v>176</v>
      </c>
      <c r="U84" s="190"/>
      <c r="V84" s="350">
        <f ca="1">INDEX(PYRL_Summary,MATCH(O81,months,0),15)</f>
        <v>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 xml:space="preserve"> </v>
      </c>
      <c r="R85" s="100">
        <f ca="1">IF((INDEX(PYRL_Summary,MATCH(O81,months,0),13)&gt;=0.01),(INDEX(PYRL_Summary,MATCH(O81,months,0),13)),0)</f>
        <v>0</v>
      </c>
      <c r="S85" s="102">
        <f ca="1">+P85+R85</f>
        <v>0</v>
      </c>
      <c r="T85" s="889" t="str">
        <f>+IBAN</f>
        <v>MT44VALL22013000000040022723312</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0</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0</v>
      </c>
      <c r="O88" s="389" t="s">
        <v>187</v>
      </c>
      <c r="P88" s="390">
        <f>+X82</f>
        <v>0</v>
      </c>
      <c r="Q88" s="391" t="e">
        <f ca="1">INDEX(PYRL_Summary,MATCH(P88,months,0),31)</f>
        <v>#N/A</v>
      </c>
      <c r="R88" s="392" t="s">
        <v>188</v>
      </c>
      <c r="S88" s="393">
        <f ca="1">INDEX(PYRL_Summary,MATCH(O81,months,0),33)</f>
        <v>5.3333333333333339</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0</v>
      </c>
      <c r="O89" s="908" t="str">
        <f>Surname&amp;" "&amp;Name</f>
        <v>Scerri_Esposito Natasha</v>
      </c>
      <c r="P89" s="394" t="str">
        <f>+IDCard</f>
        <v>pears briefly</v>
      </c>
      <c r="Q89" s="395" t="str">
        <f>+designation</f>
        <v>11. Trainee Receptionist</v>
      </c>
      <c r="R89" s="396" t="s">
        <v>156</v>
      </c>
      <c r="S89" s="397">
        <f ca="1">+S90+S93+S92+S94+S95+S96+S91</f>
        <v>0</v>
      </c>
      <c r="T89" s="431" t="str">
        <f>+FS4_Status</f>
        <v>SIN</v>
      </c>
      <c r="U89" s="573" t="str">
        <f ca="1">INDEX(INDAT,MATCH(O91,(INDIRECT(("months"),TRUE)),0),26)</f>
        <v/>
      </c>
      <c r="V89" s="432">
        <f ca="1">INDEX(INDAT,MATCH(O91,(INDIRECT(("months"),TRUE)),0),25)</f>
        <v>0</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0</v>
      </c>
      <c r="R90" s="398" t="s">
        <v>94</v>
      </c>
      <c r="S90" s="399">
        <f ca="1">INDEX(PYRL_Summary,MATCH(O91,months,0),7)</f>
        <v>0</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0</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0</v>
      </c>
      <c r="U91" s="358">
        <f ca="1">INDEX(PYRL_Summary,MATCH(O91,months,0),22)</f>
        <v>0</v>
      </c>
      <c r="V91" s="359">
        <f ca="1">INDEX(PYRL_Summary,MATCH(O91,months,0),23)</f>
        <v>0</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0</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0</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2026004</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INDEX(PYRL_Summary,MATCH(O91,months,0),10)</f>
        <v>0</v>
      </c>
      <c r="T94" s="189" t="s">
        <v>176</v>
      </c>
      <c r="U94" s="190"/>
      <c r="V94" s="350">
        <f ca="1">INDEX(PYRL_Summary,MATCH(O91,months,0),15)</f>
        <v>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 xml:space="preserve"> </v>
      </c>
      <c r="R95" s="100">
        <f ca="1">IF((INDEX(PYRL_Summary,MATCH(O91,months,0),13)&gt;=0.01),(INDEX(PYRL_Summary,MATCH(O91,months,0),13)),0)</f>
        <v>0</v>
      </c>
      <c r="S95" s="102">
        <f ca="1">+P95+R95</f>
        <v>0</v>
      </c>
      <c r="T95" s="889" t="str">
        <f>+IBAN</f>
        <v>MT44VALL22013000000040022723312</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0</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0</v>
      </c>
      <c r="O98" s="407" t="s">
        <v>187</v>
      </c>
      <c r="P98" s="408">
        <f>+O81</f>
        <v>46204</v>
      </c>
      <c r="Q98" s="409">
        <f ca="1">INDEX(PYRL_Summary,MATCH(P98,months,0),31)</f>
        <v>8</v>
      </c>
      <c r="R98" s="410" t="s">
        <v>188</v>
      </c>
      <c r="S98" s="411">
        <f ca="1">INDEX(PYRL_Summary,MATCH(O91,months,0),33)</f>
        <v>5.3333333333333339</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0</v>
      </c>
      <c r="O99" s="894" t="str">
        <f>Surname&amp;" "&amp;Name</f>
        <v>Scerri_Esposito Natasha</v>
      </c>
      <c r="P99" s="374" t="str">
        <f>+IDCard</f>
        <v>pears briefly</v>
      </c>
      <c r="Q99" s="375" t="str">
        <f>+designation</f>
        <v>11. Trainee Receptionist</v>
      </c>
      <c r="R99" s="376" t="s">
        <v>156</v>
      </c>
      <c r="S99" s="377">
        <f ca="1">+S100+S103+S102+S104+S105+S106+S101</f>
        <v>0</v>
      </c>
      <c r="T99" s="378" t="str">
        <f>+FS4_Status</f>
        <v>SIN</v>
      </c>
      <c r="U99" s="572" t="str">
        <f ca="1">INDEX(INDAT,MATCH(O101,(INDIRECT(("months"),TRUE)),0),26)</f>
        <v/>
      </c>
      <c r="V99" s="379">
        <f ca="1">INDEX(INDAT,MATCH(O101,(INDIRECT(("months"),TRUE)),0),25)</f>
        <v>0</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0</v>
      </c>
      <c r="R100" s="381" t="s">
        <v>94</v>
      </c>
      <c r="S100" s="382">
        <f ca="1">INDEX(PYRL_Summary,MATCH(O101,months,0),7)</f>
        <v>0</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0</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0</v>
      </c>
      <c r="U101" s="372">
        <f ca="1">INDEX(PYRL_Summary,MATCH(O101,months,0),22)</f>
        <v>0</v>
      </c>
      <c r="V101" s="373">
        <f ca="1">INDEX(PYRL_Summary,MATCH(O101,months,0),23)</f>
        <v>0</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0</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0</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2026004</v>
      </c>
      <c r="P103" s="365" t="s">
        <v>172</v>
      </c>
      <c r="Q103" s="365"/>
      <c r="R103" s="366"/>
      <c r="S103" s="367">
        <f ca="1">INDEX(PYRL_Summary,MATCH(O101,months,0),11)</f>
        <v>0</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INDEX(PYRL_Summary,MATCH(O101,months,0),10)</f>
        <v>0</v>
      </c>
      <c r="T104" s="189" t="s">
        <v>176</v>
      </c>
      <c r="U104" s="190"/>
      <c r="V104" s="350">
        <f ca="1">INDEX(PYRL_Summary,MATCH(O101,months,0),15)</f>
        <v>0</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 xml:space="preserve"> </v>
      </c>
      <c r="R105" s="100">
        <f ca="1">IF((INDEX(PYRL_Summary,MATCH(O101,months,0),13)&gt;=0.01),(INDEX(PYRL_Summary,MATCH(O101,months,0),13)),0)</f>
        <v>0</v>
      </c>
      <c r="S105" s="102">
        <f ca="1">+P105+R105</f>
        <v>0</v>
      </c>
      <c r="T105" s="889" t="str">
        <f>+IBAN</f>
        <v>MT44VALL22013000000040022723312</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0</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0</v>
      </c>
      <c r="O108" s="389" t="s">
        <v>187</v>
      </c>
      <c r="P108" s="390">
        <f>+O91</f>
        <v>46235</v>
      </c>
      <c r="Q108" s="391">
        <f ca="1">INDEX(PYRL_Summary,MATCH(P108,months,0),31)</f>
        <v>48</v>
      </c>
      <c r="R108" s="392" t="s">
        <v>188</v>
      </c>
      <c r="S108" s="393">
        <f ca="1">INDEX(PYRL_Summary,MATCH(O101,months,0),33)</f>
        <v>5.3333333333333339</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0</v>
      </c>
      <c r="O109" s="908" t="str">
        <f>Surname&amp;" "&amp;Name</f>
        <v>Scerri_Esposito Natasha</v>
      </c>
      <c r="P109" s="394" t="str">
        <f>+IDCard</f>
        <v>pears briefly</v>
      </c>
      <c r="Q109" s="395" t="str">
        <f>+designation</f>
        <v>11. Trainee Receptionist</v>
      </c>
      <c r="R109" s="396" t="s">
        <v>156</v>
      </c>
      <c r="S109" s="397">
        <f ca="1">+S110+S113+S112+S114+S115+S116+S111</f>
        <v>0</v>
      </c>
      <c r="T109" s="431" t="str">
        <f>+FS4_Status</f>
        <v>SIN</v>
      </c>
      <c r="U109" s="573" t="str">
        <f ca="1">INDEX(INDAT,MATCH(W109,(INDIRECT(("months"),TRUE)),0),26)</f>
        <v/>
      </c>
      <c r="V109" s="432">
        <f ca="1">INDEX(INDAT,MATCH(W109,(INDIRECT(("months"),TRUE)),0),25)</f>
        <v>0</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0</v>
      </c>
      <c r="R110" s="398" t="s">
        <v>94</v>
      </c>
      <c r="S110" s="399">
        <f ca="1">INDEX(PYRL_Summary,MATCH(W109,months,0),7)</f>
        <v>0</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0</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0</v>
      </c>
      <c r="U111" s="358">
        <f ca="1">INDEX(PYRL_Summary,MATCH(W109,months,0),22)</f>
        <v>0</v>
      </c>
      <c r="V111" s="359">
        <f ca="1">INDEX(PYRL_Summary,MATCH(W109,months,0),23)</f>
        <v>0</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0</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0</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2026004</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INDEX(PYRL_Summary,MATCH(W109,months,0),10)</f>
        <v>0</v>
      </c>
      <c r="T114" s="189" t="s">
        <v>176</v>
      </c>
      <c r="U114" s="190"/>
      <c r="V114" s="350">
        <f ca="1">INDEX(PYRL_Summary,MATCH(W109,months,0),15)</f>
        <v>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 xml:space="preserve"> </v>
      </c>
      <c r="R115" s="100">
        <f ca="1">IF((INDEX(PYRL_Summary,MATCH(W109,months,0),13)&gt;=0.01),(INDEX(PYRL_Summary,MATCH(W109,months,0),13)),0)</f>
        <v>0</v>
      </c>
      <c r="S115" s="102">
        <f ca="1">+P115+R115</f>
        <v>0</v>
      </c>
      <c r="T115" s="889" t="str">
        <f>+IBAN</f>
        <v>MT44VALL22013000000040022723312</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0</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0</v>
      </c>
      <c r="O118" s="407" t="s">
        <v>187</v>
      </c>
      <c r="P118" s="408">
        <f>+O101</f>
        <v>46266</v>
      </c>
      <c r="Q118" s="409">
        <f ca="1">INDEX(PYRL_Summary,MATCH(P118,months,0),31)</f>
        <v>48</v>
      </c>
      <c r="R118" s="410" t="s">
        <v>188</v>
      </c>
      <c r="S118" s="411">
        <f ca="1">INDEX(PYRL_Summary,MATCH(W109,months,0),33)</f>
        <v>5.3333333333333339</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0</v>
      </c>
      <c r="O119" s="894" t="str">
        <f>Surname&amp;" "&amp;Name</f>
        <v>Scerri_Esposito Natasha</v>
      </c>
      <c r="P119" s="374" t="str">
        <f>+IDCard</f>
        <v>pears briefly</v>
      </c>
      <c r="Q119" s="375" t="str">
        <f>+designation</f>
        <v>11. Trainee Receptionist</v>
      </c>
      <c r="R119" s="376" t="s">
        <v>156</v>
      </c>
      <c r="S119" s="377">
        <f ca="1">+S120+S123+S122+S124+S125+S126+S121</f>
        <v>0</v>
      </c>
      <c r="T119" s="378" t="str">
        <f>+FS4_Status</f>
        <v>SIN</v>
      </c>
      <c r="U119" s="572" t="str">
        <f ca="1">INDEX(INDAT,MATCH(W119,(INDIRECT(("months"),TRUE)),0),26)</f>
        <v/>
      </c>
      <c r="V119" s="379">
        <f ca="1">INDEX(INDAT,MATCH(W119,(INDIRECT(("months"),TRUE)),0),25)</f>
        <v>0</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0</v>
      </c>
      <c r="R120" s="381" t="s">
        <v>94</v>
      </c>
      <c r="S120" s="382">
        <f ca="1">INDEX(PYRL_Summary,MATCH(W119,months,0),7)</f>
        <v>0</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0</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0</v>
      </c>
      <c r="U121" s="372">
        <f ca="1">INDEX(PYRL_Summary,MATCH(W119,months,0),22)</f>
        <v>0</v>
      </c>
      <c r="V121" s="373">
        <f ca="1">INDEX(PYRL_Summary,MATCH(W119,months,0),23)</f>
        <v>0</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0</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0</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2026004</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INDEX(PYRL_Summary,MATCH(W119,months,0),10)</f>
        <v>0</v>
      </c>
      <c r="T124" s="189" t="s">
        <v>176</v>
      </c>
      <c r="U124" s="190"/>
      <c r="V124" s="350">
        <f ca="1">INDEX(PYRL_Summary,MATCH(W119,months,0),15)</f>
        <v>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 xml:space="preserve"> </v>
      </c>
      <c r="R125" s="100">
        <f ca="1">IF((INDEX(PYRL_Summary,MATCH(W119,months,0),13)&gt;=0.01),(INDEX(PYRL_Summary,MATCH(W119,months,0),13)),0)</f>
        <v>0</v>
      </c>
      <c r="S125" s="102">
        <f ca="1">+P125+R125</f>
        <v>0</v>
      </c>
      <c r="T125" s="889" t="str">
        <f>+IBAN</f>
        <v>MT44VALL22013000000040022723312</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0</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0</v>
      </c>
      <c r="O128" s="389" t="s">
        <v>187</v>
      </c>
      <c r="P128" s="390">
        <f>+W109</f>
        <v>46296</v>
      </c>
      <c r="Q128" s="391">
        <f ca="1">INDEX(PYRL_Summary,MATCH(P128,months,0),31)</f>
        <v>48</v>
      </c>
      <c r="R128" s="392" t="s">
        <v>188</v>
      </c>
      <c r="S128" s="393">
        <f ca="1">INDEX(PYRL_Summary,MATCH(W119,months,0),33)</f>
        <v>5.3333333333333339</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0</v>
      </c>
      <c r="O129" s="908" t="str">
        <f>Surname&amp;" "&amp;Name</f>
        <v>Scerri_Esposito Natasha</v>
      </c>
      <c r="P129" s="394" t="str">
        <f>+IDCard</f>
        <v>pears briefly</v>
      </c>
      <c r="Q129" s="395" t="str">
        <f>+designation</f>
        <v>11. Trainee Receptionist</v>
      </c>
      <c r="R129" s="396" t="s">
        <v>156</v>
      </c>
      <c r="S129" s="397">
        <f ca="1">+S130+S133+S132+S134+S135+S136+S131</f>
        <v>0</v>
      </c>
      <c r="T129" s="431" t="str">
        <f>+FS4_Status</f>
        <v>SIN</v>
      </c>
      <c r="U129" s="573" t="str">
        <f ca="1">INDEX(INDAT,MATCH(W129,(INDIRECT(("months"),TRUE)),0),26)</f>
        <v/>
      </c>
      <c r="V129" s="432">
        <f ca="1">INDEX(INDAT,MATCH(W129,(INDIRECT(("months"),TRUE)),0),25)</f>
        <v>0</v>
      </c>
      <c r="W129" s="412">
        <f>+$O$131</f>
        <v>46357</v>
      </c>
      <c r="X129" s="424"/>
      <c r="Y129" s="424"/>
      <c r="Z129" s="73"/>
      <c r="AA129" s="73"/>
    </row>
    <row r="130" spans="14:37" ht="20.25" customHeight="1" thickBot="1" x14ac:dyDescent="0.3">
      <c r="N130" s="404"/>
      <c r="O130" s="909"/>
      <c r="P130" s="415" t="s">
        <v>161</v>
      </c>
      <c r="Q130" s="414">
        <f ca="1">INDEX(PYRL_Summary,MATCH(W129,months,0),5)</f>
        <v>0</v>
      </c>
      <c r="R130" s="398" t="s">
        <v>94</v>
      </c>
      <c r="S130" s="399">
        <f ca="1">INDEX(PYRL_Summary,MATCH(W129,months,0),7)</f>
        <v>0</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0</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0</v>
      </c>
      <c r="U131" s="358">
        <f ca="1">INDEX(PYRL_Summary,MATCH(W129,months,0),22)</f>
        <v>0</v>
      </c>
      <c r="V131" s="359">
        <f ca="1">INDEX(PYRL_Summary,MATCH(W129,months,0),23)</f>
        <v>0</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0</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0</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2026004</v>
      </c>
      <c r="P133" s="195" t="s">
        <v>172</v>
      </c>
      <c r="Q133" s="195"/>
      <c r="R133" s="194"/>
      <c r="S133" s="193">
        <f ca="1">INDEX(PYRL_Summary,MATCH(W129,months,0),11)</f>
        <v>0</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INDEX(PYRL_Summary,MATCH(W129,months,0),10)</f>
        <v>0</v>
      </c>
      <c r="T134" s="189" t="s">
        <v>176</v>
      </c>
      <c r="U134" s="190"/>
      <c r="V134" s="350">
        <f ca="1">INDEX(PYRL_Summary,MATCH(W129,months,0),15)</f>
        <v>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 xml:space="preserve"> </v>
      </c>
      <c r="R135" s="100">
        <f ca="1">IF((INDEX(PYRL_Summary,MATCH(W129,months,0),13)&gt;=0.01),(INDEX(PYRL_Summary,MATCH(W129,months,0),13)),0)</f>
        <v>0</v>
      </c>
      <c r="S135" s="102">
        <f ca="1">+P135+R135</f>
        <v>0</v>
      </c>
      <c r="T135" s="889" t="str">
        <f>+IBAN</f>
        <v>MT44VALL22013000000040022723312</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0</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0</v>
      </c>
      <c r="O138" s="407" t="s">
        <v>187</v>
      </c>
      <c r="P138" s="408">
        <f>+W119</f>
        <v>46327</v>
      </c>
      <c r="Q138" s="409">
        <f ca="1">INDEX(PYRL_Summary,MATCH(P138,months,0),31)</f>
        <v>48</v>
      </c>
      <c r="R138" s="410" t="s">
        <v>188</v>
      </c>
      <c r="S138" s="411">
        <f ca="1">INDEX(PYRL_Summary,MATCH(W129,months,0),33)</f>
        <v>5.3333333333333339</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I7:K7"/>
    <mergeCell ref="C8:F8"/>
    <mergeCell ref="C12:F12"/>
    <mergeCell ref="B2:B4"/>
    <mergeCell ref="B5:C5"/>
    <mergeCell ref="C6:F6"/>
    <mergeCell ref="C7:F7"/>
    <mergeCell ref="C9:F9"/>
    <mergeCell ref="I9:K9"/>
    <mergeCell ref="C10:F10"/>
    <mergeCell ref="C11:F11"/>
    <mergeCell ref="I11:K11"/>
    <mergeCell ref="O19:O20"/>
    <mergeCell ref="K20:L20"/>
    <mergeCell ref="K21:L21"/>
    <mergeCell ref="K22:L22"/>
    <mergeCell ref="K23:L23"/>
    <mergeCell ref="B14:D14"/>
    <mergeCell ref="B16:D16"/>
    <mergeCell ref="H16:I16"/>
    <mergeCell ref="K18:L18"/>
    <mergeCell ref="K19:L19"/>
    <mergeCell ref="T25:V25"/>
    <mergeCell ref="B26:F26"/>
    <mergeCell ref="T45:V45"/>
    <mergeCell ref="A31:E32"/>
    <mergeCell ref="B34:G34"/>
    <mergeCell ref="A35:E35"/>
    <mergeCell ref="F35:H35"/>
    <mergeCell ref="J35:L35"/>
    <mergeCell ref="T35:V35"/>
    <mergeCell ref="C36:D36"/>
    <mergeCell ref="O39:O40"/>
    <mergeCell ref="H42:I42"/>
    <mergeCell ref="B44:C44"/>
    <mergeCell ref="C45:F45"/>
    <mergeCell ref="O29:O30"/>
    <mergeCell ref="T55:V55"/>
    <mergeCell ref="C46:F46"/>
    <mergeCell ref="C47:F47"/>
    <mergeCell ref="C48:D48"/>
    <mergeCell ref="C49:F49"/>
    <mergeCell ref="O49:O50"/>
    <mergeCell ref="C50:F50"/>
    <mergeCell ref="C51:F51"/>
    <mergeCell ref="I51:K51"/>
    <mergeCell ref="B52:B53"/>
    <mergeCell ref="C52:F53"/>
    <mergeCell ref="G52:L53"/>
    <mergeCell ref="O99:O100"/>
    <mergeCell ref="O59:O60"/>
    <mergeCell ref="E64:F64"/>
    <mergeCell ref="E65:F65"/>
    <mergeCell ref="T65:V65"/>
    <mergeCell ref="E66:F66"/>
    <mergeCell ref="O69:O70"/>
    <mergeCell ref="T75:V75"/>
    <mergeCell ref="O79:O80"/>
    <mergeCell ref="T85:V85"/>
    <mergeCell ref="O89:O90"/>
    <mergeCell ref="T95:V95"/>
    <mergeCell ref="T135:V135"/>
    <mergeCell ref="T105:V105"/>
    <mergeCell ref="O109:O110"/>
    <mergeCell ref="T115:V115"/>
    <mergeCell ref="O119:O120"/>
    <mergeCell ref="T125:V125"/>
    <mergeCell ref="O129:O130"/>
  </mergeCells>
  <conditionalFormatting sqref="O25:P25">
    <cfRule type="expression" dxfId="203" priority="29">
      <formula>$P25=0</formula>
    </cfRule>
  </conditionalFormatting>
  <conditionalFormatting sqref="Q25:R25">
    <cfRule type="expression" dxfId="202" priority="28">
      <formula>$R25=0</formula>
    </cfRule>
  </conditionalFormatting>
  <conditionalFormatting sqref="S25">
    <cfRule type="expression" dxfId="201" priority="27">
      <formula>$S25=0</formula>
    </cfRule>
  </conditionalFormatting>
  <conditionalFormatting sqref="S26">
    <cfRule type="expression" dxfId="200" priority="25">
      <formula>$S$46&gt;0.01</formula>
    </cfRule>
    <cfRule type="expression" dxfId="199" priority="26">
      <formula>$S$46=0</formula>
    </cfRule>
  </conditionalFormatting>
  <conditionalFormatting sqref="T23 T33 T43 T53 T63 T73 T83 T93 T103 T113 T123 T133">
    <cfRule type="expression" dxfId="198" priority="24" stopIfTrue="1">
      <formula>"$R$23=0"""</formula>
    </cfRule>
  </conditionalFormatting>
  <conditionalFormatting sqref="O26:Q26">
    <cfRule type="expression" dxfId="197" priority="23">
      <formula>$Q$26=0</formula>
    </cfRule>
  </conditionalFormatting>
  <conditionalFormatting sqref="V23">
    <cfRule type="expression" dxfId="196" priority="22">
      <formula>$V$23=0</formula>
    </cfRule>
  </conditionalFormatting>
  <conditionalFormatting sqref="O35:P35">
    <cfRule type="expression" dxfId="195" priority="21">
      <formula>$P35=0</formula>
    </cfRule>
  </conditionalFormatting>
  <conditionalFormatting sqref="Q35:R35">
    <cfRule type="expression" dxfId="194" priority="20">
      <formula>$R35=0</formula>
    </cfRule>
  </conditionalFormatting>
  <conditionalFormatting sqref="S35">
    <cfRule type="expression" dxfId="193" priority="19">
      <formula>$S35=0</formula>
    </cfRule>
  </conditionalFormatting>
  <conditionalFormatting sqref="S36">
    <cfRule type="expression" dxfId="192" priority="17">
      <formula>$S$46&gt;0.01</formula>
    </cfRule>
    <cfRule type="expression" dxfId="191" priority="18">
      <formula>$S$46=0</formula>
    </cfRule>
  </conditionalFormatting>
  <conditionalFormatting sqref="O36:Q36">
    <cfRule type="expression" dxfId="190" priority="16">
      <formula>$Q$26=0</formula>
    </cfRule>
  </conditionalFormatting>
  <conditionalFormatting sqref="V33">
    <cfRule type="expression" dxfId="189" priority="15">
      <formula>$V$23=0</formula>
    </cfRule>
  </conditionalFormatting>
  <conditionalFormatting sqref="O45:P45 O65:P65 O85:P85 O105:P105 O125:P125">
    <cfRule type="expression" dxfId="188" priority="14">
      <formula>$P45=0</formula>
    </cfRule>
  </conditionalFormatting>
  <conditionalFormatting sqref="Q45:R45 Q65:R65 Q85:R85 Q105:R105 Q125:R125">
    <cfRule type="expression" dxfId="187" priority="13">
      <formula>$R45=0</formula>
    </cfRule>
  </conditionalFormatting>
  <conditionalFormatting sqref="S45 S65 S85 S105 S125">
    <cfRule type="expression" dxfId="186" priority="12">
      <formula>$S45=0</formula>
    </cfRule>
  </conditionalFormatting>
  <conditionalFormatting sqref="S46 S66 S86 S106 S126">
    <cfRule type="expression" dxfId="185" priority="10">
      <formula>$S$46&gt;0.01</formula>
    </cfRule>
    <cfRule type="expression" dxfId="184" priority="11">
      <formula>$S$46=0</formula>
    </cfRule>
  </conditionalFormatting>
  <conditionalFormatting sqref="O46:Q46 O66:Q66 O86:Q86 O106:Q106 O126:Q126">
    <cfRule type="expression" dxfId="183" priority="9">
      <formula>$Q$26=0</formula>
    </cfRule>
  </conditionalFormatting>
  <conditionalFormatting sqref="V43 V63 V83 V103 V123">
    <cfRule type="expression" dxfId="182" priority="8">
      <formula>$V$23=0</formula>
    </cfRule>
  </conditionalFormatting>
  <conditionalFormatting sqref="O55:P55 O75:P75 O95:P95 O115:P115 O135:P135">
    <cfRule type="expression" dxfId="181" priority="7">
      <formula>$P55=0</formula>
    </cfRule>
  </conditionalFormatting>
  <conditionalFormatting sqref="Q55:R55 Q75:R75 Q95:R95 Q115:R115 Q135:R135">
    <cfRule type="expression" dxfId="180" priority="6">
      <formula>$R55=0</formula>
    </cfRule>
  </conditionalFormatting>
  <conditionalFormatting sqref="S55 S75 S95 S115 S135">
    <cfRule type="expression" dxfId="179" priority="5">
      <formula>$S55=0</formula>
    </cfRule>
  </conditionalFormatting>
  <conditionalFormatting sqref="S56 S76 S96 S116 S136">
    <cfRule type="expression" dxfId="178" priority="3">
      <formula>$S$46&gt;0.01</formula>
    </cfRule>
    <cfRule type="expression" dxfId="177" priority="4">
      <formula>$S$46=0</formula>
    </cfRule>
  </conditionalFormatting>
  <conditionalFormatting sqref="O56:Q56 O76:Q76 O96:Q96 O116:Q116 O136:Q136">
    <cfRule type="expression" dxfId="176" priority="2">
      <formula>$Q$26=0</formula>
    </cfRule>
  </conditionalFormatting>
  <conditionalFormatting sqref="V53 V73 V93 V113 V133">
    <cfRule type="expression" dxfId="175" priority="1">
      <formula>$V$23=0</formula>
    </cfRule>
  </conditionalFormatting>
  <hyperlinks>
    <hyperlink ref="F57" r:id="rId1" display="drchrisgauci@gmail.com" xr:uid="{CC6F1D68-0FE9-4616-AB6F-A85027F1885B}"/>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40449"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40450"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40451"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40452"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40453"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40454"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40455"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40456"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40457"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40458"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40459"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40460"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40461"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
    <tabColor rgb="FF04CCB9"/>
  </sheetPr>
  <dimension ref="A1"/>
  <sheetViews>
    <sheetView workbookViewId="0"/>
  </sheetViews>
  <sheetFormatPr defaultRowHeight="15" x14ac:dyDescent="0.25"/>
  <sheetData>
    <row r="1" spans="1:1" x14ac:dyDescent="0.25">
      <c r="A1" s="44" t="s">
        <v>249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5">
    <tabColor rgb="FF7030A0"/>
  </sheetPr>
  <dimension ref="A1:BJ149"/>
  <sheetViews>
    <sheetView topLeftCell="I25" workbookViewId="0">
      <selection activeCell="W35" sqref="W35"/>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RAcharya</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2025003</v>
      </c>
      <c r="O2" s="810" t="str">
        <f>CONCATENATE(LEFT(Name,1),Surname)</f>
        <v>RAcharya</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8</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8.1310000000000002</v>
      </c>
      <c r="O4" s="213">
        <f>+DATA!A3</f>
        <v>46023</v>
      </c>
      <c r="P4" s="219">
        <f ca="1">+INDIRECT("[EMPINFO.xlsm]"&amp;$O$2&amp;"!G4")</f>
        <v>4</v>
      </c>
      <c r="Q4" s="215">
        <f ca="1">IF(AZ4="active",INDIRECT("[EMPINFO.xlsm]"&amp;$O$2&amp;"!H4"),0)</f>
        <v>40</v>
      </c>
      <c r="R4" s="239">
        <f ca="1">IF(AZ4&lt;&gt;"active",0,N3+COLA)</f>
        <v>8.1310000000000002</v>
      </c>
      <c r="S4" s="216">
        <f t="shared" ref="S4:S15" ca="1" si="1">+Q4*R4*4.33333333333333*AO4/AX4</f>
        <v>1409.3733333333323</v>
      </c>
      <c r="T4" s="220">
        <f t="shared" ref="T4:T15" ca="1" si="2">+BA4*R4</f>
        <v>0</v>
      </c>
      <c r="U4" s="218">
        <f t="shared" ref="U4:U15" ca="1" si="3">-AY4*R4</f>
        <v>0</v>
      </c>
      <c r="V4" s="220">
        <f ca="1">+janoth*janhrrt</f>
        <v>0</v>
      </c>
      <c r="W4" s="201"/>
      <c r="X4" s="218">
        <f t="shared" ref="X4:X15" si="4">IF((AT3=0),AV3,(AV3-(AV3/(Q3*P3)*AT3)))</f>
        <v>0</v>
      </c>
      <c r="Y4" s="803">
        <f t="shared" ref="Y4:Y15" si="5">IF((AT3=0),AW3,(AW3-(AW3/(Q3*P3)*AT3*1.5)))</f>
        <v>0</v>
      </c>
      <c r="Z4" s="218">
        <f t="shared" ref="Z4:Z15" ca="1" si="6">+SUM(S4:Y4)</f>
        <v>1409.3733333333323</v>
      </c>
      <c r="AA4" s="803">
        <f t="shared" ref="AA4:AA15" ca="1" si="7">IF(OR(AN4="PT",AN4="PT_Casual"),TRUNC((Z4*PT_Rate),0),(TRUNC((Z4*BB4)-(BC4/12),0)))</f>
        <v>69</v>
      </c>
      <c r="AB4" s="218">
        <f ca="1">+INDIRECT("[EMPINFO.xlsm]"&amp;$O$2&amp;"!s4")</f>
        <v>0</v>
      </c>
      <c r="AC4" s="292">
        <v>1.5</v>
      </c>
      <c r="AD4" s="218">
        <f t="shared" ref="AD4:AD15" ca="1" si="8">+AB4*(R4*AC4)</f>
        <v>0</v>
      </c>
      <c r="AE4" s="220">
        <f t="shared" ref="AE4:AE15" ca="1" si="9">+TRUNC((AD4*0.15),0)</f>
        <v>0</v>
      </c>
      <c r="AF4" s="218">
        <f t="shared" ref="AF4:AF15" ca="1" si="10">+AA4+AE4</f>
        <v>69</v>
      </c>
      <c r="AG4" s="803">
        <f t="shared" ref="AG4:AG15" ca="1" si="11">+R4*Q4</f>
        <v>325.24</v>
      </c>
      <c r="AH4" s="218">
        <f t="shared" ref="AH4:AH15" ca="1" si="12">ROUND(IF(AN4="",0,IF(OR(AN4="PT",AN4="PT_Casual"),0,IF(AM4="B",ROUND(SSCBemployermultiplier*P4,2),IF(AM4="c",SOCSECCRATE*AG4*P4,IF(AM4="D",ROUND(socsecrateD*P4,2)))))),2)</f>
        <v>130.1</v>
      </c>
      <c r="AI4" s="803">
        <f t="shared" ref="AI4:AI15" ca="1" si="13">ROUND(IF(AN4="",0,IF(OR(AN4="PT",AN4="PT_Casual"),0,IF(AM4="B",ROUND(SSCBemployermultiplier*P4,2),IF(AM4="c",SOCSECCRATE*AG4*P4,IF(AM4="D",ROUND(socsecrateD*P4,2)))))),2)</f>
        <v>130.1</v>
      </c>
      <c r="AJ4" s="218">
        <f t="shared" ref="AJ4:AJ16" ca="1" si="14">+AH4+AI4</f>
        <v>260.2</v>
      </c>
      <c r="AK4" s="803">
        <f t="shared" ref="AK4:AK15" ca="1" si="15">ROUND(IF(AN4="",0,IF(OR(AN4="PT",AN4="PT_Casual"),0,IF(AM4="B",SSCBmlfmultiplier*P4,IF(AM4="c",SSCCmlfmultiplier*P4*AG4,IF(AM4="D",SSCDmlfmultiplier*P4))))),2)</f>
        <v>3.9</v>
      </c>
      <c r="AL4" s="218">
        <f ca="1">+Z4+AH4+AK4</f>
        <v>1543.3733333333323</v>
      </c>
      <c r="AM4" s="290" t="str">
        <f t="shared" ref="AM4:AM15" ca="1" si="16">IF(AZ4="Active",IF(OR(AN4="PT",AN4="PT_Casual"),0,(IF(AG4&lt;SSCcatBMAX,"B",(IF(AG4&lt;SSCcatCMAX,"C","D"))))),0)</f>
        <v>C</v>
      </c>
      <c r="AN4" s="291" t="str">
        <f t="shared" ref="AN4:AN15" ca="1" si="17">IF(AZ4="active",+Timer,"")</f>
        <v>FT</v>
      </c>
      <c r="AO4" s="223">
        <f ca="1">+INDIRECT("[EMPINFO.xlsm]"&amp;$O$2&amp;"!t4")</f>
        <v>31</v>
      </c>
      <c r="AP4" s="226">
        <f ca="1">+INDIRECT("[EMPINFO.xlsm]"&amp;$O$2&amp;"!o4")</f>
        <v>-200</v>
      </c>
      <c r="AQ4" s="840">
        <f ca="1">+INDIRECT("[EMPINFO.xlsm]"&amp;$O$2&amp;"!p4")</f>
        <v>-200</v>
      </c>
      <c r="AR4" s="226">
        <f ca="1">+INDIRECT("[EMPINFO.xlsm]"&amp;$O$2&amp;"!j4")</f>
        <v>0</v>
      </c>
      <c r="AS4" s="840">
        <f ca="1">+INDIRECT("[EMPINFO.xlsm]"&amp;$O$2&amp;"!k4")</f>
        <v>223.99999999999997</v>
      </c>
      <c r="AT4" s="226">
        <f ca="1">+INDIRECT("[EMPINFO.xlsm]"&amp;$O$2&amp;"!m4")</f>
        <v>0</v>
      </c>
      <c r="AU4" s="844">
        <f ca="1">+INDIRECT("[EMPINFO.xlsm]"&amp;$O$2&amp;"!n4")</f>
        <v>240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0</v>
      </c>
      <c r="BB4" s="288">
        <f t="shared" ref="BB4:BB15" ca="1" si="20">IF(AND(Timer="pt",(Z4*12)&lt;10000),+ptrate,IF((Z4*12)&lt;$F$68,$G$68,IF((Z4*12)&lt;$F$69,$G$69,IF((Z4*12)&lt;$F$70,$G$70,IF((Z4*12)&lt;$F$71,$G$71,$G$72)))))</f>
        <v>0.25</v>
      </c>
      <c r="BC4" s="289">
        <f t="shared" ref="BC4:BC15" ca="1" si="21">IF((Z4*12)&lt;$F$68,$H$68,IF((Z4*12)&lt;$F$69,$H$69,IF((Z4*12)&lt;$F$70,$H$70,IF((Z4*12)&lt;$F$71,$H$71,$H$72))))</f>
        <v>3400</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8.1310000000000002</v>
      </c>
      <c r="O5" s="213">
        <f>+DATA!A4</f>
        <v>46054</v>
      </c>
      <c r="P5" s="219">
        <f ca="1">+INDIRECT("[EMPINFO.xlsm]"&amp;$O$2&amp;"!G5")</f>
        <v>4</v>
      </c>
      <c r="Q5" s="215">
        <f ca="1">IF(AZ5="active",INDIRECT("[EMPINFO.xlsm]"&amp;$O$2&amp;"!H5"),0)</f>
        <v>40</v>
      </c>
      <c r="R5" s="239">
        <f t="shared" ref="R5:R15" ca="1" si="22">+R4</f>
        <v>8.1310000000000002</v>
      </c>
      <c r="S5" s="216">
        <f t="shared" ca="1" si="1"/>
        <v>1409.3733333333323</v>
      </c>
      <c r="T5" s="220">
        <f t="shared" ca="1" si="2"/>
        <v>0</v>
      </c>
      <c r="U5" s="218">
        <f t="shared" ca="1" si="3"/>
        <v>0</v>
      </c>
      <c r="V5" s="220">
        <f ca="1">+feboth*febhrrt</f>
        <v>0</v>
      </c>
      <c r="W5" s="201"/>
      <c r="X5" s="218">
        <f t="shared" ca="1" si="4"/>
        <v>0</v>
      </c>
      <c r="Y5" s="803">
        <f t="shared" ca="1" si="5"/>
        <v>0</v>
      </c>
      <c r="Z5" s="218">
        <f t="shared" ca="1" si="6"/>
        <v>1409.3733333333323</v>
      </c>
      <c r="AA5" s="803">
        <f t="shared" ca="1" si="7"/>
        <v>69</v>
      </c>
      <c r="AB5" s="218">
        <f ca="1">+INDIRECT("[EMPINFO.xlsm]"&amp;$O$2&amp;"!s5")</f>
        <v>0</v>
      </c>
      <c r="AC5" s="292">
        <v>1.5</v>
      </c>
      <c r="AD5" s="218">
        <f t="shared" ca="1" si="8"/>
        <v>0</v>
      </c>
      <c r="AE5" s="220">
        <f t="shared" ca="1" si="9"/>
        <v>0</v>
      </c>
      <c r="AF5" s="218">
        <f t="shared" ca="1" si="10"/>
        <v>69</v>
      </c>
      <c r="AG5" s="803">
        <f t="shared" ca="1" si="11"/>
        <v>325.24</v>
      </c>
      <c r="AH5" s="218">
        <f t="shared" ca="1" si="12"/>
        <v>130.1</v>
      </c>
      <c r="AI5" s="803">
        <f t="shared" ca="1" si="13"/>
        <v>130.1</v>
      </c>
      <c r="AJ5" s="218">
        <f t="shared" ca="1" si="14"/>
        <v>260.2</v>
      </c>
      <c r="AK5" s="803">
        <f t="shared" ca="1" si="15"/>
        <v>3.9</v>
      </c>
      <c r="AL5" s="218">
        <f t="shared" ref="AL5:AL15" ca="1" si="23">+Z5+AI5+AK5</f>
        <v>1543.3733333333323</v>
      </c>
      <c r="AM5" s="290" t="str">
        <f t="shared" ca="1" si="16"/>
        <v>C</v>
      </c>
      <c r="AN5" s="291" t="str">
        <f t="shared" ca="1" si="17"/>
        <v>FT</v>
      </c>
      <c r="AO5" s="223">
        <f ca="1">+INDIRECT("[EMPINFO.xlsm]"&amp;$O$2&amp;"!t5")</f>
        <v>28</v>
      </c>
      <c r="AP5" s="226">
        <f ca="1">+INDIRECT("[EMPINFO.xlsm]"&amp;$O$2&amp;"!o5")</f>
        <v>-160</v>
      </c>
      <c r="AQ5" s="840">
        <f ca="1">+INDIRECT("[EMPINFO.xlsm]"&amp;$O$2&amp;"!p5")</f>
        <v>-360</v>
      </c>
      <c r="AR5" s="226">
        <f ca="1">+INDIRECT("[EMPINFO.xlsm]"&amp;$O$2&amp;"!j5")</f>
        <v>0</v>
      </c>
      <c r="AS5" s="840">
        <f ca="1">+INDIRECT("[EMPINFO.xlsm]"&amp;$O$2&amp;"!k5")</f>
        <v>223.99999999999997</v>
      </c>
      <c r="AT5" s="226">
        <f ca="1">+INDIRECT("[EMPINFO.xlsm]"&amp;$O$2&amp;"!m5")</f>
        <v>0</v>
      </c>
      <c r="AU5" s="844">
        <f ca="1">+INDIRECT("[EMPINFO.xlsm]"&amp;$O$2&amp;"!n5")</f>
        <v>240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0</v>
      </c>
      <c r="BB5" s="288">
        <f t="shared" ca="1" si="20"/>
        <v>0.25</v>
      </c>
      <c r="BC5" s="289">
        <f t="shared" ca="1" si="21"/>
        <v>3400</v>
      </c>
      <c r="BD5" s="255"/>
      <c r="BE5" s="205"/>
      <c r="BG5" s="27"/>
      <c r="BH5" s="28"/>
    </row>
    <row r="6" spans="1:62" ht="15.75" customHeight="1" thickBot="1" x14ac:dyDescent="0.3">
      <c r="A6" s="54"/>
      <c r="B6" s="2" t="s">
        <v>135</v>
      </c>
      <c r="C6" s="921" t="str">
        <f>INDEX([1]!empdata,MATCH(ID,[1]!empid,0),3)</f>
        <v>Acharya</v>
      </c>
      <c r="D6" s="922"/>
      <c r="E6" s="922"/>
      <c r="F6" s="886"/>
      <c r="I6" s="312" t="s">
        <v>136</v>
      </c>
      <c r="L6" s="101"/>
      <c r="M6" s="303"/>
      <c r="N6" s="211">
        <f t="shared" ca="1" si="0"/>
        <v>8.1310000000000002</v>
      </c>
      <c r="O6" s="213">
        <f>+DATA!A5</f>
        <v>46082</v>
      </c>
      <c r="P6" s="219">
        <f ca="1">+INDIRECT("[EMPINFO.xlsm]"&amp;$O$2&amp;"!G6")</f>
        <v>5</v>
      </c>
      <c r="Q6" s="215">
        <f ca="1">IF(AZ6="active",INDIRECT("[EMPINFO.xlsm]"&amp;$O$2&amp;"!H6"),0)</f>
        <v>40</v>
      </c>
      <c r="R6" s="239">
        <f t="shared" ca="1" si="22"/>
        <v>8.1310000000000002</v>
      </c>
      <c r="S6" s="216">
        <f t="shared" ca="1" si="1"/>
        <v>1409.3733333333323</v>
      </c>
      <c r="T6" s="220">
        <f t="shared" ca="1" si="2"/>
        <v>0</v>
      </c>
      <c r="U6" s="218">
        <f t="shared" ca="1" si="3"/>
        <v>0</v>
      </c>
      <c r="V6" s="220">
        <f ca="1">+maroth*marhrrt</f>
        <v>0</v>
      </c>
      <c r="W6" s="202">
        <f ca="1">+IF(AZ6&lt;&gt;"active",0,(IF(Timer="PT_casual",(bonusmar/1040*(BA6+BA5+BA4)),(bonusmar/182*(AO6+AO5+AO4+AO3)*(Q6+Q5+Q4)/120))))</f>
        <v>121.16</v>
      </c>
      <c r="X6" s="218">
        <f t="shared" ca="1" si="4"/>
        <v>0</v>
      </c>
      <c r="Y6" s="803">
        <f t="shared" ca="1" si="5"/>
        <v>0</v>
      </c>
      <c r="Z6" s="218">
        <f t="shared" ca="1" si="6"/>
        <v>1530.5333333333324</v>
      </c>
      <c r="AA6" s="803">
        <f t="shared" ca="1" si="7"/>
        <v>99</v>
      </c>
      <c r="AB6" s="218">
        <f ca="1">+INDIRECT("[EMPINFO.xlsm]"&amp;$O$2&amp;"!s6")</f>
        <v>0</v>
      </c>
      <c r="AC6" s="292">
        <v>1.5</v>
      </c>
      <c r="AD6" s="218">
        <f t="shared" ca="1" si="8"/>
        <v>0</v>
      </c>
      <c r="AE6" s="220">
        <f t="shared" ca="1" si="9"/>
        <v>0</v>
      </c>
      <c r="AF6" s="218">
        <f t="shared" ca="1" si="10"/>
        <v>99</v>
      </c>
      <c r="AG6" s="803">
        <f t="shared" ca="1" si="11"/>
        <v>325.24</v>
      </c>
      <c r="AH6" s="218">
        <f t="shared" ca="1" si="12"/>
        <v>162.62</v>
      </c>
      <c r="AI6" s="803">
        <f t="shared" ca="1" si="13"/>
        <v>162.62</v>
      </c>
      <c r="AJ6" s="218">
        <f t="shared" ca="1" si="14"/>
        <v>325.24</v>
      </c>
      <c r="AK6" s="803">
        <f t="shared" ca="1" si="15"/>
        <v>4.88</v>
      </c>
      <c r="AL6" s="218">
        <f t="shared" ca="1" si="23"/>
        <v>1698.0333333333324</v>
      </c>
      <c r="AM6" s="290" t="str">
        <f t="shared" ca="1" si="16"/>
        <v>C</v>
      </c>
      <c r="AN6" s="291" t="str">
        <f t="shared" ca="1" si="17"/>
        <v>FT</v>
      </c>
      <c r="AO6" s="223">
        <f ca="1">+INDIRECT("[EMPINFO.xlsm]"&amp;$O$2&amp;"!t6")</f>
        <v>31</v>
      </c>
      <c r="AP6" s="226">
        <f ca="1">+INDIRECT("[EMPINFO.xlsm]"&amp;$O$2&amp;"!o6")</f>
        <v>-160</v>
      </c>
      <c r="AQ6" s="840">
        <f ca="1">+INDIRECT("[EMPINFO.xlsm]"&amp;$O$2&amp;"!p6")</f>
        <v>-520</v>
      </c>
      <c r="AR6" s="226">
        <f ca="1">+INDIRECT("[EMPINFO.xlsm]"&amp;$O$2&amp;"!j6")</f>
        <v>0</v>
      </c>
      <c r="AS6" s="840">
        <f ca="1">+INDIRECT("[EMPINFO.xlsm]"&amp;$O$2&amp;"!k6")</f>
        <v>223.99999999999997</v>
      </c>
      <c r="AT6" s="226">
        <f ca="1">+INDIRECT("[EMPINFO.xlsm]"&amp;$O$2&amp;"!m6")</f>
        <v>0</v>
      </c>
      <c r="AU6" s="844">
        <f ca="1">+INDIRECT("[EMPINFO.xlsm]"&amp;$O$2&amp;"!n6")</f>
        <v>240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f t="shared" ca="1" si="20"/>
        <v>0.25</v>
      </c>
      <c r="BC6" s="289">
        <f t="shared" ca="1" si="21"/>
        <v>3400</v>
      </c>
      <c r="BD6" s="255"/>
      <c r="BE6" s="206"/>
    </row>
    <row r="7" spans="1:62" ht="15.75" customHeight="1" thickBot="1" x14ac:dyDescent="0.3">
      <c r="A7" s="54"/>
      <c r="B7" s="3" t="s">
        <v>137</v>
      </c>
      <c r="C7" s="921" t="str">
        <f>INDEX([1]!empdata,MATCH(ID,[1]!empid,0),4)</f>
        <v>Ramkrishna</v>
      </c>
      <c r="D7" s="922"/>
      <c r="E7" s="922"/>
      <c r="F7" s="886"/>
      <c r="H7" s="312" t="s">
        <v>138</v>
      </c>
      <c r="I7" s="927" t="str">
        <f>INDEX([1]!empdata,MATCH(ID,[1]!empid,0),6)</f>
        <v>302663A</v>
      </c>
      <c r="J7" s="859"/>
      <c r="K7" s="857"/>
      <c r="L7" s="101"/>
      <c r="M7" s="303"/>
      <c r="N7" s="211">
        <f t="shared" ca="1" si="0"/>
        <v>8.1310000000000002</v>
      </c>
      <c r="O7" s="213">
        <f>+DATA!A6</f>
        <v>46113</v>
      </c>
      <c r="P7" s="219">
        <f ca="1">+INDIRECT("[EMPINFO.xlsm]"&amp;$O$2&amp;"!G7")</f>
        <v>4</v>
      </c>
      <c r="Q7" s="215">
        <f ca="1">IF(AZ7="active",INDIRECT("[EMPINFO.xlsm]"&amp;$O$2&amp;"!H7"),0)</f>
        <v>40</v>
      </c>
      <c r="R7" s="239">
        <f t="shared" ca="1" si="22"/>
        <v>8.1310000000000002</v>
      </c>
      <c r="S7" s="216">
        <f t="shared" ca="1" si="1"/>
        <v>1409.3733333333323</v>
      </c>
      <c r="T7" s="220">
        <f t="shared" ca="1" si="2"/>
        <v>0</v>
      </c>
      <c r="U7" s="218">
        <f t="shared" ca="1" si="3"/>
        <v>0</v>
      </c>
      <c r="V7" s="220">
        <f ca="1">+aproth*aprhrrt</f>
        <v>0</v>
      </c>
      <c r="W7" s="201"/>
      <c r="X7" s="218">
        <f t="shared" ca="1" si="4"/>
        <v>0</v>
      </c>
      <c r="Y7" s="803">
        <f t="shared" ca="1" si="5"/>
        <v>0</v>
      </c>
      <c r="Z7" s="218">
        <f t="shared" ca="1" si="6"/>
        <v>1409.3733333333323</v>
      </c>
      <c r="AA7" s="803">
        <f t="shared" ca="1" si="7"/>
        <v>69</v>
      </c>
      <c r="AB7" s="218">
        <f ca="1">+INDIRECT("[EMPINFO.xlsm]"&amp;$O$2&amp;"!s7")</f>
        <v>0</v>
      </c>
      <c r="AC7" s="292">
        <v>1.5</v>
      </c>
      <c r="AD7" s="218">
        <f t="shared" ca="1" si="8"/>
        <v>0</v>
      </c>
      <c r="AE7" s="220">
        <f t="shared" ca="1" si="9"/>
        <v>0</v>
      </c>
      <c r="AF7" s="218">
        <f t="shared" ca="1" si="10"/>
        <v>69</v>
      </c>
      <c r="AG7" s="803">
        <f t="shared" ca="1" si="11"/>
        <v>325.24</v>
      </c>
      <c r="AH7" s="218">
        <f t="shared" ca="1" si="12"/>
        <v>130.1</v>
      </c>
      <c r="AI7" s="803">
        <f t="shared" ca="1" si="13"/>
        <v>130.1</v>
      </c>
      <c r="AJ7" s="218">
        <f t="shared" ca="1" si="14"/>
        <v>260.2</v>
      </c>
      <c r="AK7" s="803">
        <f t="shared" ca="1" si="15"/>
        <v>3.9</v>
      </c>
      <c r="AL7" s="218">
        <f t="shared" ca="1" si="23"/>
        <v>1543.3733333333323</v>
      </c>
      <c r="AM7" s="290" t="str">
        <f t="shared" ca="1" si="16"/>
        <v>C</v>
      </c>
      <c r="AN7" s="291" t="str">
        <f t="shared" ca="1" si="17"/>
        <v>FT</v>
      </c>
      <c r="AO7" s="223">
        <f ca="1">+INDIRECT("[EMPINFO.xlsm]"&amp;$O$2&amp;"!t7")</f>
        <v>30</v>
      </c>
      <c r="AP7" s="226">
        <f ca="1">+INDIRECT("[EMPINFO.xlsm]"&amp;$O$2&amp;"!o7")</f>
        <v>-160</v>
      </c>
      <c r="AQ7" s="840">
        <f ca="1">+INDIRECT("[EMPINFO.xlsm]"&amp;$O$2&amp;"!p7")</f>
        <v>-680</v>
      </c>
      <c r="AR7" s="226">
        <f ca="1">+INDIRECT("[EMPINFO.xlsm]"&amp;$O$2&amp;"!j7")</f>
        <v>0</v>
      </c>
      <c r="AS7" s="840">
        <f ca="1">+INDIRECT("[EMPINFO.xlsm]"&amp;$O$2&amp;"!k7")</f>
        <v>223.99999999999997</v>
      </c>
      <c r="AT7" s="226">
        <f ca="1">+INDIRECT("[EMPINFO.xlsm]"&amp;$O$2&amp;"!m7")</f>
        <v>0</v>
      </c>
      <c r="AU7" s="844">
        <f ca="1">+INDIRECT("[EMPINFO.xlsm]"&amp;$O$2&amp;"!n7")</f>
        <v>240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f t="shared" ca="1" si="20"/>
        <v>0.25</v>
      </c>
      <c r="BC7" s="289">
        <f t="shared" ca="1" si="21"/>
        <v>3400</v>
      </c>
      <c r="BD7" s="255"/>
      <c r="BE7" s="206"/>
    </row>
    <row r="8" spans="1:62" ht="15.75" customHeight="1" thickBot="1" x14ac:dyDescent="0.3">
      <c r="A8" s="54"/>
      <c r="B8" s="3" t="s">
        <v>139</v>
      </c>
      <c r="C8" s="921" t="str">
        <f>INDEX([1]!empdata,MATCH(ID,[1]!empid,0),18)</f>
        <v>2, Hacienda Court, Flat 1</v>
      </c>
      <c r="D8" s="922"/>
      <c r="E8" s="922"/>
      <c r="F8" s="886"/>
      <c r="I8" s="312" t="s">
        <v>140</v>
      </c>
      <c r="L8" s="101"/>
      <c r="M8" s="303"/>
      <c r="N8" s="211">
        <f t="shared" ca="1" si="0"/>
        <v>8.1310000000000002</v>
      </c>
      <c r="O8" s="213">
        <f>+DATA!A7</f>
        <v>46143</v>
      </c>
      <c r="P8" s="219">
        <f ca="1">+INDIRECT("[EMPINFO.xlsm]"&amp;$O$2&amp;"!G8")</f>
        <v>4</v>
      </c>
      <c r="Q8" s="215">
        <f ca="1">IF(AZ8="active",INDIRECT("[EMPINFO.xlsm]"&amp;$O$2&amp;"!H8"),0)</f>
        <v>40</v>
      </c>
      <c r="R8" s="239">
        <f t="shared" ca="1" si="22"/>
        <v>8.1310000000000002</v>
      </c>
      <c r="S8" s="216">
        <f t="shared" ca="1" si="1"/>
        <v>1409.3733333333323</v>
      </c>
      <c r="T8" s="220">
        <f t="shared" ca="1" si="2"/>
        <v>0</v>
      </c>
      <c r="U8" s="218">
        <f t="shared" ca="1" si="3"/>
        <v>0</v>
      </c>
      <c r="V8" s="220">
        <f ca="1">+mayoth*mayhrrt</f>
        <v>0</v>
      </c>
      <c r="W8" s="201"/>
      <c r="X8" s="218">
        <f t="shared" ca="1" si="4"/>
        <v>0</v>
      </c>
      <c r="Y8" s="803">
        <f t="shared" ca="1" si="5"/>
        <v>0</v>
      </c>
      <c r="Z8" s="218">
        <f t="shared" ca="1" si="6"/>
        <v>1409.3733333333323</v>
      </c>
      <c r="AA8" s="803">
        <f t="shared" ca="1" si="7"/>
        <v>69</v>
      </c>
      <c r="AB8" s="218">
        <f ca="1">+INDIRECT("[EMPINFO.xlsm]"&amp;$O$2&amp;"!s8")</f>
        <v>0</v>
      </c>
      <c r="AC8" s="292">
        <v>1.5</v>
      </c>
      <c r="AD8" s="218">
        <f t="shared" ca="1" si="8"/>
        <v>0</v>
      </c>
      <c r="AE8" s="220">
        <f t="shared" ca="1" si="9"/>
        <v>0</v>
      </c>
      <c r="AF8" s="218">
        <f t="shared" ca="1" si="10"/>
        <v>69</v>
      </c>
      <c r="AG8" s="803">
        <f t="shared" ca="1" si="11"/>
        <v>325.24</v>
      </c>
      <c r="AH8" s="218">
        <f t="shared" ca="1" si="12"/>
        <v>130.1</v>
      </c>
      <c r="AI8" s="803">
        <f t="shared" ca="1" si="13"/>
        <v>130.1</v>
      </c>
      <c r="AJ8" s="218">
        <f t="shared" ca="1" si="14"/>
        <v>260.2</v>
      </c>
      <c r="AK8" s="803">
        <f t="shared" ca="1" si="15"/>
        <v>3.9</v>
      </c>
      <c r="AL8" s="218">
        <f t="shared" ca="1" si="23"/>
        <v>1543.3733333333323</v>
      </c>
      <c r="AM8" s="290" t="str">
        <f t="shared" ca="1" si="16"/>
        <v>C</v>
      </c>
      <c r="AN8" s="291" t="str">
        <f t="shared" ca="1" si="17"/>
        <v>FT</v>
      </c>
      <c r="AO8" s="223">
        <f ca="1">+INDIRECT("[EMPINFO.xlsm]"&amp;$O$2&amp;"!t8")</f>
        <v>31</v>
      </c>
      <c r="AP8" s="226">
        <f ca="1">+INDIRECT("[EMPINFO.xlsm]"&amp;$O$2&amp;"!o8")</f>
        <v>-200</v>
      </c>
      <c r="AQ8" s="840">
        <f ca="1">+INDIRECT("[EMPINFO.xlsm]"&amp;$O$2&amp;"!p8")</f>
        <v>-880</v>
      </c>
      <c r="AR8" s="226">
        <f ca="1">+INDIRECT("[EMPINFO.xlsm]"&amp;$O$2&amp;"!j8")</f>
        <v>0</v>
      </c>
      <c r="AS8" s="840">
        <f ca="1">+INDIRECT("[EMPINFO.xlsm]"&amp;$O$2&amp;"!k8")</f>
        <v>223.99999999999997</v>
      </c>
      <c r="AT8" s="226">
        <f ca="1">+INDIRECT("[EMPINFO.xlsm]"&amp;$O$2&amp;"!m8")</f>
        <v>0</v>
      </c>
      <c r="AU8" s="844">
        <f ca="1">+INDIRECT("[EMPINFO.xlsm]"&amp;$O$2&amp;"!n8")</f>
        <v>240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f t="shared" ca="1" si="20"/>
        <v>0.25</v>
      </c>
      <c r="BC8" s="289">
        <f t="shared" ca="1" si="21"/>
        <v>3400</v>
      </c>
      <c r="BD8" s="255"/>
      <c r="BE8" s="206"/>
    </row>
    <row r="9" spans="1:62" ht="15.75" customHeight="1" thickBot="1" x14ac:dyDescent="0.3">
      <c r="A9" s="54"/>
      <c r="B9" s="4" t="s">
        <v>141</v>
      </c>
      <c r="C9" s="921" t="str">
        <f>INDEX([1]!empdata,MATCH(ID,[1]!empid,0),19)</f>
        <v>Triq id-Dulliegh</v>
      </c>
      <c r="D9" s="922"/>
      <c r="E9" s="922"/>
      <c r="F9" s="886"/>
      <c r="H9" s="312" t="s">
        <v>20</v>
      </c>
      <c r="I9" s="927">
        <f>INDEX([1]!empdata,MATCH(ID,[1]!empid,0),14)</f>
        <v>0</v>
      </c>
      <c r="J9" s="859"/>
      <c r="K9" s="857"/>
      <c r="L9" s="101"/>
      <c r="M9" s="303"/>
      <c r="N9" s="211">
        <f t="shared" ca="1" si="0"/>
        <v>8.1310000000000002</v>
      </c>
      <c r="O9" s="213">
        <f>+DATA!A8</f>
        <v>46174</v>
      </c>
      <c r="P9" s="219">
        <f ca="1">+INDIRECT("[EMPINFO.xlsm]"&amp;$O$2&amp;"!G9")</f>
        <v>5</v>
      </c>
      <c r="Q9" s="215">
        <f ca="1">IF(AZ9="active",INDIRECT("[EMPINFO.xlsm]"&amp;$O$2&amp;"!H9"),0)</f>
        <v>40</v>
      </c>
      <c r="R9" s="239">
        <f t="shared" ca="1" si="22"/>
        <v>8.1310000000000002</v>
      </c>
      <c r="S9" s="216">
        <f t="shared" ca="1" si="1"/>
        <v>1409.3733333333323</v>
      </c>
      <c r="T9" s="220">
        <f t="shared" ca="1" si="2"/>
        <v>0</v>
      </c>
      <c r="U9" s="218">
        <f t="shared" ca="1" si="3"/>
        <v>0</v>
      </c>
      <c r="V9" s="220">
        <f ca="1">+junoth*junhrrt</f>
        <v>0</v>
      </c>
      <c r="W9" s="202">
        <f ca="1">IF(AZ9&lt;&gt;"active",0,(IF(Timer="PT_casual",(BONUSJUN/1040*(BA9+BA8+BA7+BA6+BA5+BA4)),(BONUSJUN*(SUM(AO4:AO9)/SUM(AX4:AX9))*(SUM(Q4:Q9)/240)))))</f>
        <v>135.1</v>
      </c>
      <c r="X9" s="218">
        <f t="shared" ca="1" si="4"/>
        <v>0</v>
      </c>
      <c r="Y9" s="803">
        <f t="shared" ca="1" si="5"/>
        <v>0</v>
      </c>
      <c r="Z9" s="218">
        <f t="shared" ca="1" si="6"/>
        <v>1544.4733333333322</v>
      </c>
      <c r="AA9" s="803">
        <f t="shared" ca="1" si="7"/>
        <v>102</v>
      </c>
      <c r="AB9" s="218">
        <f ca="1">+INDIRECT("[EMPINFO.xlsm]"&amp;$O$2&amp;"!s9")</f>
        <v>0</v>
      </c>
      <c r="AC9" s="292">
        <v>1.5</v>
      </c>
      <c r="AD9" s="218">
        <f t="shared" ca="1" si="8"/>
        <v>0</v>
      </c>
      <c r="AE9" s="220">
        <f t="shared" ca="1" si="9"/>
        <v>0</v>
      </c>
      <c r="AF9" s="218">
        <f t="shared" ca="1" si="10"/>
        <v>102</v>
      </c>
      <c r="AG9" s="803">
        <f t="shared" ca="1" si="11"/>
        <v>325.24</v>
      </c>
      <c r="AH9" s="218">
        <f t="shared" ca="1" si="12"/>
        <v>162.62</v>
      </c>
      <c r="AI9" s="803">
        <f t="shared" ca="1" si="13"/>
        <v>162.62</v>
      </c>
      <c r="AJ9" s="218">
        <f t="shared" ca="1" si="14"/>
        <v>325.24</v>
      </c>
      <c r="AK9" s="803">
        <f t="shared" ca="1" si="15"/>
        <v>4.88</v>
      </c>
      <c r="AL9" s="218">
        <f t="shared" ca="1" si="23"/>
        <v>1711.9733333333324</v>
      </c>
      <c r="AM9" s="290" t="str">
        <f t="shared" ca="1" si="16"/>
        <v>C</v>
      </c>
      <c r="AN9" s="291" t="str">
        <f t="shared" ca="1" si="17"/>
        <v>FT</v>
      </c>
      <c r="AO9" s="223">
        <f ca="1">+INDIRECT("[EMPINFO.xlsm]"&amp;$O$2&amp;"!t9")</f>
        <v>30</v>
      </c>
      <c r="AP9" s="226">
        <f ca="1">+INDIRECT("[EMPINFO.xlsm]"&amp;$O$2&amp;"!o9")</f>
        <v>-160</v>
      </c>
      <c r="AQ9" s="840">
        <f ca="1">+INDIRECT("[EMPINFO.xlsm]"&amp;$O$2&amp;"!p9")</f>
        <v>-1040</v>
      </c>
      <c r="AR9" s="226">
        <f ca="1">+INDIRECT("[EMPINFO.xlsm]"&amp;$O$2&amp;"!j9")</f>
        <v>0</v>
      </c>
      <c r="AS9" s="840">
        <f ca="1">+INDIRECT("[EMPINFO.xlsm]"&amp;$O$2&amp;"!k9")</f>
        <v>223.99999999999997</v>
      </c>
      <c r="AT9" s="226">
        <f ca="1">+INDIRECT("[EMPINFO.xlsm]"&amp;$O$2&amp;"!m9")</f>
        <v>0</v>
      </c>
      <c r="AU9" s="844">
        <f ca="1">+INDIRECT("[EMPINFO.xlsm]"&amp;$O$2&amp;"!n9")</f>
        <v>240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f t="shared" ca="1" si="20"/>
        <v>0.25</v>
      </c>
      <c r="BC9" s="289">
        <f t="shared" ca="1" si="21"/>
        <v>3400</v>
      </c>
      <c r="BD9" s="255"/>
      <c r="BE9" s="206"/>
    </row>
    <row r="10" spans="1:62" ht="15.75" customHeight="1" thickBot="1" x14ac:dyDescent="0.3">
      <c r="A10" s="54"/>
      <c r="B10" s="5" t="s">
        <v>142</v>
      </c>
      <c r="C10" s="921" t="str">
        <f>INDEX([1]!empdata,MATCH(ID,[1]!empid,0),20)</f>
        <v>Zejtun</v>
      </c>
      <c r="D10" s="922"/>
      <c r="E10" s="922"/>
      <c r="F10" s="886"/>
      <c r="I10" s="312" t="s">
        <v>143</v>
      </c>
      <c r="L10" s="101"/>
      <c r="M10" s="303"/>
      <c r="N10" s="211">
        <f t="shared" ca="1" si="0"/>
        <v>8.1310000000000002</v>
      </c>
      <c r="O10" s="213">
        <f>+DATA!A9</f>
        <v>46204</v>
      </c>
      <c r="P10" s="219">
        <f ca="1">+INDIRECT("[EMPINFO.xlsm]"&amp;$O$2&amp;"!G10")</f>
        <v>4</v>
      </c>
      <c r="Q10" s="215">
        <f ca="1">IF(AZ10="active",INDIRECT("[EMPINFO.xlsm]"&amp;$O$2&amp;"!H10"),0)</f>
        <v>40</v>
      </c>
      <c r="R10" s="239">
        <f t="shared" ca="1" si="22"/>
        <v>8.1310000000000002</v>
      </c>
      <c r="S10" s="216">
        <f t="shared" ca="1" si="1"/>
        <v>1409.3733333333323</v>
      </c>
      <c r="T10" s="220">
        <f t="shared" ca="1" si="2"/>
        <v>0</v>
      </c>
      <c r="U10" s="218">
        <f t="shared" ca="1" si="3"/>
        <v>0</v>
      </c>
      <c r="V10" s="220">
        <f ca="1">+juloth*julhrrt</f>
        <v>0</v>
      </c>
      <c r="W10" s="201"/>
      <c r="X10" s="218">
        <f t="shared" ca="1" si="4"/>
        <v>0</v>
      </c>
      <c r="Y10" s="803">
        <f t="shared" ca="1" si="5"/>
        <v>0</v>
      </c>
      <c r="Z10" s="218">
        <f t="shared" ca="1" si="6"/>
        <v>1409.3733333333323</v>
      </c>
      <c r="AA10" s="803">
        <f t="shared" ca="1" si="7"/>
        <v>69</v>
      </c>
      <c r="AB10" s="218">
        <f ca="1">+INDIRECT("[EMPINFO.xlsm]"&amp;$O$2&amp;"!s10")</f>
        <v>0</v>
      </c>
      <c r="AC10" s="292">
        <v>1.5</v>
      </c>
      <c r="AD10" s="218">
        <f t="shared" ca="1" si="8"/>
        <v>0</v>
      </c>
      <c r="AE10" s="220">
        <f t="shared" ca="1" si="9"/>
        <v>0</v>
      </c>
      <c r="AF10" s="218">
        <f t="shared" ca="1" si="10"/>
        <v>69</v>
      </c>
      <c r="AG10" s="803">
        <f t="shared" ca="1" si="11"/>
        <v>325.24</v>
      </c>
      <c r="AH10" s="218">
        <f t="shared" ca="1" si="12"/>
        <v>130.1</v>
      </c>
      <c r="AI10" s="803">
        <f t="shared" ca="1" si="13"/>
        <v>130.1</v>
      </c>
      <c r="AJ10" s="218">
        <f t="shared" ca="1" si="14"/>
        <v>260.2</v>
      </c>
      <c r="AK10" s="803">
        <f t="shared" ca="1" si="15"/>
        <v>3.9</v>
      </c>
      <c r="AL10" s="218">
        <f t="shared" ca="1" si="23"/>
        <v>1543.3733333333323</v>
      </c>
      <c r="AM10" s="290" t="str">
        <f t="shared" ca="1" si="16"/>
        <v>C</v>
      </c>
      <c r="AN10" s="291" t="str">
        <f t="shared" ca="1" si="17"/>
        <v>FT</v>
      </c>
      <c r="AO10" s="223">
        <f ca="1">+INDIRECT("[EMPINFO.xlsm]"&amp;$O$2&amp;"!t10")</f>
        <v>31</v>
      </c>
      <c r="AP10" s="226">
        <f ca="1">+INDIRECT("[EMPINFO.xlsm]"&amp;$O$2&amp;"!o10")</f>
        <v>-160</v>
      </c>
      <c r="AQ10" s="840">
        <f ca="1">+INDIRECT("[EMPINFO.xlsm]"&amp;$O$2&amp;"!p10")</f>
        <v>-1200</v>
      </c>
      <c r="AR10" s="226">
        <f ca="1">+INDIRECT("[EMPINFO.xlsm]"&amp;$O$2&amp;"!j10")</f>
        <v>0</v>
      </c>
      <c r="AS10" s="840">
        <f ca="1">+INDIRECT("[EMPINFO.xlsm]"&amp;$O$2&amp;"!k10")</f>
        <v>223.99999999999997</v>
      </c>
      <c r="AT10" s="226">
        <f ca="1">+INDIRECT("[EMPINFO.xlsm]"&amp;$O$2&amp;"!m10")</f>
        <v>0</v>
      </c>
      <c r="AU10" s="844">
        <f ca="1">+INDIRECT("[EMPINFO.xlsm]"&amp;$O$2&amp;"!n10")</f>
        <v>240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f t="shared" ca="1" si="20"/>
        <v>0.25</v>
      </c>
      <c r="BC10" s="289">
        <f t="shared" ca="1" si="21"/>
        <v>3400</v>
      </c>
      <c r="BD10" s="255"/>
      <c r="BE10" s="206"/>
      <c r="BF10" s="32"/>
      <c r="BH10" s="32"/>
      <c r="BI10" s="30"/>
      <c r="BJ10" s="31"/>
    </row>
    <row r="11" spans="1:62" ht="15.75" customHeight="1" thickBot="1" x14ac:dyDescent="0.3">
      <c r="A11" s="54"/>
      <c r="B11" s="6" t="s">
        <v>144</v>
      </c>
      <c r="C11" s="921" t="str">
        <f>INDEX([1]!empdata,MATCH(ID,[1]!empid,0),21)</f>
        <v>ZTN4371</v>
      </c>
      <c r="D11" s="922"/>
      <c r="E11" s="922"/>
      <c r="F11" s="886"/>
      <c r="H11" s="312" t="s">
        <v>31</v>
      </c>
      <c r="I11" s="927">
        <f>INDEX([1]!empdata,MATCH(ID,[1]!empid,0),7)</f>
        <v>0</v>
      </c>
      <c r="J11" s="859"/>
      <c r="K11" s="857"/>
      <c r="L11" s="101"/>
      <c r="M11" s="303"/>
      <c r="N11" s="211">
        <f t="shared" ca="1" si="0"/>
        <v>8.1310000000000002</v>
      </c>
      <c r="O11" s="213">
        <f>+DATA!A10</f>
        <v>46235</v>
      </c>
      <c r="P11" s="219">
        <f ca="1">+INDIRECT("[EMPINFO.xlsm]"&amp;$O$2&amp;"!G11")</f>
        <v>5</v>
      </c>
      <c r="Q11" s="215">
        <f ca="1">IF(AZ11="active",INDIRECT("[EMPINFO.xlsm]"&amp;$O$2&amp;"!H11"),0)</f>
        <v>40</v>
      </c>
      <c r="R11" s="239">
        <f t="shared" ca="1" si="22"/>
        <v>8.1310000000000002</v>
      </c>
      <c r="S11" s="216">
        <f t="shared" ca="1" si="1"/>
        <v>1409.3733333333323</v>
      </c>
      <c r="T11" s="220">
        <f t="shared" ca="1" si="2"/>
        <v>0</v>
      </c>
      <c r="U11" s="218">
        <f t="shared" ca="1" si="3"/>
        <v>0</v>
      </c>
      <c r="V11" s="220">
        <f ca="1">+augoth*aughrrt</f>
        <v>0</v>
      </c>
      <c r="W11" s="201"/>
      <c r="X11" s="218">
        <f t="shared" ca="1" si="4"/>
        <v>0</v>
      </c>
      <c r="Y11" s="803">
        <f t="shared" ca="1" si="5"/>
        <v>0</v>
      </c>
      <c r="Z11" s="218">
        <f t="shared" ca="1" si="6"/>
        <v>1409.3733333333323</v>
      </c>
      <c r="AA11" s="803">
        <f t="shared" ca="1" si="7"/>
        <v>69</v>
      </c>
      <c r="AB11" s="218">
        <f ca="1">+INDIRECT("[EMPINFO.xlsm]"&amp;$O$2&amp;"!s11")</f>
        <v>0</v>
      </c>
      <c r="AC11" s="292">
        <v>1.5</v>
      </c>
      <c r="AD11" s="218">
        <f t="shared" ca="1" si="8"/>
        <v>0</v>
      </c>
      <c r="AE11" s="220">
        <f t="shared" ca="1" si="9"/>
        <v>0</v>
      </c>
      <c r="AF11" s="218">
        <f t="shared" ca="1" si="10"/>
        <v>69</v>
      </c>
      <c r="AG11" s="803">
        <f t="shared" ca="1" si="11"/>
        <v>325.24</v>
      </c>
      <c r="AH11" s="218">
        <f t="shared" ca="1" si="12"/>
        <v>162.62</v>
      </c>
      <c r="AI11" s="803">
        <f t="shared" ca="1" si="13"/>
        <v>162.62</v>
      </c>
      <c r="AJ11" s="218">
        <f t="shared" ca="1" si="14"/>
        <v>325.24</v>
      </c>
      <c r="AK11" s="803">
        <f t="shared" ca="1" si="15"/>
        <v>4.88</v>
      </c>
      <c r="AL11" s="218">
        <f t="shared" ca="1" si="23"/>
        <v>1576.8733333333325</v>
      </c>
      <c r="AM11" s="290" t="str">
        <f t="shared" ca="1" si="16"/>
        <v>C</v>
      </c>
      <c r="AN11" s="291" t="str">
        <f t="shared" ca="1" si="17"/>
        <v>FT</v>
      </c>
      <c r="AO11" s="223">
        <f ca="1">+INDIRECT("[EMPINFO.xlsm]"&amp;$O$2&amp;"!t11")</f>
        <v>31</v>
      </c>
      <c r="AP11" s="226">
        <f ca="1">+INDIRECT("[EMPINFO.xlsm]"&amp;$O$2&amp;"!o11")</f>
        <v>-160</v>
      </c>
      <c r="AQ11" s="840">
        <f ca="1">+INDIRECT("[EMPINFO.xlsm]"&amp;$O$2&amp;"!p11")</f>
        <v>-1360</v>
      </c>
      <c r="AR11" s="226">
        <f ca="1">+INDIRECT("[EMPINFO.xlsm]"&amp;$O$2&amp;"!j11")</f>
        <v>0</v>
      </c>
      <c r="AS11" s="840">
        <f ca="1">+INDIRECT("[EMPINFO.xlsm]"&amp;$O$2&amp;"!k11")</f>
        <v>223.99999999999997</v>
      </c>
      <c r="AT11" s="226">
        <f ca="1">+INDIRECT("[EMPINFO.xlsm]"&amp;$O$2&amp;"!m11")</f>
        <v>0</v>
      </c>
      <c r="AU11" s="844">
        <f ca="1">+INDIRECT("[EMPINFO.xlsm]"&amp;$O$2&amp;"!n11")</f>
        <v>240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f t="shared" ca="1" si="20"/>
        <v>0.25</v>
      </c>
      <c r="BC11" s="289">
        <f t="shared" ca="1" si="21"/>
        <v>3400</v>
      </c>
      <c r="BD11" s="255"/>
      <c r="BE11" s="206"/>
      <c r="BF11" s="27"/>
      <c r="BH11" s="27"/>
    </row>
    <row r="12" spans="1:62" ht="17.45" customHeight="1" thickBot="1" x14ac:dyDescent="0.3">
      <c r="A12" s="313"/>
      <c r="B12" s="91" t="s">
        <v>14</v>
      </c>
      <c r="C12" s="945">
        <f>INDEX([1]!empdata,MATCH(ID,[1]!empid,0),10)</f>
        <v>99923286</v>
      </c>
      <c r="D12" s="946"/>
      <c r="E12" s="946"/>
      <c r="F12" s="947"/>
      <c r="G12" s="85"/>
      <c r="H12" s="85"/>
      <c r="I12" s="85"/>
      <c r="J12" s="85"/>
      <c r="K12" s="85"/>
      <c r="L12" s="314"/>
      <c r="M12" s="303"/>
      <c r="N12" s="211">
        <f t="shared" ca="1" si="0"/>
        <v>8.1310000000000002</v>
      </c>
      <c r="O12" s="213">
        <f>+DATA!A11</f>
        <v>46266</v>
      </c>
      <c r="P12" s="219">
        <f ca="1">+INDIRECT("[EMPINFO.xlsm]"&amp;$O$2&amp;"!G12")</f>
        <v>4</v>
      </c>
      <c r="Q12" s="215">
        <f ca="1">IF(AZ12="active",INDIRECT("[EMPINFO.xlsm]"&amp;$O$2&amp;"!H12"),0)</f>
        <v>40</v>
      </c>
      <c r="R12" s="239">
        <f t="shared" ca="1" si="22"/>
        <v>8.1310000000000002</v>
      </c>
      <c r="S12" s="216">
        <f t="shared" ca="1" si="1"/>
        <v>1409.3733333333323</v>
      </c>
      <c r="T12" s="220">
        <f t="shared" ca="1" si="2"/>
        <v>0</v>
      </c>
      <c r="U12" s="218">
        <f t="shared" ca="1" si="3"/>
        <v>0</v>
      </c>
      <c r="V12" s="220">
        <f ca="1">+sepoth*sephrrt</f>
        <v>0</v>
      </c>
      <c r="W12" s="202">
        <f ca="1">IF(AZ12&lt;&gt;"active",0,(IF(Timer="PT_casual",(bonussep/1040*(BA7:BA12)),(bonussep*(SUM(AO7:AO12)/SUM(AX7:AX12))*(SUM(Q7:Q12)/240)))))</f>
        <v>121.16</v>
      </c>
      <c r="X12" s="218">
        <f t="shared" ca="1" si="4"/>
        <v>0</v>
      </c>
      <c r="Y12" s="803">
        <f t="shared" ca="1" si="5"/>
        <v>0</v>
      </c>
      <c r="Z12" s="218">
        <f t="shared" ca="1" si="6"/>
        <v>1530.5333333333324</v>
      </c>
      <c r="AA12" s="803">
        <f t="shared" ca="1" si="7"/>
        <v>99</v>
      </c>
      <c r="AB12" s="218">
        <f ca="1">+INDIRECT("[EMPINFO.xlsm]"&amp;$O$2&amp;"!s12")</f>
        <v>0</v>
      </c>
      <c r="AC12" s="292">
        <v>1.5</v>
      </c>
      <c r="AD12" s="218">
        <f t="shared" ca="1" si="8"/>
        <v>0</v>
      </c>
      <c r="AE12" s="220">
        <f t="shared" ca="1" si="9"/>
        <v>0</v>
      </c>
      <c r="AF12" s="218">
        <f t="shared" ca="1" si="10"/>
        <v>99</v>
      </c>
      <c r="AG12" s="803">
        <f t="shared" ca="1" si="11"/>
        <v>325.24</v>
      </c>
      <c r="AH12" s="218">
        <f t="shared" ca="1" si="12"/>
        <v>130.1</v>
      </c>
      <c r="AI12" s="803">
        <f t="shared" ca="1" si="13"/>
        <v>130.1</v>
      </c>
      <c r="AJ12" s="218">
        <f t="shared" ca="1" si="14"/>
        <v>260.2</v>
      </c>
      <c r="AK12" s="803">
        <f t="shared" ca="1" si="15"/>
        <v>3.9</v>
      </c>
      <c r="AL12" s="218">
        <f t="shared" ca="1" si="23"/>
        <v>1664.5333333333324</v>
      </c>
      <c r="AM12" s="290" t="str">
        <f t="shared" ca="1" si="16"/>
        <v>C</v>
      </c>
      <c r="AN12" s="291" t="str">
        <f t="shared" ca="1" si="17"/>
        <v>FT</v>
      </c>
      <c r="AO12" s="223">
        <f ca="1">+INDIRECT("[EMPINFO.xlsm]"&amp;$O$2&amp;"!t12")</f>
        <v>30</v>
      </c>
      <c r="AP12" s="226">
        <f ca="1">+INDIRECT("[EMPINFO.xlsm]"&amp;$O$2&amp;"!o12")</f>
        <v>-160</v>
      </c>
      <c r="AQ12" s="840">
        <f ca="1">+INDIRECT("[EMPINFO.xlsm]"&amp;$O$2&amp;"!p12")</f>
        <v>-1520</v>
      </c>
      <c r="AR12" s="226">
        <f ca="1">+INDIRECT("[EMPINFO.xlsm]"&amp;$O$2&amp;"!j12")</f>
        <v>0</v>
      </c>
      <c r="AS12" s="840">
        <f ca="1">+INDIRECT("[EMPINFO.xlsm]"&amp;$O$2&amp;"!k12")</f>
        <v>223.99999999999997</v>
      </c>
      <c r="AT12" s="226">
        <f ca="1">+INDIRECT("[EMPINFO.xlsm]"&amp;$O$2&amp;"!m12")</f>
        <v>0</v>
      </c>
      <c r="AU12" s="844">
        <f ca="1">+INDIRECT("[EMPINFO.xlsm]"&amp;$O$2&amp;"!n12")</f>
        <v>240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f t="shared" ca="1" si="20"/>
        <v>0.25</v>
      </c>
      <c r="BC12" s="289">
        <f t="shared" ca="1" si="21"/>
        <v>3400</v>
      </c>
      <c r="BD12" s="255"/>
      <c r="BE12" s="206"/>
    </row>
    <row r="13" spans="1:62" ht="15.75" customHeight="1" thickBot="1" x14ac:dyDescent="0.3">
      <c r="A13" s="54"/>
      <c r="L13" s="101"/>
      <c r="M13" s="303"/>
      <c r="N13" s="211">
        <f t="shared" ca="1" si="0"/>
        <v>8.1310000000000002</v>
      </c>
      <c r="O13" s="213">
        <f>+DATA!A12</f>
        <v>46296</v>
      </c>
      <c r="P13" s="219">
        <f ca="1">+INDIRECT("[EMPINFO.xlsm]"&amp;$O$2&amp;"!G13")</f>
        <v>4</v>
      </c>
      <c r="Q13" s="215">
        <f ca="1">IF(AZ13="active",INDIRECT("[EMPINFO.xlsm]"&amp;$O$2&amp;"!H13"),0)</f>
        <v>40</v>
      </c>
      <c r="R13" s="239">
        <f t="shared" ca="1" si="22"/>
        <v>8.1310000000000002</v>
      </c>
      <c r="S13" s="216">
        <f t="shared" ca="1" si="1"/>
        <v>1409.3733333333323</v>
      </c>
      <c r="T13" s="220">
        <f t="shared" ca="1" si="2"/>
        <v>0</v>
      </c>
      <c r="U13" s="218">
        <f t="shared" ca="1" si="3"/>
        <v>0</v>
      </c>
      <c r="V13" s="220">
        <f ca="1">+octoth*octhrrt</f>
        <v>0</v>
      </c>
      <c r="W13" s="201"/>
      <c r="X13" s="218">
        <f t="shared" ca="1" si="4"/>
        <v>0</v>
      </c>
      <c r="Y13" s="803">
        <f t="shared" ca="1" si="5"/>
        <v>0</v>
      </c>
      <c r="Z13" s="218">
        <f t="shared" ca="1" si="6"/>
        <v>1409.3733333333323</v>
      </c>
      <c r="AA13" s="803">
        <f t="shared" ca="1" si="7"/>
        <v>69</v>
      </c>
      <c r="AB13" s="218">
        <f ca="1">+INDIRECT("[EMPINFO.xlsm]"&amp;$O$2&amp;"!s13")</f>
        <v>0</v>
      </c>
      <c r="AC13" s="292">
        <v>1.5</v>
      </c>
      <c r="AD13" s="218">
        <f t="shared" ca="1" si="8"/>
        <v>0</v>
      </c>
      <c r="AE13" s="220">
        <f t="shared" ca="1" si="9"/>
        <v>0</v>
      </c>
      <c r="AF13" s="218">
        <f t="shared" ca="1" si="10"/>
        <v>69</v>
      </c>
      <c r="AG13" s="803">
        <f t="shared" ca="1" si="11"/>
        <v>325.24</v>
      </c>
      <c r="AH13" s="218">
        <f t="shared" ca="1" si="12"/>
        <v>130.1</v>
      </c>
      <c r="AI13" s="803">
        <f t="shared" ca="1" si="13"/>
        <v>130.1</v>
      </c>
      <c r="AJ13" s="218">
        <f t="shared" ca="1" si="14"/>
        <v>260.2</v>
      </c>
      <c r="AK13" s="803">
        <f t="shared" ca="1" si="15"/>
        <v>3.9</v>
      </c>
      <c r="AL13" s="218">
        <f t="shared" ca="1" si="23"/>
        <v>1543.3733333333323</v>
      </c>
      <c r="AM13" s="290" t="str">
        <f t="shared" ca="1" si="16"/>
        <v>C</v>
      </c>
      <c r="AN13" s="291" t="str">
        <f t="shared" ca="1" si="17"/>
        <v>FT</v>
      </c>
      <c r="AO13" s="223">
        <f ca="1">+INDIRECT("[EMPINFO.xlsm]"&amp;$O$2&amp;"!t13")</f>
        <v>31</v>
      </c>
      <c r="AP13" s="226">
        <f ca="1">+INDIRECT("[EMPINFO.xlsm]"&amp;$O$2&amp;"!o13")</f>
        <v>-200</v>
      </c>
      <c r="AQ13" s="840">
        <f ca="1">+INDIRECT("[EMPINFO.xlsm]"&amp;$O$2&amp;"!p13")</f>
        <v>-1720</v>
      </c>
      <c r="AR13" s="226">
        <f ca="1">+INDIRECT("[EMPINFO.xlsm]"&amp;$O$2&amp;"!j13")</f>
        <v>0</v>
      </c>
      <c r="AS13" s="840">
        <f ca="1">+INDIRECT("[EMPINFO.xlsm]"&amp;$O$2&amp;"!k13")</f>
        <v>223.99999999999997</v>
      </c>
      <c r="AT13" s="226">
        <f ca="1">+INDIRECT("[EMPINFO.xlsm]"&amp;$O$2&amp;"!m13")</f>
        <v>0</v>
      </c>
      <c r="AU13" s="844">
        <f ca="1">+INDIRECT("[EMPINFO.xlsm]"&amp;$O$2&amp;"!n13")</f>
        <v>240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f t="shared" ca="1" si="20"/>
        <v>0.25</v>
      </c>
      <c r="BC13" s="289">
        <f t="shared" ca="1" si="21"/>
        <v>3400</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8.1310000000000002</v>
      </c>
      <c r="O14" s="213">
        <f>+DATA!A13</f>
        <v>46327</v>
      </c>
      <c r="P14" s="219">
        <f ca="1">+INDIRECT("[EMPINFO.xlsm]"&amp;$O$2&amp;"!G14")</f>
        <v>5</v>
      </c>
      <c r="Q14" s="215">
        <f ca="1">IF(AZ14="active",INDIRECT("[EMPINFO.xlsm]"&amp;$O$2&amp;"!H14"),0)</f>
        <v>40</v>
      </c>
      <c r="R14" s="239">
        <f t="shared" ca="1" si="22"/>
        <v>8.1310000000000002</v>
      </c>
      <c r="S14" s="216">
        <f t="shared" ca="1" si="1"/>
        <v>1409.3733333333323</v>
      </c>
      <c r="T14" s="220">
        <f t="shared" ca="1" si="2"/>
        <v>0</v>
      </c>
      <c r="U14" s="218">
        <f t="shared" ca="1" si="3"/>
        <v>0</v>
      </c>
      <c r="V14" s="220">
        <f ca="1">+novoth*novhrrt</f>
        <v>0</v>
      </c>
      <c r="W14" s="201"/>
      <c r="X14" s="218">
        <f t="shared" ca="1" si="4"/>
        <v>0</v>
      </c>
      <c r="Y14" s="803">
        <f t="shared" ca="1" si="5"/>
        <v>0</v>
      </c>
      <c r="Z14" s="218">
        <f t="shared" ca="1" si="6"/>
        <v>1409.3733333333323</v>
      </c>
      <c r="AA14" s="803">
        <f t="shared" ca="1" si="7"/>
        <v>69</v>
      </c>
      <c r="AB14" s="218">
        <f ca="1">+INDIRECT("[EMPINFO.xlsm]"&amp;$O$2&amp;"!s14")</f>
        <v>0</v>
      </c>
      <c r="AC14" s="292">
        <v>1.5</v>
      </c>
      <c r="AD14" s="218">
        <f t="shared" ca="1" si="8"/>
        <v>0</v>
      </c>
      <c r="AE14" s="220">
        <f t="shared" ca="1" si="9"/>
        <v>0</v>
      </c>
      <c r="AF14" s="218">
        <f t="shared" ca="1" si="10"/>
        <v>69</v>
      </c>
      <c r="AG14" s="803">
        <f t="shared" ca="1" si="11"/>
        <v>325.24</v>
      </c>
      <c r="AH14" s="218">
        <f t="shared" ca="1" si="12"/>
        <v>162.62</v>
      </c>
      <c r="AI14" s="803">
        <f t="shared" ca="1" si="13"/>
        <v>162.62</v>
      </c>
      <c r="AJ14" s="218">
        <f t="shared" ca="1" si="14"/>
        <v>325.24</v>
      </c>
      <c r="AK14" s="803">
        <f t="shared" ca="1" si="15"/>
        <v>4.88</v>
      </c>
      <c r="AL14" s="218">
        <f t="shared" ca="1" si="23"/>
        <v>1576.8733333333325</v>
      </c>
      <c r="AM14" s="290" t="str">
        <f t="shared" ca="1" si="16"/>
        <v>C</v>
      </c>
      <c r="AN14" s="291" t="str">
        <f t="shared" ca="1" si="17"/>
        <v>FT</v>
      </c>
      <c r="AO14" s="223">
        <f ca="1">+INDIRECT("[EMPINFO.xlsm]"&amp;$O$2&amp;"!t14")</f>
        <v>30</v>
      </c>
      <c r="AP14" s="226">
        <f ca="1">+INDIRECT("[EMPINFO.xlsm]"&amp;$O$2&amp;"!o14")</f>
        <v>-160</v>
      </c>
      <c r="AQ14" s="840">
        <f ca="1">+INDIRECT("[EMPINFO.xlsm]"&amp;$O$2&amp;"!p14")</f>
        <v>-1880</v>
      </c>
      <c r="AR14" s="226">
        <f ca="1">+INDIRECT("[EMPINFO.xlsm]"&amp;$O$2&amp;"!j14")</f>
        <v>0</v>
      </c>
      <c r="AS14" s="840">
        <f ca="1">+INDIRECT("[EMPINFO.xlsm]"&amp;$O$2&amp;"!k14")</f>
        <v>223.99999999999997</v>
      </c>
      <c r="AT14" s="226">
        <f ca="1">+INDIRECT("[EMPINFO.xlsm]"&amp;$O$2&amp;"!m14")</f>
        <v>0</v>
      </c>
      <c r="AU14" s="844">
        <f ca="1">+INDIRECT("[EMPINFO.xlsm]"&amp;$O$2&amp;"!n14")</f>
        <v>240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f t="shared" ca="1" si="20"/>
        <v>0.25</v>
      </c>
      <c r="BC14" s="289">
        <f t="shared" ca="1" si="21"/>
        <v>3400</v>
      </c>
      <c r="BD14" s="255"/>
      <c r="BE14" s="206"/>
      <c r="BF14" s="32"/>
      <c r="BH14" s="32"/>
    </row>
    <row r="15" spans="1:62" ht="15.75" customHeight="1" thickBot="1" x14ac:dyDescent="0.3">
      <c r="A15" s="54"/>
      <c r="L15" s="101"/>
      <c r="M15" s="303"/>
      <c r="N15" s="211">
        <f t="shared" ca="1" si="0"/>
        <v>8.1310000000000002</v>
      </c>
      <c r="O15" s="213">
        <f>+DATA!A14</f>
        <v>46357</v>
      </c>
      <c r="P15" s="219">
        <f ca="1">+INDIRECT("[EMPINFO.xlsm]"&amp;$O$2&amp;"!G15")</f>
        <v>4</v>
      </c>
      <c r="Q15" s="215">
        <f ca="1">IF(AZ15="active",INDIRECT("[EMPINFO.xlsm]"&amp;$O$2&amp;"!H15"),0)</f>
        <v>40</v>
      </c>
      <c r="R15" s="239">
        <f t="shared" ca="1" si="22"/>
        <v>8.1310000000000002</v>
      </c>
      <c r="S15" s="216">
        <f t="shared" ca="1" si="1"/>
        <v>1409.3733333333323</v>
      </c>
      <c r="T15" s="220">
        <f t="shared" ca="1" si="2"/>
        <v>0</v>
      </c>
      <c r="U15" s="218">
        <f t="shared" ca="1" si="3"/>
        <v>0</v>
      </c>
      <c r="V15" s="220">
        <f ca="1">+decoth*dechrrt</f>
        <v>0</v>
      </c>
      <c r="W15" s="202">
        <f ca="1">IF(AZ15&lt;&gt;"active",0,(IF(Timer="PT_casual",(bonusdec/1040*(BA10:BA15)),(bonusdec*(SUM(AO10:AO15)/SUM(AX10:AX15))*(SUM(Q10:Q15)/240)))))</f>
        <v>135.1</v>
      </c>
      <c r="X15" s="218">
        <f t="shared" ca="1" si="4"/>
        <v>0</v>
      </c>
      <c r="Y15" s="803">
        <f t="shared" ca="1" si="5"/>
        <v>0</v>
      </c>
      <c r="Z15" s="218">
        <f t="shared" ca="1" si="6"/>
        <v>1544.4733333333322</v>
      </c>
      <c r="AA15" s="803">
        <f t="shared" ca="1" si="7"/>
        <v>102</v>
      </c>
      <c r="AB15" s="218">
        <f ca="1">+INDIRECT("[EMPINFO.xlsm]"&amp;$O$2&amp;"!s15")</f>
        <v>0</v>
      </c>
      <c r="AC15" s="292">
        <v>1.5</v>
      </c>
      <c r="AD15" s="218">
        <f t="shared" ca="1" si="8"/>
        <v>0</v>
      </c>
      <c r="AE15" s="220">
        <f t="shared" ca="1" si="9"/>
        <v>0</v>
      </c>
      <c r="AF15" s="218">
        <f t="shared" ca="1" si="10"/>
        <v>102</v>
      </c>
      <c r="AG15" s="803">
        <f t="shared" ca="1" si="11"/>
        <v>325.24</v>
      </c>
      <c r="AH15" s="218">
        <f t="shared" ca="1" si="12"/>
        <v>130.1</v>
      </c>
      <c r="AI15" s="803">
        <f t="shared" ca="1" si="13"/>
        <v>130.1</v>
      </c>
      <c r="AJ15" s="218">
        <f t="shared" ca="1" si="14"/>
        <v>260.2</v>
      </c>
      <c r="AK15" s="803">
        <f t="shared" ca="1" si="15"/>
        <v>3.9</v>
      </c>
      <c r="AL15" s="218">
        <f t="shared" ca="1" si="23"/>
        <v>1678.4733333333322</v>
      </c>
      <c r="AM15" s="290" t="str">
        <f t="shared" ca="1" si="16"/>
        <v>C</v>
      </c>
      <c r="AN15" s="291" t="str">
        <f t="shared" ca="1" si="17"/>
        <v>FT</v>
      </c>
      <c r="AO15" s="223">
        <f ca="1">+INDIRECT("[EMPINFO.xlsm]"&amp;$O$2&amp;"!t15")</f>
        <v>31</v>
      </c>
      <c r="AP15" s="226">
        <f ca="1">+INDIRECT("[EMPINFO.xlsm]"&amp;$O$2&amp;"!o15")</f>
        <v>-160</v>
      </c>
      <c r="AQ15" s="840">
        <f ca="1">+INDIRECT("[EMPINFO.xlsm]"&amp;$O$2&amp;"!p15")</f>
        <v>-2040</v>
      </c>
      <c r="AR15" s="226">
        <f ca="1">+INDIRECT("[EMPINFO.xlsm]"&amp;$O$2&amp;"!j15")</f>
        <v>0</v>
      </c>
      <c r="AS15" s="840">
        <f ca="1">+INDIRECT("[EMPINFO.xlsm]"&amp;$O$2&amp;"!k15")</f>
        <v>223.99999999999997</v>
      </c>
      <c r="AT15" s="226">
        <f ca="1">+INDIRECT("[EMPINFO.xlsm]"&amp;$O$2&amp;"!m15")</f>
        <v>0</v>
      </c>
      <c r="AU15" s="844">
        <f ca="1">+INDIRECT("[EMPINFO.xlsm]"&amp;$O$2&amp;"!n15")</f>
        <v>240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f t="shared" ca="1" si="20"/>
        <v>0.25</v>
      </c>
      <c r="BC15" s="289">
        <f t="shared" ca="1" si="21"/>
        <v>3400</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16912.479999999992</v>
      </c>
      <c r="T16" s="221">
        <f t="shared" ca="1" si="24"/>
        <v>0</v>
      </c>
      <c r="U16" s="217">
        <f t="shared" ca="1" si="24"/>
        <v>0</v>
      </c>
      <c r="V16" s="221">
        <f t="shared" ca="1" si="24"/>
        <v>0</v>
      </c>
      <c r="W16" s="217">
        <f t="shared" ca="1" si="24"/>
        <v>512.52</v>
      </c>
      <c r="X16" s="217">
        <f t="shared" ca="1" si="24"/>
        <v>0</v>
      </c>
      <c r="Y16" s="804">
        <f t="shared" ca="1" si="24"/>
        <v>0</v>
      </c>
      <c r="Z16" s="217">
        <f t="shared" ca="1" si="24"/>
        <v>17424.999999999989</v>
      </c>
      <c r="AA16" s="804">
        <f t="shared" ca="1" si="24"/>
        <v>954</v>
      </c>
      <c r="AB16" s="217">
        <f ca="1">+INDIRECT("[EMPINFO.xlsm]"&amp;$O$2&amp;"!S16")</f>
        <v>0</v>
      </c>
      <c r="AC16" s="221" t="s">
        <v>150</v>
      </c>
      <c r="AD16" s="217">
        <f ca="1">SUM(AD4:AD15)</f>
        <v>0</v>
      </c>
      <c r="AE16" s="221">
        <f ca="1">SUM(AE4:AE15)</f>
        <v>0</v>
      </c>
      <c r="AF16" s="217">
        <f ca="1">SUM(AF4:AF15)</f>
        <v>954</v>
      </c>
      <c r="AG16" s="221"/>
      <c r="AH16" s="217">
        <f ca="1">SUM(AH4:AH15)</f>
        <v>1691.2799999999997</v>
      </c>
      <c r="AI16" s="803">
        <f ca="1">SUM(AI4:AI15)</f>
        <v>1691.2799999999997</v>
      </c>
      <c r="AJ16" s="217">
        <f t="shared" ca="1" si="14"/>
        <v>3382.5599999999995</v>
      </c>
      <c r="AK16" s="835">
        <f ca="1">SUM(AK4:AK15)</f>
        <v>50.719999999999992</v>
      </c>
      <c r="AL16" s="217">
        <f ca="1">+SUM(AL4:AL15)</f>
        <v>19166.999999999989</v>
      </c>
      <c r="AM16" s="298"/>
      <c r="AN16" s="297"/>
      <c r="AO16" s="224">
        <f ca="1">+INDIRECT("[EMPINFO.xlsm]"&amp;$O$2&amp;"!T16")</f>
        <v>365</v>
      </c>
      <c r="AP16" s="299">
        <f>+[1]RGaldes!O16</f>
        <v>0</v>
      </c>
      <c r="AQ16" s="841">
        <f ca="1">+INDIRECT("[EMPINFO.xlsm]"&amp;$O$2&amp;"!p16")</f>
        <v>-2040</v>
      </c>
      <c r="AR16" s="299"/>
      <c r="AS16" s="841">
        <f ca="1">+INDIRECT("[EMPINFO.xlsm]"&amp;$O$2&amp;"!k16")</f>
        <v>223.99999999999997</v>
      </c>
      <c r="AT16" s="299">
        <f ca="1">+INDIRECT("[EMPINFO.xlsm]"&amp;$O$2&amp;"!m16")</f>
        <v>0</v>
      </c>
      <c r="AU16" s="841">
        <f ca="1">+INDIRECT("[EMPINFO.xlsm]"&amp;$O$2&amp;"!n16")</f>
        <v>240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 ca="1">TRUNC(IF(OR(Timer="PT", Timer="PT_casual"),0,Z16),0)</f>
        <v>17425</v>
      </c>
      <c r="I17" s="456"/>
      <c r="K17" s="317" t="s">
        <v>151</v>
      </c>
      <c r="L17" s="101"/>
      <c r="M17" s="256">
        <v>8</v>
      </c>
      <c r="N17" s="257" t="s">
        <v>152</v>
      </c>
      <c r="O17" s="258">
        <f ca="1">+Med_Tot</f>
        <v>17424.999999999989</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-2040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1</v>
      </c>
      <c r="O19" s="894" t="str">
        <f>Surname&amp;" "&amp;Name</f>
        <v>Acharya Ramkrishna</v>
      </c>
      <c r="P19" s="374" t="str">
        <f>+IDCard</f>
        <v>302663A</v>
      </c>
      <c r="Q19" s="375" t="str">
        <f>+designation</f>
        <v>13. Maintenance</v>
      </c>
      <c r="R19" s="376" t="s">
        <v>156</v>
      </c>
      <c r="S19" s="377">
        <f ca="1">+S20+S23+S22+S24+S25+S26+S21</f>
        <v>1409.3733333333323</v>
      </c>
      <c r="T19" s="378" t="str">
        <f>+FS4_Status</f>
        <v>SIN</v>
      </c>
      <c r="U19" s="572" t="str">
        <f ca="1">INDEX(INDAT,MATCH(O21,(INDIRECT(("months"),TRUE)),0),26)</f>
        <v>FT</v>
      </c>
      <c r="V19" s="379" t="str">
        <f ca="1">INDEX(INDAT,MATCH(O21,(INDIRECT(("months"),TRUE)),0),25)</f>
        <v>C</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TRUNC(IF(OR(Timer="PT", Timer="PT_Casual"),Med_Tot,0),0)</f>
        <v>0</v>
      </c>
      <c r="I20" s="460"/>
      <c r="J20" s="318" t="s">
        <v>160</v>
      </c>
      <c r="K20" s="910"/>
      <c r="L20" s="911"/>
      <c r="N20" s="387">
        <f ca="1">IF(AND(OR((INDEX(PYRL_Summary,MATCH(O21,months,0),28))="PT",( INDEX(PYRL_Summary,MATCH(O21,months,0),28))="PT_casual" ),(N22-N21&gt;=1)),1,0)</f>
        <v>0</v>
      </c>
      <c r="O20" s="895"/>
      <c r="P20" s="416" t="s">
        <v>161</v>
      </c>
      <c r="Q20" s="380">
        <f ca="1">INDEX(PYRL_Summary,MATCH(O21,months,0),5)</f>
        <v>40</v>
      </c>
      <c r="R20" s="381" t="s">
        <v>94</v>
      </c>
      <c r="S20" s="382">
        <f ca="1">INDEX(PYRL_Summary,MATCH(O21,months,0),7)</f>
        <v>1409.3733333333323</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0 HRS</v>
      </c>
      <c r="S21" s="367">
        <f ca="1">INDEX(PYRL_Summary,MATCH(O21,months,0),41)*janhrrt</f>
        <v>0</v>
      </c>
      <c r="T21" s="372">
        <f ca="1">+U21+V21</f>
        <v>260.2</v>
      </c>
      <c r="U21" s="372">
        <f ca="1">INDEX(PYRL_Summary,MATCH(O21,months,0),22)</f>
        <v>130.1</v>
      </c>
      <c r="V21" s="373">
        <f ca="1">INDEX(PYRL_Summary,MATCH(O21,months,0),23)</f>
        <v>130.1</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3.9</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17425</v>
      </c>
      <c r="I23" s="466"/>
      <c r="J23" s="318" t="s">
        <v>169</v>
      </c>
      <c r="K23" s="916"/>
      <c r="L23" s="917"/>
      <c r="N23" s="420"/>
      <c r="O23" s="344">
        <f>+ID</f>
        <v>2025003</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69</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Sup
 Bonus</v>
      </c>
      <c r="R25" s="100">
        <f>IF((INDEX(PYRL_Summary,MATCH(O21,months,0),13)&gt;=0.01),(INDEX(PYRL_Summary,MATCH(O21,months,0),13)),0)</f>
        <v>0</v>
      </c>
      <c r="S25" s="102">
        <f>+P25+R25</f>
        <v>0</v>
      </c>
      <c r="T25" s="889" t="str">
        <f>+IBAN</f>
        <v>MT77VALL22013000000050020972692</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1210.2733333333324</v>
      </c>
      <c r="V26" s="418"/>
      <c r="X26" s="575"/>
    </row>
    <row r="27" spans="1:56" ht="24" customHeight="1" thickBot="1" x14ac:dyDescent="0.3">
      <c r="A27" s="54"/>
      <c r="B27" s="73" t="s">
        <v>52</v>
      </c>
      <c r="G27" s="73" t="s">
        <v>53</v>
      </c>
      <c r="H27" s="8">
        <f ca="1">IF(OR(Timer="PT", Timer="pt_casual"),0,AA16)</f>
        <v>954</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173404767</v>
      </c>
      <c r="U27" s="545"/>
      <c r="V27" s="546"/>
      <c r="W27" s="73" t="s">
        <v>183</v>
      </c>
      <c r="Y27" s="436">
        <v>173404767</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223.99999999999997</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IF(OR( Timer="pt", Timer="pt_casual"),AA16,0)</f>
        <v>0</v>
      </c>
      <c r="L29" s="101"/>
      <c r="N29" s="403">
        <f ca="1">IF(OR(INDEX(PYRL_Summary,MATCH(O31,months,0),28)="pt",INDEX(PYRL_Summary,MATCH(O31,months,0),28)="pt_casual"),0,IF(N32-N31&gt;=1,1,0))</f>
        <v>1</v>
      </c>
      <c r="O29" s="908" t="str">
        <f>Surname&amp;" "&amp;Name</f>
        <v>Acharya Ramkrishna</v>
      </c>
      <c r="P29" s="394" t="str">
        <f>+IDCard</f>
        <v>302663A</v>
      </c>
      <c r="Q29" s="395" t="str">
        <f>+designation</f>
        <v>13. Maintenance</v>
      </c>
      <c r="R29" s="396" t="s">
        <v>156</v>
      </c>
      <c r="S29" s="397">
        <f ca="1">+S30+S33+S32+S34+S35+S36+S31</f>
        <v>1409.3733333333323</v>
      </c>
      <c r="T29" s="431" t="str">
        <f>+FS4_Status</f>
        <v>SIN</v>
      </c>
      <c r="U29" s="573" t="str">
        <f ca="1">INDEX(INDAT,MATCH(O31,(INDIRECT(("months"),TRUE)),0),26)</f>
        <v>FT</v>
      </c>
      <c r="V29" s="432" t="str">
        <f ca="1">INDEX(INDAT,MATCH(O31,(INDIRECT(("months"),TRUE)),0),25)</f>
        <v>C</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0</v>
      </c>
      <c r="O30" s="909"/>
      <c r="P30" s="415" t="s">
        <v>161</v>
      </c>
      <c r="Q30" s="414">
        <f ca="1">INDEX(PYRL_Summary,MATCH(O31,months,0),5)</f>
        <v>40</v>
      </c>
      <c r="R30" s="398" t="s">
        <v>94</v>
      </c>
      <c r="S30" s="399">
        <f ca="1">INDEX(PYRL_Summary,MATCH(O31,months,0),7)</f>
        <v>1409.3733333333323</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954</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0 HRS</v>
      </c>
      <c r="S31" s="193">
        <f ca="1">INDEX(PYRL_Summary,MATCH(O31,months,0),41)*febhrrt</f>
        <v>0</v>
      </c>
      <c r="T31" s="357">
        <f ca="1">+U31+V31</f>
        <v>260.2</v>
      </c>
      <c r="U31" s="358">
        <f ca="1">INDEX(PYRL_Summary,MATCH(O31,months,0),22)</f>
        <v>130.1</v>
      </c>
      <c r="V31" s="359">
        <f ca="1">INDEX(PYRL_Summary,MATCH(O31,months,0),23)</f>
        <v>130.1</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3.9</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2025003</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69</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Sup
 Bonus</v>
      </c>
      <c r="R35" s="100">
        <f ca="1">IF((INDEX(PYRL_Summary,MATCH(O31,months,0),13)&gt;=0.01),(INDEX(PYRL_Summary,MATCH(O31,months,0),13)),0)</f>
        <v>0</v>
      </c>
      <c r="S35" s="102">
        <f ca="1">+P35+R35</f>
        <v>0</v>
      </c>
      <c r="T35" s="889" t="str">
        <f>+IBAN</f>
        <v>MT77VALL22013000000050020972692</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1210.2733333333324</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174693082</v>
      </c>
      <c r="U37" s="545"/>
      <c r="V37" s="546"/>
      <c r="W37" s="73" t="s">
        <v>183</v>
      </c>
      <c r="Y37" s="574" t="s">
        <v>644</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-200</v>
      </c>
      <c r="R38" s="410" t="s">
        <v>188</v>
      </c>
      <c r="S38" s="411">
        <f ca="1">INDEX(PYRL_Summary,MATCH(O31,months,0),33)</f>
        <v>223.99999999999997</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1</v>
      </c>
      <c r="O39" s="894" t="str">
        <f>Surname&amp;" "&amp;Name</f>
        <v>Acharya Ramkrishna</v>
      </c>
      <c r="P39" s="374" t="str">
        <f>+IDCard</f>
        <v>302663A</v>
      </c>
      <c r="Q39" s="375" t="str">
        <f>+designation</f>
        <v>13. Maintenance</v>
      </c>
      <c r="R39" s="376" t="s">
        <v>156</v>
      </c>
      <c r="S39" s="377">
        <f ca="1">+S40+S43+S42+S44+S45+S46+S41</f>
        <v>1530.5333333333324</v>
      </c>
      <c r="T39" s="378" t="str">
        <f>+FS4_Status</f>
        <v>SIN</v>
      </c>
      <c r="U39" s="572" t="str">
        <f ca="1">INDEX(INDAT,MATCH(O41,(INDIRECT(("months"),TRUE)),0),26)</f>
        <v>FT</v>
      </c>
      <c r="V39" s="379" t="str">
        <f ca="1">INDEX(INDAT,MATCH(O41,(INDIRECT(("months"),TRUE)),0),25)</f>
        <v>C</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0</v>
      </c>
      <c r="O40" s="895"/>
      <c r="P40" s="416" t="s">
        <v>161</v>
      </c>
      <c r="Q40" s="380">
        <f ca="1">INDEX(PYRL_Summary,MATCH(O41,months,0),5)</f>
        <v>40</v>
      </c>
      <c r="R40" s="381" t="s">
        <v>94</v>
      </c>
      <c r="S40" s="382">
        <f ca="1">INDEX(PYRL_Summary,MATCH(O41,months,0),7)</f>
        <v>1409.3733333333323</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325.24</v>
      </c>
      <c r="U41" s="372">
        <f ca="1">INDEX(PYRL_Summary,MATCH(O41,months,0),22)</f>
        <v>162.62</v>
      </c>
      <c r="V41" s="373">
        <f ca="1">INDEX(PYRL_Summary,MATCH(O41,months,0),23)</f>
        <v>162.62</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4.88</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2025003</v>
      </c>
      <c r="P43" s="365" t="s">
        <v>172</v>
      </c>
      <c r="Q43" s="365"/>
      <c r="R43" s="366"/>
      <c r="S43" s="367">
        <f ca="1">INDEX(PYRL_Summary,MATCH(O41,months,0),11)</f>
        <v>121.16</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99</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Sup
 Bonus</v>
      </c>
      <c r="R45" s="100">
        <f ca="1">IF((INDEX(PYRL_Summary,MATCH(O41,months,0),13)&gt;=0.01),(INDEX(PYRL_Summary,MATCH(O41,months,0),13)),0)</f>
        <v>0</v>
      </c>
      <c r="S45" s="102">
        <f ca="1">+P45+R45</f>
        <v>0</v>
      </c>
      <c r="T45" s="889" t="str">
        <f>+IBAN</f>
        <v>MT77VALL22013000000050020972692</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1268.9133333333325</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-360</v>
      </c>
      <c r="R48" s="392" t="s">
        <v>188</v>
      </c>
      <c r="S48" s="393">
        <f ca="1">INDEX(PYRL_Summary,MATCH(O41,months,0),33)</f>
        <v>223.99999999999997</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1</v>
      </c>
      <c r="O49" s="908" t="str">
        <f>Surname&amp;" "&amp;Name</f>
        <v>Acharya Ramkrishna</v>
      </c>
      <c r="P49" s="394" t="str">
        <f>+IDCard</f>
        <v>302663A</v>
      </c>
      <c r="Q49" s="395" t="str">
        <f>+designation</f>
        <v>13. Maintenance</v>
      </c>
      <c r="R49" s="396" t="s">
        <v>156</v>
      </c>
      <c r="S49" s="397">
        <f ca="1">+S50+S53+S52+S54+S55+S56+S51</f>
        <v>1409.3733333333323</v>
      </c>
      <c r="T49" s="431" t="str">
        <f>+FS4_Status</f>
        <v>SIN</v>
      </c>
      <c r="U49" s="573" t="str">
        <f ca="1">INDEX(INDAT,MATCH(O51,(INDIRECT(("months"),TRUE)),0),26)</f>
        <v>FT</v>
      </c>
      <c r="V49" s="432" t="str">
        <f ca="1">INDEX(INDAT,MATCH(O51,(INDIRECT(("months"),TRUE)),0),25)</f>
        <v>C</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0</v>
      </c>
      <c r="O50" s="909"/>
      <c r="P50" s="415" t="s">
        <v>161</v>
      </c>
      <c r="Q50" s="414">
        <f ca="1">INDEX(PYRL_Summary,MATCH(O51,months,0),5)</f>
        <v>40</v>
      </c>
      <c r="R50" s="398" t="s">
        <v>94</v>
      </c>
      <c r="S50" s="399">
        <f ca="1">INDEX(PYRL_Summary,MATCH(O51,months,0),7)</f>
        <v>1409.3733333333323</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260.2</v>
      </c>
      <c r="U51" s="358">
        <f ca="1">INDEX(PYRL_Summary,MATCH(O51,months,0),22)</f>
        <v>130.1</v>
      </c>
      <c r="V51" s="359">
        <f ca="1">INDEX(PYRL_Summary,MATCH(O51,months,0),23)</f>
        <v>130.1</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3.9</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2025003</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69</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Sup
 Bonus</v>
      </c>
      <c r="R55" s="100">
        <f ca="1">IF((INDEX(PYRL_Summary,MATCH(O51,months,0),13)&gt;=0.01),(INDEX(PYRL_Summary,MATCH(O51,months,0),13)),0)</f>
        <v>0</v>
      </c>
      <c r="S55" s="102">
        <f ca="1">+P55+R55</f>
        <v>0</v>
      </c>
      <c r="T55" s="889" t="str">
        <f>+IBAN</f>
        <v>MT77VALL22013000000050020972692</v>
      </c>
      <c r="U55" s="890"/>
      <c r="V55" s="891"/>
    </row>
    <row r="56" spans="1:37" ht="16.5" customHeight="1" thickBot="1" x14ac:dyDescent="0.3">
      <c r="E56" s="116" t="s">
        <v>215</v>
      </c>
      <c r="F56" s="115" t="str">
        <f>INDEX([1]!empdata,MATCH(ID,[1]!empid,0),17)</f>
        <v>MT77VALL22013000000050020972692</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1210.2733333333324</v>
      </c>
      <c r="V56" s="418"/>
    </row>
    <row r="57" spans="1:37" ht="26.25" customHeight="1" thickBot="1" x14ac:dyDescent="0.3">
      <c r="E57" s="116" t="s">
        <v>216</v>
      </c>
      <c r="F57" s="340" t="str">
        <f>INDEX([1]!empdata,MATCH(ID,[1]!empid,0),12)</f>
        <v>ramkrishnaacharya1997@gmail.com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35641</v>
      </c>
      <c r="G58" s="56"/>
      <c r="H58" s="63"/>
      <c r="N58" s="406">
        <f ca="1">INDEX(PYRL_Summary,MATCH(O51,months,0),4)</f>
        <v>4</v>
      </c>
      <c r="O58" s="407" t="s">
        <v>187</v>
      </c>
      <c r="P58" s="408">
        <f>+O41</f>
        <v>46082</v>
      </c>
      <c r="Q58" s="409">
        <f ca="1">INDEX(PYRL_Summary,MATCH(P58,months,0),31)</f>
        <v>-520</v>
      </c>
      <c r="R58" s="410" t="s">
        <v>188</v>
      </c>
      <c r="S58" s="411">
        <f ca="1">INDEX(PYRL_Summary,MATCH(O51,months,0),33)</f>
        <v>223.99999999999997</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45691</v>
      </c>
      <c r="G59" s="56"/>
      <c r="H59" s="63"/>
      <c r="N59" s="386">
        <f ca="1">IF(OR(INDEX(PYRL_Summary,MATCH(O61,months,0),28)="pt",INDEX(PYRL_Summary,MATCH(O61,months,0),28)="pt_casual"),0,IF(N62-N61&gt;=1,1,0))</f>
        <v>1</v>
      </c>
      <c r="O59" s="894" t="str">
        <f>Surname&amp;" "&amp;Name</f>
        <v>Acharya Ramkrishna</v>
      </c>
      <c r="P59" s="374" t="str">
        <f>+IDCard</f>
        <v>302663A</v>
      </c>
      <c r="Q59" s="375" t="str">
        <f>+designation</f>
        <v>13. Maintenance</v>
      </c>
      <c r="R59" s="376" t="s">
        <v>156</v>
      </c>
      <c r="S59" s="377">
        <f ca="1">+S60+S63+S62+S64+S65+S66+S61</f>
        <v>1409.3733333333323</v>
      </c>
      <c r="T59" s="378" t="str">
        <f>+FS4_Status</f>
        <v>SIN</v>
      </c>
      <c r="U59" s="572" t="str">
        <f ca="1">INDEX(INDAT,MATCH(O61,(INDIRECT(("months"),TRUE)),0),26)</f>
        <v>FT</v>
      </c>
      <c r="V59" s="379" t="str">
        <f ca="1">INDEX(INDAT,MATCH(O61,(INDIRECT(("months"),TRUE)),0),25)</f>
        <v>C</v>
      </c>
      <c r="W59" s="422">
        <f>+$O$8</f>
        <v>46143</v>
      </c>
      <c r="X59" s="423"/>
      <c r="Y59" s="423"/>
      <c r="Z59" s="73"/>
      <c r="AA59" s="73"/>
    </row>
    <row r="60" spans="1:37" ht="20.25" customHeight="1" thickBot="1" x14ac:dyDescent="0.3">
      <c r="E60" s="116" t="s">
        <v>219</v>
      </c>
      <c r="F60" s="115" t="str">
        <f>INDEX([1]!empdata,MATCH(ID,[1]!empid,0),8)</f>
        <v>13. Maintenance</v>
      </c>
      <c r="G60" s="56"/>
      <c r="H60" s="63"/>
      <c r="N60" s="387">
        <f ca="1">IF(AND(OR((INDEX(PYRL_Summary,MATCH(O61,months,0),28))="PT",( INDEX(PYRL_Summary,MATCH(O61,months,0),28))="PT_casual" ),(N62-N61&gt;=1)),1,0)</f>
        <v>0</v>
      </c>
      <c r="O60" s="895"/>
      <c r="P60" s="416" t="s">
        <v>161</v>
      </c>
      <c r="Q60" s="380">
        <f ca="1">INDEX(PYRL_Summary,MATCH(O61,months,0),5)</f>
        <v>40</v>
      </c>
      <c r="R60" s="381" t="s">
        <v>94</v>
      </c>
      <c r="S60" s="382">
        <f ca="1">INDEX(PYRL_Summary,MATCH(O61,months,0),7)</f>
        <v>1409.3733333333323</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FT</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260.2</v>
      </c>
      <c r="U61" s="372">
        <f ca="1">INDEX(PYRL_Summary,MATCH(O61,months,0),22)</f>
        <v>130.1</v>
      </c>
      <c r="V61" s="373">
        <f ca="1">INDEX(PYRL_Summary,MATCH(O61,months,0),23)</f>
        <v>130.1</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t="str">
        <f>INDEX([1]!empdata,MATCH(ID,[1]!empid,0),15)</f>
        <v>SIN</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3.9</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2025003</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69</v>
      </c>
      <c r="X64" s="577"/>
    </row>
    <row r="65" spans="5:37" ht="15.75" customHeight="1" thickBot="1" x14ac:dyDescent="0.3">
      <c r="E65" s="925" t="s">
        <v>224</v>
      </c>
      <c r="F65" s="926"/>
      <c r="G65" s="103">
        <f ca="1">+Med_Tot</f>
        <v>17424.999999999989</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Sup
 Bonus</v>
      </c>
      <c r="R65" s="100">
        <f ca="1">IF((INDEX(PYRL_Summary,MATCH(O61,months,0),13)&gt;=0.01),(INDEX(PYRL_Summary,MATCH(O61,months,0),13)),0)</f>
        <v>0</v>
      </c>
      <c r="S65" s="102">
        <f ca="1">+P65+R65</f>
        <v>0</v>
      </c>
      <c r="T65" s="889" t="str">
        <f>+IBAN</f>
        <v>MT77VALL22013000000050020972692</v>
      </c>
      <c r="U65" s="890"/>
      <c r="V65" s="891"/>
    </row>
    <row r="66" spans="5:37" ht="16.5" customHeight="1" thickBot="1" x14ac:dyDescent="0.3">
      <c r="E66" s="952" t="s">
        <v>226</v>
      </c>
      <c r="F66" s="953"/>
      <c r="G66" s="112">
        <f ca="1">+PREVFS3+Med_Tot</f>
        <v>17424.999999999989</v>
      </c>
      <c r="H66" s="114">
        <f ca="1">IF(grossyearly&lt;F68,1,IF(grossyearly&lt;F69,2,IF(grossyearly&lt;F70,3,IF(grossyearly&lt;F71,4,5))))</f>
        <v>3</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1210.2733333333324</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SINmax1</v>
      </c>
      <c r="F68" s="66">
        <f>+VLOOKUP(E68,SStable,4,)</f>
        <v>12000</v>
      </c>
      <c r="G68" s="109">
        <f>+VLOOKUP(E68,SStable,5,)</f>
        <v>0</v>
      </c>
      <c r="H68" s="104">
        <f>+VLOOKUP(E68,SStable,6,)</f>
        <v>0</v>
      </c>
      <c r="N68" s="388">
        <f ca="1">INDEX(PYRL_Summary,MATCH(O61,months,0),4)</f>
        <v>4</v>
      </c>
      <c r="O68" s="389" t="s">
        <v>187</v>
      </c>
      <c r="P68" s="390">
        <f>+O51</f>
        <v>46113</v>
      </c>
      <c r="Q68" s="391">
        <f ca="1">INDEX(PYRL_Summary,MATCH(P68,months,0),31)</f>
        <v>-680</v>
      </c>
      <c r="R68" s="392" t="s">
        <v>188</v>
      </c>
      <c r="S68" s="393">
        <f ca="1">INDEX(PYRL_Summary,MATCH(O61,months,0),33)</f>
        <v>223.99999999999997</v>
      </c>
      <c r="T68" s="425" t="str">
        <f>+Clinic_add</f>
        <v>7,  Mediatrix, Sanctuary Str. Zabbar ZBR1010
8, Mediatrix, Guze Duca Str., Qormi QRM9088</v>
      </c>
      <c r="U68" s="426"/>
      <c r="V68" s="427" t="s">
        <v>189</v>
      </c>
    </row>
    <row r="69" spans="5:37" ht="27" customHeight="1" thickBot="1" x14ac:dyDescent="0.3">
      <c r="E69" s="80" t="str">
        <f>CONCATENATE(FS4_Status,"max",2)</f>
        <v>SINmax2</v>
      </c>
      <c r="F69" s="66">
        <f>+VLOOKUP(E69,SStable,4,)</f>
        <v>16000</v>
      </c>
      <c r="G69" s="109">
        <f>+VLOOKUP(E69,SStable,5,)</f>
        <v>0.15</v>
      </c>
      <c r="H69" s="104">
        <f>+VLOOKUP(E69,SStable,6,)</f>
        <v>1800</v>
      </c>
      <c r="N69" s="403">
        <f ca="1">IF(OR(INDEX(PYRL_Summary,MATCH(O71,months,0),28)="pt",INDEX(PYRL_Summary,MATCH(O71,months,0),28)="pt_casual"),0,IF(N72-N71&gt;=1,1,0))</f>
        <v>1</v>
      </c>
      <c r="O69" s="908" t="str">
        <f>Surname&amp;" "&amp;Name</f>
        <v>Acharya Ramkrishna</v>
      </c>
      <c r="P69" s="394" t="str">
        <f>+IDCard</f>
        <v>302663A</v>
      </c>
      <c r="Q69" s="395" t="str">
        <f>+designation</f>
        <v>13. Maintenance</v>
      </c>
      <c r="R69" s="396" t="s">
        <v>156</v>
      </c>
      <c r="S69" s="397">
        <f ca="1">+S70+S73+S72+S74+S75+S76+S71</f>
        <v>1544.4733333333322</v>
      </c>
      <c r="T69" s="431" t="str">
        <f>+FS4_Status</f>
        <v>SIN</v>
      </c>
      <c r="U69" s="573" t="str">
        <f ca="1">INDEX(INDAT,MATCH(O71,(INDIRECT(("months"),TRUE)),0),26)</f>
        <v>FT</v>
      </c>
      <c r="V69" s="432" t="str">
        <f ca="1">INDEX(INDAT,MATCH(O71,(INDIRECT(("months"),TRUE)),0),25)</f>
        <v>C</v>
      </c>
      <c r="W69" s="412">
        <f>+$O$9</f>
        <v>46174</v>
      </c>
      <c r="X69" s="424"/>
      <c r="Y69" s="424"/>
      <c r="Z69" s="73"/>
      <c r="AA69" s="73"/>
    </row>
    <row r="70" spans="5:37" ht="20.25" customHeight="1" thickBot="1" x14ac:dyDescent="0.3">
      <c r="E70" s="80" t="str">
        <f>CONCATENATE(FS4_Status,"max",3)</f>
        <v>SINmax3</v>
      </c>
      <c r="F70" s="66">
        <f>+VLOOKUP(E70,SStable,4,)</f>
        <v>19999</v>
      </c>
      <c r="G70" s="109">
        <f>+VLOOKUP(E70,SStable,5,)</f>
        <v>0.25</v>
      </c>
      <c r="H70" s="104">
        <f>+VLOOKUP(E70,SStable,6,)</f>
        <v>3400</v>
      </c>
      <c r="N70" s="404">
        <f ca="1">IF(AND(OR((INDEX(PYRL_Summary,MATCH(O71,months,0),28))="PT",( INDEX(PYRL_Summary,MATCH(O71,months,0),28))="PT_casual" ),(N72-N71&gt;=1)),1,0)</f>
        <v>0</v>
      </c>
      <c r="O70" s="909"/>
      <c r="P70" s="415" t="s">
        <v>161</v>
      </c>
      <c r="Q70" s="414">
        <f ca="1">INDEX(PYRL_Summary,MATCH(O71,months,0),5)</f>
        <v>40</v>
      </c>
      <c r="R70" s="398" t="s">
        <v>94</v>
      </c>
      <c r="S70" s="399">
        <f ca="1">INDEX(PYRL_Summary,MATCH(O71,months,0),7)</f>
        <v>1409.3733333333323</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SINmax4</v>
      </c>
      <c r="F71" s="66">
        <f>+VLOOKUP(E71,SStable,4,)</f>
        <v>60000</v>
      </c>
      <c r="G71" s="109">
        <f>+VLOOKUP(E71,SStable,5,)</f>
        <v>0.25</v>
      </c>
      <c r="H71" s="104">
        <f>+VLOOKUP(E71,SStable,6,)</f>
        <v>3400</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325.24</v>
      </c>
      <c r="U71" s="358">
        <f ca="1">INDEX(PYRL_Summary,MATCH(O71,months,0),22)</f>
        <v>162.62</v>
      </c>
      <c r="V71" s="359">
        <f ca="1">INDEX(PYRL_Summary,MATCH(O71,months,0),23)</f>
        <v>162.62</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SINmax5</v>
      </c>
      <c r="F72" s="66" t="s">
        <v>230</v>
      </c>
      <c r="G72" s="109">
        <f>+VLOOKUP(E72,SStable,5,)</f>
        <v>0.35</v>
      </c>
      <c r="H72" s="104">
        <f>+VLOOKUP(E72,SStable,6,)</f>
        <v>9400</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4.88</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2025003</v>
      </c>
      <c r="P73" s="195" t="s">
        <v>172</v>
      </c>
      <c r="Q73" s="195"/>
      <c r="R73" s="194"/>
      <c r="S73" s="193">
        <f ca="1">INDEX(PYRL_Summary,MATCH(O71,months,0),11)</f>
        <v>135.1</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102</v>
      </c>
      <c r="X74" s="577"/>
    </row>
    <row r="75" spans="5:37" ht="15.75" customHeight="1" thickBot="1" x14ac:dyDescent="0.3">
      <c r="E75" s="293"/>
      <c r="F75" s="294" t="s">
        <v>130</v>
      </c>
      <c r="G75" s="295">
        <f ca="1">IF(AND(Timer="pt",grossyearly&lt;10000),+ptrate,IF(grossyearly&lt;$F$68,$G$68,IF(grossyearly&lt;$F$69,$G$69,IF(grossyearly&lt;$F$70,$G$70,IF(grossyearly&lt;$F$71,$G$71,$G$72)))))</f>
        <v>0.25</v>
      </c>
      <c r="H75" s="296">
        <f ca="1">IF(grossyearly&lt;$F$68,$H$68,IF(grossyearly&lt;$F$69,$H$69,IF(grossyearly&lt;$F$70,$H$70,IF(grossyearly&lt;$F$71,$H$71,$H$72))))</f>
        <v>3400</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Sup
 Bonus</v>
      </c>
      <c r="R75" s="100">
        <f ca="1">IF((INDEX(PYRL_Summary,MATCH(O71,months,0),13)&gt;=0.01),(INDEX(PYRL_Summary,MATCH(O71,months,0),13)),0)</f>
        <v>0</v>
      </c>
      <c r="S75" s="102">
        <f ca="1">+P75+R75</f>
        <v>0</v>
      </c>
      <c r="T75" s="889" t="str">
        <f>+IBAN</f>
        <v>MT77VALL22013000000050020972692</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1279.8533333333321</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-880</v>
      </c>
      <c r="R78" s="410" t="s">
        <v>188</v>
      </c>
      <c r="S78" s="411">
        <f ca="1">INDEX(PYRL_Summary,MATCH(O71,months,0),33)</f>
        <v>223.99999999999997</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1</v>
      </c>
      <c r="O79" s="894" t="str">
        <f>Surname&amp;" "&amp;Name</f>
        <v>Acharya Ramkrishna</v>
      </c>
      <c r="P79" s="374" t="str">
        <f>+IDCard</f>
        <v>302663A</v>
      </c>
      <c r="Q79" s="375" t="str">
        <f>+designation</f>
        <v>13. Maintenance</v>
      </c>
      <c r="R79" s="376" t="s">
        <v>156</v>
      </c>
      <c r="S79" s="377">
        <f ca="1">+S80+S83+S82+S84+S85+S86+S81</f>
        <v>1409.3733333333323</v>
      </c>
      <c r="T79" s="378" t="str">
        <f>+FS4_Status</f>
        <v>SIN</v>
      </c>
      <c r="U79" s="572" t="str">
        <f ca="1">INDEX(INDAT,MATCH(O81,(INDIRECT(("months"),TRUE)),0),26)</f>
        <v>FT</v>
      </c>
      <c r="V79" s="379" t="str">
        <f ca="1">INDEX(INDAT,MATCH(O81,(INDIRECT(("months"),TRUE)),0),25)</f>
        <v>C</v>
      </c>
      <c r="W79" s="422">
        <f>+$O$10</f>
        <v>46204</v>
      </c>
      <c r="X79" s="423"/>
      <c r="Y79" s="423"/>
      <c r="Z79" s="73"/>
      <c r="AA79" s="73"/>
    </row>
    <row r="80" spans="5:37" ht="20.25" customHeight="1" thickBot="1" x14ac:dyDescent="0.3">
      <c r="N80" s="387">
        <f ca="1">IF(AND(OR((INDEX(PYRL_Summary,MATCH(O81,months,0),28))="PT",( INDEX(PYRL_Summary,MATCH(O81,months,0),28))="PT_casual" ),(N82-N81&gt;=1)),1,0)</f>
        <v>0</v>
      </c>
      <c r="O80" s="895"/>
      <c r="P80" s="416" t="s">
        <v>161</v>
      </c>
      <c r="Q80" s="380">
        <f ca="1">INDEX(PYRL_Summary,MATCH(O81,months,0),5)</f>
        <v>40</v>
      </c>
      <c r="R80" s="381" t="s">
        <v>94</v>
      </c>
      <c r="S80" s="382">
        <f ca="1">INDEX(PYRL_Summary,MATCH(O81,months,0),7)</f>
        <v>1409.3733333333323</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260.2</v>
      </c>
      <c r="U81" s="372">
        <f ca="1">INDEX(PYRL_Summary,MATCH(O81,months,0),22)</f>
        <v>130.1</v>
      </c>
      <c r="V81" s="373">
        <f ca="1">INDEX(PYRL_Summary,MATCH(O81,months,0),23)</f>
        <v>130.1</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3.9</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2025003</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69</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Sup
 Bonus</v>
      </c>
      <c r="R85" s="100">
        <f ca="1">IF((INDEX(PYRL_Summary,MATCH(O81,months,0),13)&gt;=0.01),(INDEX(PYRL_Summary,MATCH(O81,months,0),13)),0)</f>
        <v>0</v>
      </c>
      <c r="S85" s="102">
        <f ca="1">+P85+R85</f>
        <v>0</v>
      </c>
      <c r="T85" s="889" t="str">
        <f>+IBAN</f>
        <v>MT77VALL22013000000050020972692</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1210.2733333333324</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223.99999999999997</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1</v>
      </c>
      <c r="O89" s="908" t="str">
        <f>Surname&amp;" "&amp;Name</f>
        <v>Acharya Ramkrishna</v>
      </c>
      <c r="P89" s="394" t="str">
        <f>+IDCard</f>
        <v>302663A</v>
      </c>
      <c r="Q89" s="395" t="str">
        <f>+designation</f>
        <v>13. Maintenance</v>
      </c>
      <c r="R89" s="396" t="s">
        <v>156</v>
      </c>
      <c r="S89" s="397">
        <f ca="1">+S90+S93+S92+S94+S95+S96+S91</f>
        <v>1409.3733333333323</v>
      </c>
      <c r="T89" s="431" t="str">
        <f>+FS4_Status</f>
        <v>SIN</v>
      </c>
      <c r="U89" s="573" t="str">
        <f ca="1">INDEX(INDAT,MATCH(O91,(INDIRECT(("months"),TRUE)),0),26)</f>
        <v>FT</v>
      </c>
      <c r="V89" s="432" t="str">
        <f ca="1">INDEX(INDAT,MATCH(O91,(INDIRECT(("months"),TRUE)),0),25)</f>
        <v>C</v>
      </c>
      <c r="W89" s="412">
        <f>+$O$11</f>
        <v>46235</v>
      </c>
      <c r="X89" s="424"/>
      <c r="Y89" s="424"/>
      <c r="Z89" s="73"/>
      <c r="AA89" s="73"/>
    </row>
    <row r="90" spans="14:37" ht="20.25" customHeight="1" thickBot="1" x14ac:dyDescent="0.3">
      <c r="N90" s="404">
        <f ca="1">IF(AND(OR((INDEX(PYRL_Summary,MATCH(O91,months,0),28))="PT",( INDEX(PYRL_Summary,MATCH(O91,months,0),28))="PT_casual" ),(N92-N91&gt;=1)),1,0)</f>
        <v>0</v>
      </c>
      <c r="O90" s="909"/>
      <c r="P90" s="415" t="s">
        <v>161</v>
      </c>
      <c r="Q90" s="414">
        <f ca="1">INDEX(PYRL_Summary,MATCH(O91,months,0),5)</f>
        <v>40</v>
      </c>
      <c r="R90" s="398" t="s">
        <v>94</v>
      </c>
      <c r="S90" s="399">
        <f ca="1">INDEX(PYRL_Summary,MATCH(O91,months,0),7)</f>
        <v>1409.3733333333323</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325.24</v>
      </c>
      <c r="U91" s="358">
        <f ca="1">INDEX(PYRL_Summary,MATCH(O91,months,0),22)</f>
        <v>162.62</v>
      </c>
      <c r="V91" s="359">
        <f ca="1">INDEX(PYRL_Summary,MATCH(O91,months,0),23)</f>
        <v>162.62</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4.88</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2025003</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69</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Sup
 Bonus</v>
      </c>
      <c r="R95" s="100">
        <f ca="1">IF((INDEX(PYRL_Summary,MATCH(O91,months,0),13)&gt;=0.01),(INDEX(PYRL_Summary,MATCH(O91,months,0),13)),0)</f>
        <v>0</v>
      </c>
      <c r="S95" s="102">
        <f ca="1">+P95+R95</f>
        <v>0</v>
      </c>
      <c r="T95" s="889" t="str">
        <f>+IBAN</f>
        <v>MT77VALL22013000000050020972692</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1177.7533333333322</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-1200</v>
      </c>
      <c r="R98" s="410" t="s">
        <v>188</v>
      </c>
      <c r="S98" s="411">
        <f ca="1">INDEX(PYRL_Summary,MATCH(O91,months,0),33)</f>
        <v>223.99999999999997</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1</v>
      </c>
      <c r="O99" s="894" t="str">
        <f>Surname&amp;" "&amp;Name</f>
        <v>Acharya Ramkrishna</v>
      </c>
      <c r="P99" s="374" t="str">
        <f>+IDCard</f>
        <v>302663A</v>
      </c>
      <c r="Q99" s="375" t="str">
        <f>+designation</f>
        <v>13. Maintenance</v>
      </c>
      <c r="R99" s="376" t="s">
        <v>156</v>
      </c>
      <c r="S99" s="377">
        <f ca="1">+S100+S103+S102+S104+S105+S106+S101</f>
        <v>1530.5333333333324</v>
      </c>
      <c r="T99" s="378" t="str">
        <f>+FS4_Status</f>
        <v>SIN</v>
      </c>
      <c r="U99" s="572" t="str">
        <f ca="1">INDEX(INDAT,MATCH(O101,(INDIRECT(("months"),TRUE)),0),26)</f>
        <v>FT</v>
      </c>
      <c r="V99" s="379" t="str">
        <f ca="1">INDEX(INDAT,MATCH(O101,(INDIRECT(("months"),TRUE)),0),25)</f>
        <v>C</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0</v>
      </c>
      <c r="O100" s="895"/>
      <c r="P100" s="416" t="s">
        <v>161</v>
      </c>
      <c r="Q100" s="380">
        <f ca="1">INDEX(PYRL_Summary,MATCH(O101,months,0),5)</f>
        <v>40</v>
      </c>
      <c r="R100" s="381" t="s">
        <v>94</v>
      </c>
      <c r="S100" s="382">
        <f ca="1">INDEX(PYRL_Summary,MATCH(O101,months,0),7)</f>
        <v>1409.3733333333323</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260.2</v>
      </c>
      <c r="U101" s="372">
        <f ca="1">INDEX(PYRL_Summary,MATCH(O101,months,0),22)</f>
        <v>130.1</v>
      </c>
      <c r="V101" s="373">
        <f ca="1">INDEX(PYRL_Summary,MATCH(O101,months,0),23)</f>
        <v>130.1</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3.9</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2025003</v>
      </c>
      <c r="P103" s="365" t="s">
        <v>172</v>
      </c>
      <c r="Q103" s="365"/>
      <c r="R103" s="366"/>
      <c r="S103" s="367">
        <f ca="1">INDEX(PYRL_Summary,MATCH(O101,months,0),11)</f>
        <v>121.16</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99</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Sup
 Bonus</v>
      </c>
      <c r="R105" s="100">
        <f ca="1">IF((INDEX(PYRL_Summary,MATCH(O101,months,0),13)&gt;=0.01),(INDEX(PYRL_Summary,MATCH(O101,months,0),13)),0)</f>
        <v>0</v>
      </c>
      <c r="S105" s="102">
        <f ca="1">+P105+R105</f>
        <v>0</v>
      </c>
      <c r="T105" s="889" t="str">
        <f>+IBAN</f>
        <v>MT77VALL22013000000050020972692</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1301.4333333333325</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-1360</v>
      </c>
      <c r="R108" s="392" t="s">
        <v>188</v>
      </c>
      <c r="S108" s="393">
        <f ca="1">INDEX(PYRL_Summary,MATCH(O101,months,0),33)</f>
        <v>223.99999999999997</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1</v>
      </c>
      <c r="O109" s="908" t="str">
        <f>Surname&amp;" "&amp;Name</f>
        <v>Acharya Ramkrishna</v>
      </c>
      <c r="P109" s="394" t="str">
        <f>+IDCard</f>
        <v>302663A</v>
      </c>
      <c r="Q109" s="395" t="str">
        <f>+designation</f>
        <v>13. Maintenance</v>
      </c>
      <c r="R109" s="396" t="s">
        <v>156</v>
      </c>
      <c r="S109" s="397">
        <f ca="1">+S110+S113+S112+S114+S115+S116+S111</f>
        <v>1409.3733333333323</v>
      </c>
      <c r="T109" s="431" t="str">
        <f>+FS4_Status</f>
        <v>SIN</v>
      </c>
      <c r="U109" s="573" t="str">
        <f ca="1">INDEX(INDAT,MATCH(W109,(INDIRECT(("months"),TRUE)),0),26)</f>
        <v>FT</v>
      </c>
      <c r="V109" s="432" t="str">
        <f ca="1">INDEX(INDAT,MATCH(W109,(INDIRECT(("months"),TRUE)),0),25)</f>
        <v>C</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0</v>
      </c>
      <c r="O110" s="909"/>
      <c r="P110" s="415" t="s">
        <v>161</v>
      </c>
      <c r="Q110" s="414">
        <f ca="1">INDEX(PYRL_Summary,MATCH(W109,months,0),5)</f>
        <v>40</v>
      </c>
      <c r="R110" s="398" t="s">
        <v>94</v>
      </c>
      <c r="S110" s="399">
        <f ca="1">INDEX(PYRL_Summary,MATCH(W109,months,0),7)</f>
        <v>1409.3733333333323</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260.2</v>
      </c>
      <c r="U111" s="358">
        <f ca="1">INDEX(PYRL_Summary,MATCH(W109,months,0),22)</f>
        <v>130.1</v>
      </c>
      <c r="V111" s="359">
        <f ca="1">INDEX(PYRL_Summary,MATCH(W109,months,0),23)</f>
        <v>130.1</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3.9</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2025003</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69</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Sup
 Bonus</v>
      </c>
      <c r="R115" s="100">
        <f ca="1">IF((INDEX(PYRL_Summary,MATCH(W109,months,0),13)&gt;=0.01),(INDEX(PYRL_Summary,MATCH(W109,months,0),13)),0)</f>
        <v>0</v>
      </c>
      <c r="S115" s="102">
        <f ca="1">+P115+R115</f>
        <v>0</v>
      </c>
      <c r="T115" s="889" t="str">
        <f>+IBAN</f>
        <v>MT77VALL22013000000050020972692</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1210.2733333333324</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-1520</v>
      </c>
      <c r="R118" s="410" t="s">
        <v>188</v>
      </c>
      <c r="S118" s="411">
        <f ca="1">INDEX(PYRL_Summary,MATCH(W109,months,0),33)</f>
        <v>223.99999999999997</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1</v>
      </c>
      <c r="O119" s="894" t="str">
        <f>Surname&amp;" "&amp;Name</f>
        <v>Acharya Ramkrishna</v>
      </c>
      <c r="P119" s="374" t="str">
        <f>+IDCard</f>
        <v>302663A</v>
      </c>
      <c r="Q119" s="375" t="str">
        <f>+designation</f>
        <v>13. Maintenance</v>
      </c>
      <c r="R119" s="376" t="s">
        <v>156</v>
      </c>
      <c r="S119" s="377">
        <f ca="1">+S120+S123+S122+S124+S125+S126+S121</f>
        <v>1409.3733333333323</v>
      </c>
      <c r="T119" s="378" t="str">
        <f>+FS4_Status</f>
        <v>SIN</v>
      </c>
      <c r="U119" s="572" t="str">
        <f ca="1">INDEX(INDAT,MATCH(W119,(INDIRECT(("months"),TRUE)),0),26)</f>
        <v>FT</v>
      </c>
      <c r="V119" s="379" t="str">
        <f ca="1">INDEX(INDAT,MATCH(W119,(INDIRECT(("months"),TRUE)),0),25)</f>
        <v>C</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0</v>
      </c>
      <c r="O120" s="895"/>
      <c r="P120" s="416" t="s">
        <v>161</v>
      </c>
      <c r="Q120" s="380">
        <f ca="1">INDEX(PYRL_Summary,MATCH(W119,months,0),5)</f>
        <v>40</v>
      </c>
      <c r="R120" s="381" t="s">
        <v>94</v>
      </c>
      <c r="S120" s="382">
        <f ca="1">INDEX(PYRL_Summary,MATCH(W119,months,0),7)</f>
        <v>1409.3733333333323</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325.24</v>
      </c>
      <c r="U121" s="372">
        <f ca="1">INDEX(PYRL_Summary,MATCH(W119,months,0),22)</f>
        <v>162.62</v>
      </c>
      <c r="V121" s="373">
        <f ca="1">INDEX(PYRL_Summary,MATCH(W119,months,0),23)</f>
        <v>162.62</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4.88</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2025003</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69</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Sup
 Bonus</v>
      </c>
      <c r="R125" s="100">
        <f ca="1">IF((INDEX(PYRL_Summary,MATCH(W119,months,0),13)&gt;=0.01),(INDEX(PYRL_Summary,MATCH(W119,months,0),13)),0)</f>
        <v>0</v>
      </c>
      <c r="S125" s="102">
        <f ca="1">+P125+R125</f>
        <v>0</v>
      </c>
      <c r="T125" s="889" t="str">
        <f>+IBAN</f>
        <v>MT77VALL22013000000050020972692</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1177.7533333333322</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-1720</v>
      </c>
      <c r="R128" s="392" t="s">
        <v>188</v>
      </c>
      <c r="S128" s="393">
        <f ca="1">INDEX(PYRL_Summary,MATCH(W119,months,0),33)</f>
        <v>223.99999999999997</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1</v>
      </c>
      <c r="O129" s="908" t="str">
        <f>Surname&amp;" "&amp;Name</f>
        <v>Acharya Ramkrishna</v>
      </c>
      <c r="P129" s="394" t="str">
        <f>+IDCard</f>
        <v>302663A</v>
      </c>
      <c r="Q129" s="395" t="str">
        <f>+designation</f>
        <v>13. Maintenance</v>
      </c>
      <c r="R129" s="396" t="s">
        <v>156</v>
      </c>
      <c r="S129" s="397">
        <f ca="1">+S130+S133+S132+S134+S135+S136+S131</f>
        <v>1544.4733333333322</v>
      </c>
      <c r="T129" s="431" t="str">
        <f>+FS4_Status</f>
        <v>SIN</v>
      </c>
      <c r="U129" s="573" t="str">
        <f ca="1">INDEX(INDAT,MATCH(W129,(INDIRECT(("months"),TRUE)),0),26)</f>
        <v>FT</v>
      </c>
      <c r="V129" s="432" t="str">
        <f ca="1">INDEX(INDAT,MATCH(W129,(INDIRECT(("months"),TRUE)),0),25)</f>
        <v>C</v>
      </c>
      <c r="W129" s="412">
        <f>+$O$131</f>
        <v>46357</v>
      </c>
      <c r="X129" s="424"/>
      <c r="Y129" s="424"/>
      <c r="Z129" s="73"/>
      <c r="AA129" s="73"/>
    </row>
    <row r="130" spans="14:37" ht="20.25" customHeight="1" thickBot="1" x14ac:dyDescent="0.3">
      <c r="N130" s="404"/>
      <c r="O130" s="909"/>
      <c r="P130" s="415" t="s">
        <v>161</v>
      </c>
      <c r="Q130" s="414">
        <f ca="1">INDEX(PYRL_Summary,MATCH(W129,months,0),5)</f>
        <v>40</v>
      </c>
      <c r="R130" s="398" t="s">
        <v>94</v>
      </c>
      <c r="S130" s="399">
        <f ca="1">INDEX(PYRL_Summary,MATCH(W129,months,0),7)</f>
        <v>1409.3733333333323</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260.2</v>
      </c>
      <c r="U131" s="358">
        <f ca="1">INDEX(PYRL_Summary,MATCH(W129,months,0),22)</f>
        <v>130.1</v>
      </c>
      <c r="V131" s="359">
        <f ca="1">INDEX(PYRL_Summary,MATCH(W129,months,0),23)</f>
        <v>130.1</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3.9</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2025003</v>
      </c>
      <c r="P133" s="195" t="s">
        <v>172</v>
      </c>
      <c r="Q133" s="195"/>
      <c r="R133" s="194"/>
      <c r="S133" s="193">
        <f ca="1">INDEX(PYRL_Summary,MATCH(W129,months,0),11)</f>
        <v>135.1</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102</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Sup
 Bonus</v>
      </c>
      <c r="R135" s="100">
        <f ca="1">IF((INDEX(PYRL_Summary,MATCH(W129,months,0),13)&gt;=0.01),(INDEX(PYRL_Summary,MATCH(W129,months,0),13)),0)</f>
        <v>0</v>
      </c>
      <c r="S135" s="102">
        <f ca="1">+P135+R135</f>
        <v>0</v>
      </c>
      <c r="T135" s="889" t="str">
        <f>+IBAN</f>
        <v>MT77VALL22013000000050020972692</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1312.3733333333323</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-1880</v>
      </c>
      <c r="R138" s="410" t="s">
        <v>188</v>
      </c>
      <c r="S138" s="411">
        <f ca="1">INDEX(PYRL_Summary,MATCH(W129,months,0),33)</f>
        <v>223.99999999999997</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174" priority="29">
      <formula>$P25=0</formula>
    </cfRule>
  </conditionalFormatting>
  <conditionalFormatting sqref="Q25:R25">
    <cfRule type="expression" dxfId="173" priority="28">
      <formula>$R25=0</formula>
    </cfRule>
  </conditionalFormatting>
  <conditionalFormatting sqref="S25">
    <cfRule type="expression" dxfId="172" priority="27">
      <formula>$S25=0</formula>
    </cfRule>
  </conditionalFormatting>
  <conditionalFormatting sqref="S26">
    <cfRule type="expression" dxfId="171" priority="25">
      <formula>$S$46&gt;0.01</formula>
    </cfRule>
    <cfRule type="expression" dxfId="170" priority="26">
      <formula>$S$46=0</formula>
    </cfRule>
  </conditionalFormatting>
  <conditionalFormatting sqref="T23 T33 T43 T53 T63 T73 T83 T93 T103 T113 T123 T133">
    <cfRule type="expression" dxfId="169" priority="24" stopIfTrue="1">
      <formula>"$R$23=0"""</formula>
    </cfRule>
  </conditionalFormatting>
  <conditionalFormatting sqref="O26:Q26">
    <cfRule type="expression" dxfId="168" priority="23">
      <formula>$Q$26=0</formula>
    </cfRule>
  </conditionalFormatting>
  <conditionalFormatting sqref="V23">
    <cfRule type="expression" dxfId="167" priority="22">
      <formula>$V$23=0</formula>
    </cfRule>
  </conditionalFormatting>
  <conditionalFormatting sqref="O35:P35">
    <cfRule type="expression" dxfId="166" priority="21">
      <formula>$P35=0</formula>
    </cfRule>
  </conditionalFormatting>
  <conditionalFormatting sqref="Q35:R35">
    <cfRule type="expression" dxfId="165" priority="20">
      <formula>$R35=0</formula>
    </cfRule>
  </conditionalFormatting>
  <conditionalFormatting sqref="S35">
    <cfRule type="expression" dxfId="164" priority="19">
      <formula>$S35=0</formula>
    </cfRule>
  </conditionalFormatting>
  <conditionalFormatting sqref="S36">
    <cfRule type="expression" dxfId="163" priority="17">
      <formula>$S$46&gt;0.01</formula>
    </cfRule>
    <cfRule type="expression" dxfId="162" priority="18">
      <formula>$S$46=0</formula>
    </cfRule>
  </conditionalFormatting>
  <conditionalFormatting sqref="O36:Q36">
    <cfRule type="expression" dxfId="161" priority="16">
      <formula>$Q$26=0</formula>
    </cfRule>
  </conditionalFormatting>
  <conditionalFormatting sqref="V33">
    <cfRule type="expression" dxfId="160" priority="15">
      <formula>$V$23=0</formula>
    </cfRule>
  </conditionalFormatting>
  <conditionalFormatting sqref="O45:P45 O65:P65 O85:P85 O105:P105 O125:P125">
    <cfRule type="expression" dxfId="159" priority="14">
      <formula>$P45=0</formula>
    </cfRule>
  </conditionalFormatting>
  <conditionalFormatting sqref="Q45:R45 Q65:R65 Q85:R85 Q105:R105 Q125:R125">
    <cfRule type="expression" dxfId="158" priority="13">
      <formula>$R45=0</formula>
    </cfRule>
  </conditionalFormatting>
  <conditionalFormatting sqref="S45 S65 S85 S105 S125">
    <cfRule type="expression" dxfId="157" priority="12">
      <formula>$S45=0</formula>
    </cfRule>
  </conditionalFormatting>
  <conditionalFormatting sqref="S46 S66 S86 S106 S126">
    <cfRule type="expression" dxfId="156" priority="10">
      <formula>$S$46&gt;0.01</formula>
    </cfRule>
    <cfRule type="expression" dxfId="155" priority="11">
      <formula>$S$46=0</formula>
    </cfRule>
  </conditionalFormatting>
  <conditionalFormatting sqref="O46:Q46 O66:Q66 O86:Q86 O106:Q106 O126:Q126">
    <cfRule type="expression" dxfId="154" priority="9">
      <formula>$Q$26=0</formula>
    </cfRule>
  </conditionalFormatting>
  <conditionalFormatting sqref="V43 V63 V83 V103 V123">
    <cfRule type="expression" dxfId="153" priority="8">
      <formula>$V$23=0</formula>
    </cfRule>
  </conditionalFormatting>
  <conditionalFormatting sqref="O55:P55 O75:P75 O95:P95 O115:P115 O135:P135">
    <cfRule type="expression" dxfId="152" priority="7">
      <formula>$P55=0</formula>
    </cfRule>
  </conditionalFormatting>
  <conditionalFormatting sqref="Q55:R55 Q75:R75 Q95:R95 Q115:R115 Q135:R135">
    <cfRule type="expression" dxfId="151" priority="6">
      <formula>$R55=0</formula>
    </cfRule>
  </conditionalFormatting>
  <conditionalFormatting sqref="S55 S75 S95 S115 S135">
    <cfRule type="expression" dxfId="150" priority="5">
      <formula>$S55=0</formula>
    </cfRule>
  </conditionalFormatting>
  <conditionalFormatting sqref="S56 S76 S96 S116 S136">
    <cfRule type="expression" dxfId="149" priority="3">
      <formula>$S$46&gt;0.01</formula>
    </cfRule>
    <cfRule type="expression" dxfId="148" priority="4">
      <formula>$S$46=0</formula>
    </cfRule>
  </conditionalFormatting>
  <conditionalFormatting sqref="O56:Q56 O76:Q76 O96:Q96 O116:Q116 O136:Q136">
    <cfRule type="expression" dxfId="147" priority="2">
      <formula>$Q$26=0</formula>
    </cfRule>
  </conditionalFormatting>
  <conditionalFormatting sqref="V53 V73 V93 V113 V133">
    <cfRule type="expression" dxfId="146" priority="1">
      <formula>$V$23=0</formula>
    </cfRule>
  </conditionalFormatting>
  <hyperlinks>
    <hyperlink ref="F57" r:id="rId1" display="drchrisgauci@gmail.com" xr:uid="{00000000-0004-0000-17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11777"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11778"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11779"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11780"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11781"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11782"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11783"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11784"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11785"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11786"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11787"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11788"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11789"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
    <tabColor rgb="FF04CCB9"/>
  </sheetPr>
  <dimension ref="A1"/>
  <sheetViews>
    <sheetView workbookViewId="0"/>
  </sheetViews>
  <sheetFormatPr defaultRowHeight="15" x14ac:dyDescent="0.25"/>
  <sheetData>
    <row r="1" spans="1:1" x14ac:dyDescent="0.25">
      <c r="A1" s="44" t="s">
        <v>250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2">
    <tabColor rgb="FFFF0000"/>
  </sheetPr>
  <dimension ref="A1:AI146"/>
  <sheetViews>
    <sheetView workbookViewId="0"/>
  </sheetViews>
  <sheetFormatPr defaultColWidth="17.28515625" defaultRowHeight="15" customHeight="1" x14ac:dyDescent="0.25"/>
  <cols>
    <col min="1" max="1" width="6.28515625" style="117" customWidth="1"/>
    <col min="2" max="2" width="14.28515625" style="117" customWidth="1"/>
    <col min="3" max="3" width="4" style="117" customWidth="1"/>
    <col min="4" max="4" width="6.7109375" style="117" customWidth="1"/>
    <col min="5" max="5" width="9.140625" style="117" customWidth="1"/>
    <col min="6" max="6" width="11.140625" style="117" customWidth="1"/>
    <col min="7" max="7" width="10.42578125" style="117" customWidth="1"/>
    <col min="8" max="8" width="11.28515625" style="117" customWidth="1"/>
    <col min="9" max="9" width="12" style="117" customWidth="1"/>
    <col min="10" max="10" width="13.7109375" style="117" customWidth="1"/>
    <col min="11" max="11" width="13.5703125" style="117" customWidth="1"/>
    <col min="12" max="12" width="12.42578125" style="117" customWidth="1"/>
    <col min="13" max="13" width="10.7109375" style="117" customWidth="1"/>
    <col min="14" max="14" width="9.140625" style="117" customWidth="1"/>
    <col min="15" max="15" width="14.7109375" style="117" customWidth="1"/>
    <col min="16" max="16" width="11.85546875" style="117" customWidth="1"/>
    <col min="17" max="17" width="15.140625" style="117" customWidth="1"/>
    <col min="18" max="18" width="12.5703125" style="117" customWidth="1"/>
    <col min="19" max="19" width="17.140625" style="117" customWidth="1"/>
    <col min="20" max="20" width="12.7109375" style="117" customWidth="1"/>
    <col min="21" max="21" width="15" style="117" customWidth="1"/>
    <col min="22" max="22" width="16.85546875" style="117" customWidth="1"/>
    <col min="23" max="23" width="14.7109375" style="117" customWidth="1"/>
    <col min="24" max="24" width="12.42578125" style="117" customWidth="1"/>
    <col min="25" max="25" width="13.42578125" style="117" customWidth="1"/>
    <col min="26" max="27" width="17.28515625" style="117" customWidth="1"/>
    <col min="28" max="28" width="21.5703125" style="117" customWidth="1"/>
    <col min="29" max="32" width="17.28515625" style="117" customWidth="1"/>
    <col min="33" max="33" width="11.7109375" style="117" customWidth="1"/>
    <col min="34" max="34" width="10.140625" style="117" customWidth="1"/>
    <col min="35" max="35" width="17.28515625" style="117" customWidth="1"/>
    <col min="36" max="16384" width="17.28515625" style="117"/>
  </cols>
  <sheetData>
    <row r="1" spans="1:35" ht="15" customHeight="1" x14ac:dyDescent="0.25">
      <c r="A1" s="117" t="s">
        <v>251</v>
      </c>
    </row>
    <row r="2" spans="1:35" ht="27" customHeight="1" x14ac:dyDescent="0.25"/>
    <row r="3" spans="1:35" ht="18.75" customHeight="1" x14ac:dyDescent="0.25"/>
    <row r="4" spans="1:35" ht="15.75" customHeight="1" x14ac:dyDescent="0.25">
      <c r="AH4" s="117" t="b">
        <f t="shared" ref="AH4:AH15" si="0">IF(AN4="PT",0,IF(AM4="B",ROUND(SSCBemployermultiplier*P4,2),IF(AM4="c",SOCSECCRATE*AG4*P4,IF(AM4="D",ROUND(socsecrateD*P4,2)))))</f>
        <v>0</v>
      </c>
      <c r="AI4" s="117" t="b">
        <f t="shared" ref="AI4:AI15" si="1">IF(AN4="PT",0,IF(AM4="B",ROUND(SSCBemployermultiplier*P4,2),IF(AM4="c",SOCSECCRATE*AG4*P4,IF(AM4="D",ROUND(socsecrateD*P4,2)))))</f>
        <v>0</v>
      </c>
    </row>
    <row r="5" spans="1:35" ht="15.75" customHeight="1" x14ac:dyDescent="0.25">
      <c r="AH5" s="117" t="b">
        <f t="shared" si="0"/>
        <v>0</v>
      </c>
      <c r="AI5" s="117" t="b">
        <f t="shared" si="1"/>
        <v>0</v>
      </c>
    </row>
    <row r="6" spans="1:35" ht="15.75" customHeight="1" x14ac:dyDescent="0.25">
      <c r="AH6" s="117" t="b">
        <f t="shared" si="0"/>
        <v>0</v>
      </c>
      <c r="AI6" s="117" t="b">
        <f t="shared" si="1"/>
        <v>0</v>
      </c>
    </row>
    <row r="7" spans="1:35" ht="15.75" customHeight="1" x14ac:dyDescent="0.25">
      <c r="AH7" s="117" t="b">
        <f t="shared" si="0"/>
        <v>0</v>
      </c>
      <c r="AI7" s="117" t="b">
        <f t="shared" si="1"/>
        <v>0</v>
      </c>
    </row>
    <row r="8" spans="1:35" ht="15.75" customHeight="1" x14ac:dyDescent="0.25">
      <c r="AH8" s="117" t="b">
        <f t="shared" si="0"/>
        <v>0</v>
      </c>
      <c r="AI8" s="117" t="b">
        <f t="shared" si="1"/>
        <v>0</v>
      </c>
    </row>
    <row r="9" spans="1:35" ht="15.75" customHeight="1" x14ac:dyDescent="0.25">
      <c r="AH9" s="117" t="b">
        <f t="shared" si="0"/>
        <v>0</v>
      </c>
      <c r="AI9" s="117" t="b">
        <f t="shared" si="1"/>
        <v>0</v>
      </c>
    </row>
    <row r="10" spans="1:35" ht="15.75" customHeight="1" x14ac:dyDescent="0.25">
      <c r="AH10" s="117" t="b">
        <f t="shared" si="0"/>
        <v>0</v>
      </c>
      <c r="AI10" s="117" t="b">
        <f t="shared" si="1"/>
        <v>0</v>
      </c>
    </row>
    <row r="11" spans="1:35" ht="17.45" customHeight="1" x14ac:dyDescent="0.25">
      <c r="AH11" s="117" t="b">
        <f t="shared" si="0"/>
        <v>0</v>
      </c>
      <c r="AI11" s="117" t="b">
        <f t="shared" si="1"/>
        <v>0</v>
      </c>
    </row>
    <row r="12" spans="1:35" ht="15.75" customHeight="1" x14ac:dyDescent="0.25">
      <c r="AH12" s="117" t="b">
        <f t="shared" si="0"/>
        <v>0</v>
      </c>
      <c r="AI12" s="117" t="b">
        <f t="shared" si="1"/>
        <v>0</v>
      </c>
    </row>
    <row r="13" spans="1:35" ht="23.25" customHeight="1" x14ac:dyDescent="0.25">
      <c r="AH13" s="117" t="b">
        <f t="shared" si="0"/>
        <v>0</v>
      </c>
      <c r="AI13" s="117" t="b">
        <f t="shared" si="1"/>
        <v>0</v>
      </c>
    </row>
    <row r="14" spans="1:35" ht="15.75" customHeight="1" x14ac:dyDescent="0.25">
      <c r="AH14" s="117" t="b">
        <f t="shared" si="0"/>
        <v>0</v>
      </c>
      <c r="AI14" s="117" t="b">
        <f t="shared" si="1"/>
        <v>0</v>
      </c>
    </row>
    <row r="15" spans="1:35" ht="15.75" customHeight="1" x14ac:dyDescent="0.25">
      <c r="AH15" s="117" t="b">
        <f t="shared" si="0"/>
        <v>0</v>
      </c>
      <c r="AI15" s="117" t="b">
        <f t="shared" si="1"/>
        <v>0</v>
      </c>
    </row>
    <row r="16" spans="1:35" ht="28.9" customHeight="1" x14ac:dyDescent="0.25"/>
    <row r="17" spans="24:24" ht="15.6" customHeight="1" x14ac:dyDescent="0.25"/>
    <row r="18" spans="24:24" ht="32.25" customHeight="1" x14ac:dyDescent="0.25"/>
    <row r="19" spans="24:24" ht="15.6" customHeight="1" x14ac:dyDescent="0.25"/>
    <row r="20" spans="24:24" ht="15.6" customHeight="1" x14ac:dyDescent="0.25"/>
    <row r="21" spans="24:24" ht="15.6" customHeight="1" x14ac:dyDescent="0.25"/>
    <row r="22" spans="24:24" ht="14.45" customHeight="1" x14ac:dyDescent="0.25"/>
    <row r="23" spans="24:24" ht="21.75" customHeight="1" x14ac:dyDescent="0.25"/>
    <row r="24" spans="24:24" ht="14.45" customHeight="1" x14ac:dyDescent="0.25">
      <c r="X24" s="576"/>
    </row>
    <row r="25" spans="24:24" ht="15.75" customHeight="1" x14ac:dyDescent="0.25"/>
    <row r="26" spans="24:24" ht="24" customHeight="1" x14ac:dyDescent="0.25">
      <c r="X26" s="576"/>
    </row>
    <row r="27" spans="24:24" ht="11.25" x14ac:dyDescent="0.25"/>
    <row r="28" spans="24:24" ht="27.75" customHeight="1" x14ac:dyDescent="0.25"/>
    <row r="29" spans="24:24" ht="21" customHeight="1" x14ac:dyDescent="0.25"/>
    <row r="30" spans="24:24" ht="15.75" customHeight="1" x14ac:dyDescent="0.25"/>
    <row r="31" spans="24:24" ht="11.25" x14ac:dyDescent="0.25"/>
    <row r="32" spans="24:24" ht="16.149999999999999" customHeight="1" x14ac:dyDescent="0.25"/>
    <row r="33" spans="2:9" ht="14.45" customHeight="1" x14ac:dyDescent="0.25"/>
    <row r="34" spans="2:9" ht="17.25" customHeight="1" x14ac:dyDescent="0.25"/>
    <row r="35" spans="2:9" ht="15.75" customHeight="1" x14ac:dyDescent="0.25"/>
    <row r="36" spans="2:9" ht="11.25" x14ac:dyDescent="0.25"/>
    <row r="37" spans="2:9" ht="15.75" customHeight="1" x14ac:dyDescent="0.25">
      <c r="B37" s="332"/>
      <c r="E37" s="333"/>
      <c r="F37" s="336"/>
      <c r="G37" s="336"/>
      <c r="H37" s="336"/>
      <c r="I37" s="336"/>
    </row>
    <row r="38" spans="2:9" ht="27" customHeight="1" x14ac:dyDescent="0.25">
      <c r="B38" s="332"/>
      <c r="C38" s="955"/>
      <c r="D38" s="956"/>
      <c r="E38" s="333"/>
      <c r="F38" s="336"/>
      <c r="G38" s="336"/>
      <c r="H38" s="336"/>
      <c r="I38" s="336"/>
    </row>
    <row r="39" spans="2:9" ht="15" customHeight="1" x14ac:dyDescent="0.25">
      <c r="B39" s="332"/>
      <c r="C39" s="955"/>
      <c r="D39" s="956"/>
      <c r="E39" s="333"/>
      <c r="F39" s="336"/>
      <c r="G39" s="336"/>
      <c r="H39" s="336"/>
      <c r="I39" s="336"/>
    </row>
    <row r="40" spans="2:9" ht="15.75" customHeight="1" x14ac:dyDescent="0.25">
      <c r="B40" s="332"/>
      <c r="C40" s="955"/>
      <c r="D40" s="956"/>
      <c r="E40" s="333"/>
      <c r="F40" s="336"/>
      <c r="G40" s="336"/>
      <c r="H40" s="336"/>
      <c r="I40" s="336"/>
    </row>
    <row r="42" spans="2:9" ht="16.149999999999999" customHeight="1" x14ac:dyDescent="0.25"/>
    <row r="44" spans="2:9" ht="20.45" customHeight="1" x14ac:dyDescent="0.25"/>
    <row r="45" spans="2:9" ht="15.75" customHeight="1" x14ac:dyDescent="0.25"/>
    <row r="46" spans="2:9" ht="15.75" customHeight="1" x14ac:dyDescent="0.25"/>
    <row r="47" spans="2:9" ht="15.75" customHeight="1" x14ac:dyDescent="0.25"/>
    <row r="48" spans="2:9" ht="27" customHeight="1" x14ac:dyDescent="0.25"/>
    <row r="49" ht="20.25" customHeight="1" x14ac:dyDescent="0.25"/>
    <row r="50" ht="22.15" customHeight="1" x14ac:dyDescent="0.25"/>
    <row r="52" ht="16.149999999999999" customHeight="1" x14ac:dyDescent="0.25"/>
    <row r="53" ht="20.25" customHeight="1" x14ac:dyDescent="0.25"/>
    <row r="54" ht="15.75" customHeight="1" x14ac:dyDescent="0.25"/>
    <row r="55" ht="15.75" customHeight="1" x14ac:dyDescent="0.25"/>
    <row r="56" ht="15.75" customHeight="1" x14ac:dyDescent="0.25"/>
    <row r="57" ht="15.75" customHeight="1" x14ac:dyDescent="0.25"/>
    <row r="58" ht="27" customHeight="1" x14ac:dyDescent="0.25"/>
    <row r="59" ht="20.25" customHeight="1" x14ac:dyDescent="0.25"/>
    <row r="60" ht="15.75" customHeight="1" x14ac:dyDescent="0.25"/>
    <row r="62" ht="16.149999999999999" customHeight="1" x14ac:dyDescent="0.25"/>
    <row r="64" ht="15.75" customHeight="1" x14ac:dyDescent="0.25"/>
    <row r="65" ht="15.75" customHeight="1" x14ac:dyDescent="0.25"/>
    <row r="66" ht="15.75" customHeight="1" x14ac:dyDescent="0.25"/>
    <row r="67" ht="15.75" customHeight="1" x14ac:dyDescent="0.25"/>
    <row r="68" ht="27" customHeight="1" x14ac:dyDescent="0.25"/>
    <row r="69" ht="20.25" customHeight="1" x14ac:dyDescent="0.25"/>
    <row r="70" ht="15.75" customHeight="1" x14ac:dyDescent="0.25"/>
    <row r="72" ht="16.149999999999999" customHeight="1" x14ac:dyDescent="0.25"/>
    <row r="74" ht="15.75" customHeight="1" x14ac:dyDescent="0.25"/>
    <row r="75" ht="15.75" customHeight="1" x14ac:dyDescent="0.25"/>
    <row r="76" ht="15.75" customHeight="1" x14ac:dyDescent="0.25"/>
    <row r="77" ht="15.75" customHeight="1" x14ac:dyDescent="0.25"/>
    <row r="78" ht="27" customHeight="1" x14ac:dyDescent="0.25"/>
    <row r="79" ht="20.25" customHeight="1" x14ac:dyDescent="0.25"/>
    <row r="80" ht="15.75" customHeight="1" x14ac:dyDescent="0.25"/>
    <row r="82" ht="16.149999999999999" customHeight="1" x14ac:dyDescent="0.25"/>
    <row r="84" ht="15.75" customHeight="1" x14ac:dyDescent="0.25"/>
    <row r="85" ht="15.75" customHeight="1" x14ac:dyDescent="0.25"/>
    <row r="86" ht="15.75" customHeight="1" x14ac:dyDescent="0.25"/>
    <row r="87" ht="15.75" customHeight="1" x14ac:dyDescent="0.25"/>
    <row r="88" ht="27" customHeight="1" x14ac:dyDescent="0.25"/>
    <row r="89" ht="20.25" customHeight="1" x14ac:dyDescent="0.25"/>
    <row r="90" ht="15.75" customHeight="1" x14ac:dyDescent="0.25"/>
    <row r="92" ht="16.149999999999999" customHeight="1" x14ac:dyDescent="0.25"/>
    <row r="94" ht="15.75" customHeight="1" x14ac:dyDescent="0.25"/>
    <row r="95" ht="15.75" customHeight="1" x14ac:dyDescent="0.25"/>
    <row r="96" ht="15.75" customHeight="1" x14ac:dyDescent="0.25"/>
    <row r="97" ht="15.75" customHeight="1" x14ac:dyDescent="0.25"/>
    <row r="98" ht="27" customHeight="1" x14ac:dyDescent="0.25"/>
    <row r="99" ht="20.25" customHeight="1" x14ac:dyDescent="0.25"/>
    <row r="100" ht="15.75" customHeight="1" x14ac:dyDescent="0.25"/>
    <row r="102" ht="16.149999999999999" customHeight="1" x14ac:dyDescent="0.25"/>
    <row r="104" ht="15.75" customHeight="1" x14ac:dyDescent="0.25"/>
    <row r="105" ht="15.75" customHeight="1" x14ac:dyDescent="0.25"/>
    <row r="106" ht="15.75" customHeight="1" x14ac:dyDescent="0.25"/>
    <row r="107" ht="15.75" customHeight="1" x14ac:dyDescent="0.25"/>
    <row r="108" ht="27" customHeight="1" x14ac:dyDescent="0.25"/>
    <row r="109" ht="20.25" customHeight="1" x14ac:dyDescent="0.25"/>
    <row r="110" ht="15.75" customHeight="1" x14ac:dyDescent="0.25"/>
    <row r="112" ht="16.149999999999999" customHeight="1" x14ac:dyDescent="0.25"/>
    <row r="114" ht="15.75" customHeight="1" x14ac:dyDescent="0.25"/>
    <row r="115" ht="15.75" customHeight="1" x14ac:dyDescent="0.25"/>
    <row r="116" ht="15.75" customHeight="1" x14ac:dyDescent="0.25"/>
    <row r="117" ht="15.75" customHeight="1" x14ac:dyDescent="0.25"/>
    <row r="118" ht="27" customHeight="1" x14ac:dyDescent="0.25"/>
    <row r="119" ht="20.25" customHeight="1" x14ac:dyDescent="0.25"/>
    <row r="120" ht="15.75" customHeight="1" x14ac:dyDescent="0.25"/>
    <row r="122" ht="16.149999999999999" customHeight="1" x14ac:dyDescent="0.25"/>
    <row r="124" ht="15.75" customHeight="1" x14ac:dyDescent="0.25"/>
    <row r="125" ht="15.75" customHeight="1" x14ac:dyDescent="0.25"/>
    <row r="126" ht="15.75" customHeight="1" x14ac:dyDescent="0.25"/>
    <row r="127" ht="15.75" customHeight="1" x14ac:dyDescent="0.25"/>
    <row r="128" ht="27" customHeight="1" x14ac:dyDescent="0.25"/>
    <row r="129" ht="20.25" customHeight="1" x14ac:dyDescent="0.25"/>
    <row r="130" ht="15.75" customHeight="1" x14ac:dyDescent="0.25"/>
    <row r="132" ht="16.149999999999999" customHeight="1" x14ac:dyDescent="0.25"/>
    <row r="134" ht="15.75" customHeight="1" x14ac:dyDescent="0.25"/>
    <row r="135" ht="15.75" customHeight="1" x14ac:dyDescent="0.25"/>
    <row r="136" ht="15.75" customHeight="1" x14ac:dyDescent="0.25"/>
    <row r="137" ht="15.75" customHeight="1" x14ac:dyDescent="0.25"/>
    <row r="138" ht="17.4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sheetData>
  <mergeCells count="3">
    <mergeCell ref="C38:D38"/>
    <mergeCell ref="C39:D39"/>
    <mergeCell ref="C40:D40"/>
  </mergeCells>
  <conditionalFormatting sqref="A1">
    <cfRule type="cellIs" dxfId="145" priority="17" operator="equal">
      <formula>0</formula>
    </cfRule>
  </conditionalFormatting>
  <pageMargins left="0.7" right="0.7" top="0.75" bottom="0.75" header="0.3" footer="0.3"/>
  <pageSetup paperSize="9" orientation="portrait" verticalDpi="30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3">
    <tabColor rgb="FF00B050"/>
  </sheetPr>
  <dimension ref="A1:AI40"/>
  <sheetViews>
    <sheetView workbookViewId="0"/>
  </sheetViews>
  <sheetFormatPr defaultColWidth="17.28515625" defaultRowHeight="15" customHeight="1" x14ac:dyDescent="0.25"/>
  <cols>
    <col min="1" max="13" width="17.28515625" style="73" customWidth="1"/>
    <col min="14" max="14" width="17.28515625" style="29" customWidth="1"/>
    <col min="15" max="25" width="17.28515625" style="73" customWidth="1"/>
    <col min="26" max="27" width="17.28515625" customWidth="1"/>
    <col min="28" max="28" width="17.28515625" style="73" customWidth="1"/>
    <col min="29" max="16384" width="17.28515625" style="73"/>
  </cols>
  <sheetData>
    <row r="1" spans="1:35" ht="15" customHeight="1" x14ac:dyDescent="0.25">
      <c r="A1" s="73" t="s">
        <v>252</v>
      </c>
    </row>
    <row r="2" spans="1:35" x14ac:dyDescent="0.25"/>
    <row r="3" spans="1:35" x14ac:dyDescent="0.25"/>
    <row r="4" spans="1:35" ht="15" customHeight="1" x14ac:dyDescent="0.25">
      <c r="AH4" s="73" t="b">
        <f t="shared" ref="AH4:AH15" si="0">IF(AN4="PT",0,IF(AM4="B",ROUND(SSCBemployermultiplier*P4,2),IF(AM4="c",SOCSECCRATE*AG4*P4,IF(AM4="D",ROUND(socsecrateD*P4,2)))))</f>
        <v>0</v>
      </c>
      <c r="AI4" s="73" t="b">
        <f t="shared" ref="AI4:AI15" si="1">IF(AN4="PT",0,IF(AM4="B",ROUND(SSCBemployermultiplier*P4,2),IF(AM4="c",SOCSECCRATE*AG4*P4,IF(AM4="D",ROUND(socsecrateD*P4,2)))))</f>
        <v>0</v>
      </c>
    </row>
    <row r="5" spans="1:35" ht="15" customHeight="1" x14ac:dyDescent="0.25">
      <c r="AH5" s="73" t="b">
        <f t="shared" si="0"/>
        <v>0</v>
      </c>
      <c r="AI5" s="73" t="b">
        <f t="shared" si="1"/>
        <v>0</v>
      </c>
    </row>
    <row r="6" spans="1:35" ht="15" customHeight="1" x14ac:dyDescent="0.25">
      <c r="AH6" s="73" t="b">
        <f t="shared" si="0"/>
        <v>0</v>
      </c>
      <c r="AI6" s="73" t="b">
        <f t="shared" si="1"/>
        <v>0</v>
      </c>
    </row>
    <row r="7" spans="1:35" ht="15" customHeight="1" x14ac:dyDescent="0.25">
      <c r="AH7" s="73" t="b">
        <f t="shared" si="0"/>
        <v>0</v>
      </c>
      <c r="AI7" s="73" t="b">
        <f t="shared" si="1"/>
        <v>0</v>
      </c>
    </row>
    <row r="8" spans="1:35" ht="15" customHeight="1" x14ac:dyDescent="0.25">
      <c r="AH8" s="73" t="b">
        <f t="shared" si="0"/>
        <v>0</v>
      </c>
      <c r="AI8" s="73" t="b">
        <f t="shared" si="1"/>
        <v>0</v>
      </c>
    </row>
    <row r="9" spans="1:35" ht="15" customHeight="1" x14ac:dyDescent="0.25">
      <c r="AH9" s="73" t="b">
        <f t="shared" si="0"/>
        <v>0</v>
      </c>
      <c r="AI9" s="73" t="b">
        <f t="shared" si="1"/>
        <v>0</v>
      </c>
    </row>
    <row r="10" spans="1:35" ht="15" customHeight="1" x14ac:dyDescent="0.25">
      <c r="AH10" s="73" t="b">
        <f t="shared" si="0"/>
        <v>0</v>
      </c>
      <c r="AI10" s="73" t="b">
        <f t="shared" si="1"/>
        <v>0</v>
      </c>
    </row>
    <row r="11" spans="1:35" ht="15" customHeight="1" x14ac:dyDescent="0.25">
      <c r="AH11" s="73" t="b">
        <f t="shared" si="0"/>
        <v>0</v>
      </c>
      <c r="AI11" s="73" t="b">
        <f t="shared" si="1"/>
        <v>0</v>
      </c>
    </row>
    <row r="12" spans="1:35" ht="15" customHeight="1" x14ac:dyDescent="0.25">
      <c r="AH12" s="73" t="b">
        <f t="shared" si="0"/>
        <v>0</v>
      </c>
      <c r="AI12" s="73" t="b">
        <f t="shared" si="1"/>
        <v>0</v>
      </c>
    </row>
    <row r="13" spans="1:35" ht="15" customHeight="1" x14ac:dyDescent="0.25">
      <c r="AH13" s="73" t="b">
        <f t="shared" si="0"/>
        <v>0</v>
      </c>
      <c r="AI13" s="73" t="b">
        <f t="shared" si="1"/>
        <v>0</v>
      </c>
    </row>
    <row r="14" spans="1:35" ht="15" customHeight="1" x14ac:dyDescent="0.25">
      <c r="AH14" s="73" t="b">
        <f t="shared" si="0"/>
        <v>0</v>
      </c>
      <c r="AI14" s="73" t="b">
        <f t="shared" si="1"/>
        <v>0</v>
      </c>
    </row>
    <row r="15" spans="1:35" ht="15" customHeight="1" x14ac:dyDescent="0.25">
      <c r="AH15" s="73" t="b">
        <f t="shared" si="0"/>
        <v>0</v>
      </c>
      <c r="AI15" s="73" t="b">
        <f t="shared" si="1"/>
        <v>0</v>
      </c>
    </row>
    <row r="16" spans="1:35" x14ac:dyDescent="0.25"/>
    <row r="17" spans="24:24" x14ac:dyDescent="0.25"/>
    <row r="18" spans="24:24" x14ac:dyDescent="0.25"/>
    <row r="19" spans="24:24" x14ac:dyDescent="0.25"/>
    <row r="20" spans="24:24" x14ac:dyDescent="0.25"/>
    <row r="21" spans="24:24" x14ac:dyDescent="0.25"/>
    <row r="22" spans="24:24" x14ac:dyDescent="0.25"/>
    <row r="23" spans="24:24" x14ac:dyDescent="0.25"/>
    <row r="24" spans="24:24" ht="15" customHeight="1" x14ac:dyDescent="0.25">
      <c r="X24" s="575"/>
    </row>
    <row r="25" spans="24:24" x14ac:dyDescent="0.25"/>
    <row r="26" spans="24:24" ht="15" customHeight="1" x14ac:dyDescent="0.25">
      <c r="X26" s="575"/>
    </row>
    <row r="27" spans="24:24" x14ac:dyDescent="0.25"/>
    <row r="28" spans="24:24" x14ac:dyDescent="0.25"/>
    <row r="29" spans="24:24" x14ac:dyDescent="0.25"/>
    <row r="30" spans="24:24" x14ac:dyDescent="0.25"/>
    <row r="31" spans="24:24" x14ac:dyDescent="0.25"/>
    <row r="32" spans="24:24" x14ac:dyDescent="0.25"/>
    <row r="33" spans="2:11" x14ac:dyDescent="0.25"/>
    <row r="34" spans="2:11" x14ac:dyDescent="0.25"/>
    <row r="35" spans="2:11" x14ac:dyDescent="0.25"/>
    <row r="36" spans="2:11" x14ac:dyDescent="0.25"/>
    <row r="37" spans="2:11" ht="15" customHeight="1" x14ac:dyDescent="0.25">
      <c r="B37" s="66"/>
      <c r="E37" s="14"/>
      <c r="F37" s="335"/>
      <c r="G37" s="335"/>
      <c r="H37" s="335"/>
      <c r="I37" s="335"/>
      <c r="J37" s="55"/>
      <c r="K37" s="55"/>
    </row>
    <row r="38" spans="2:11" ht="15" customHeight="1" x14ac:dyDescent="0.25">
      <c r="B38" s="66"/>
      <c r="C38" s="957"/>
      <c r="D38" s="901"/>
      <c r="E38" s="14"/>
      <c r="F38" s="335"/>
      <c r="G38" s="335"/>
      <c r="H38" s="335"/>
      <c r="I38" s="335"/>
      <c r="J38" s="55"/>
      <c r="K38" s="55"/>
    </row>
    <row r="39" spans="2:11" ht="15" customHeight="1" x14ac:dyDescent="0.25">
      <c r="B39" s="66"/>
      <c r="C39" s="957"/>
      <c r="D39" s="901"/>
      <c r="E39" s="14"/>
      <c r="F39" s="335"/>
      <c r="G39" s="335"/>
      <c r="H39" s="335"/>
      <c r="I39" s="335"/>
      <c r="J39" s="55"/>
      <c r="K39" s="55"/>
    </row>
    <row r="40" spans="2:11" ht="15" customHeight="1" x14ac:dyDescent="0.25">
      <c r="B40" s="66"/>
      <c r="C40" s="957"/>
      <c r="D40" s="901"/>
      <c r="E40" s="14"/>
      <c r="F40" s="335"/>
      <c r="G40" s="335"/>
      <c r="H40" s="335"/>
      <c r="I40" s="335"/>
      <c r="J40" s="55"/>
      <c r="K40" s="55"/>
    </row>
  </sheetData>
  <mergeCells count="3">
    <mergeCell ref="C38:D38"/>
    <mergeCell ref="C39:D39"/>
    <mergeCell ref="C40:D40"/>
  </mergeCells>
  <pageMargins left="0.7" right="0.7" top="0.75" bottom="0.75" header="0.3" footer="0.3"/>
  <pageSetup paperSize="9" orientation="portrait" verticalDpi="30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tabColor rgb="FF04CCB9"/>
  </sheetPr>
  <dimension ref="A1"/>
  <sheetViews>
    <sheetView workbookViewId="0"/>
  </sheetViews>
  <sheetFormatPr defaultRowHeight="15" x14ac:dyDescent="0.25"/>
  <sheetData>
    <row r="1" spans="1:1" x14ac:dyDescent="0.25">
      <c r="A1" s="44" t="s">
        <v>253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9">
    <tabColor rgb="FF04CCB9"/>
  </sheetPr>
  <dimension ref="A1"/>
  <sheetViews>
    <sheetView workbookViewId="0"/>
  </sheetViews>
  <sheetFormatPr defaultRowHeight="15" x14ac:dyDescent="0.25"/>
  <sheetData>
    <row r="1" spans="1:1" x14ac:dyDescent="0.25">
      <c r="A1" s="44" t="s">
        <v>254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04CCB9"/>
  </sheetPr>
  <dimension ref="A1"/>
  <sheetViews>
    <sheetView workbookViewId="0"/>
  </sheetViews>
  <sheetFormatPr defaultRowHeight="15" x14ac:dyDescent="0.25"/>
  <sheetData>
    <row r="1" spans="1:1" x14ac:dyDescent="0.25">
      <c r="A1" s="44" t="s">
        <v>255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04CCB9"/>
  </sheetPr>
  <dimension ref="A1"/>
  <sheetViews>
    <sheetView workbookViewId="0"/>
  </sheetViews>
  <sheetFormatPr defaultRowHeight="15" x14ac:dyDescent="0.25"/>
  <sheetData>
    <row r="1" spans="1:1" x14ac:dyDescent="0.25">
      <c r="A1" s="44" t="s">
        <v>256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rgb="FF04CCB9"/>
  </sheetPr>
  <dimension ref="A1"/>
  <sheetViews>
    <sheetView workbookViewId="0"/>
  </sheetViews>
  <sheetFormatPr defaultRowHeight="15" x14ac:dyDescent="0.25"/>
  <sheetData>
    <row r="1" spans="1:1" x14ac:dyDescent="0.25">
      <c r="A1" s="44" t="s">
        <v>257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18">
    <tabColor rgb="FFED7D31"/>
    <pageSetUpPr fitToPage="1"/>
  </sheetPr>
  <dimension ref="A1:BJ149"/>
  <sheetViews>
    <sheetView topLeftCell="L22" workbookViewId="0">
      <selection activeCell="X34" sqref="X34"/>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ECurmi</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2025006</v>
      </c>
      <c r="O2" s="810" t="str">
        <f>CONCATENATE(LEFT(Name,1),Surname)</f>
        <v>ECurmi</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7.47</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7.601</v>
      </c>
      <c r="O4" s="213">
        <f>+DATA!A3</f>
        <v>46023</v>
      </c>
      <c r="P4" s="219">
        <f ca="1">+INDIRECT("[EMPINFO.xlsm]"&amp;$O$2&amp;"!G4")</f>
        <v>4</v>
      </c>
      <c r="Q4" s="215">
        <f ca="1">IF(AZ4="active",INDIRECT("[EMPINFO.xlsm]"&amp;$O$2&amp;"!H4"),0)</f>
        <v>0</v>
      </c>
      <c r="R4" s="239">
        <f ca="1">IF(AZ4&lt;&gt;"active",0,N3+COLA)</f>
        <v>7.601</v>
      </c>
      <c r="S4" s="216">
        <f t="shared" ref="S4:S15" ca="1" si="1">+Q4*R4*4.33333333333333*AO4/AX4</f>
        <v>0</v>
      </c>
      <c r="T4" s="220">
        <f t="shared" ref="T4:T15" ca="1" si="2">+BA4*R4</f>
        <v>318.02583999999996</v>
      </c>
      <c r="U4" s="218">
        <f t="shared" ref="U4:U15" ca="1" si="3">-AY4*R4</f>
        <v>0</v>
      </c>
      <c r="V4" s="220">
        <f ca="1">+janoth*janhrrt</f>
        <v>0</v>
      </c>
      <c r="W4" s="201"/>
      <c r="X4" s="218">
        <f t="shared" ref="X4:X15" si="4">IF((AT3=0),AV3,(AV3-(AV3/(Q3*P3)*AT3)))</f>
        <v>0</v>
      </c>
      <c r="Y4" s="803">
        <f t="shared" ref="Y4:Y15" si="5">IF((AT3=0),AW3,(AW3-(AW3/(Q3*P3)*AT3*1.5)))</f>
        <v>0</v>
      </c>
      <c r="Z4" s="218">
        <f t="shared" ref="Z4:Z15" ca="1" si="6">+SUM(S4:Y4)</f>
        <v>318.02583999999996</v>
      </c>
      <c r="AA4" s="803">
        <f t="shared" ref="AA4:AA15" ca="1" si="7">IF(OR(AN4="PT",AN4="PT_Casual"),TRUNC((Z4*PT_Rate),0),(TRUNC((Z4*BB4)-(BC4/12),0)))</f>
        <v>31</v>
      </c>
      <c r="AB4" s="218">
        <f ca="1">+INDIRECT("[EMPINFO.xlsm]"&amp;$O$2&amp;"!s4")</f>
        <v>0</v>
      </c>
      <c r="AC4" s="292">
        <v>1.5</v>
      </c>
      <c r="AD4" s="218">
        <f t="shared" ref="AD4:AD15" ca="1" si="8">+AB4*(R4*AC4)</f>
        <v>0</v>
      </c>
      <c r="AE4" s="220">
        <f t="shared" ref="AE4:AE15" ca="1" si="9">+TRUNC((AD4*0.15),0)</f>
        <v>0</v>
      </c>
      <c r="AF4" s="218">
        <f t="shared" ref="AF4:AF15" ca="1" si="10">+AA4+AE4</f>
        <v>31</v>
      </c>
      <c r="AG4" s="803">
        <f t="shared" ref="AG4:AG15" ca="1" si="11">+R4*Q4</f>
        <v>0</v>
      </c>
      <c r="AH4" s="218">
        <f t="shared" ref="AH4:AH15" ca="1" si="12">ROUND(IF(AN4="",0,IF(OR(AN4="PT",AN4="PT_Casual"),0,IF(AM4="B",ROUND(SSCBemployermultiplier*P4,2),IF(AM4="c",SOCSECCRATE*AG4*P4,IF(AM4="D",ROUND(socsecrateD*P4,2)))))),2)</f>
        <v>0</v>
      </c>
      <c r="AI4" s="803">
        <f t="shared" ref="AI4:AI15" ca="1" si="13">ROUND(IF(AN4="",0,IF(OR(AN4="PT",AN4="PT_Casual"),0,IF(AM4="B",ROUND(SSCBemployermultiplier*P4,2),IF(AM4="c",SOCSECCRATE*AG4*P4,IF(AM4="D",ROUND(socsecrateD*P4,2)))))),2)</f>
        <v>0</v>
      </c>
      <c r="AJ4" s="218">
        <f t="shared" ref="AJ4:AJ16" ca="1" si="14">+AH4+AI4</f>
        <v>0</v>
      </c>
      <c r="AK4" s="803">
        <f t="shared" ref="AK4:AK15" ca="1" si="15">ROUND(IF(AN4="",0,IF(OR(AN4="PT",AN4="PT_Casual"),0,IF(AM4="B",SSCBmlfmultiplier*P4,IF(AM4="c",SSCCmlfmultiplier*P4*AG4,IF(AM4="D",SSCDmlfmultiplier*P4))))),2)</f>
        <v>0</v>
      </c>
      <c r="AL4" s="218">
        <f ca="1">+Z4+AH4+AK4</f>
        <v>318.02583999999996</v>
      </c>
      <c r="AM4" s="290">
        <f t="shared" ref="AM4:AM15" ca="1" si="16">IF(AZ4="Active",IF(OR(AN4="PT",AN4="PT_Casual"),0,(IF(AG4&lt;SSCcatBMAX,"B",(IF(AG4&lt;SSCcatCMAX,"C","D"))))),0)</f>
        <v>0</v>
      </c>
      <c r="AN4" s="291" t="str">
        <f t="shared" ref="AN4:AN15" ca="1" si="17">IF(AZ4="active",+Timer,"")</f>
        <v>PT_CASUAL</v>
      </c>
      <c r="AO4" s="223">
        <f ca="1">+INDIRECT("[EMPINFO.xlsm]"&amp;$O$2&amp;"!t4")</f>
        <v>31</v>
      </c>
      <c r="AP4" s="226">
        <f ca="1">+INDIRECT("[EMPINFO.xlsm]"&amp;$O$2&amp;"!o4")</f>
        <v>0</v>
      </c>
      <c r="AQ4" s="840">
        <f ca="1">+INDIRECT("[EMPINFO.xlsm]"&amp;$O$2&amp;"!p4")</f>
        <v>0</v>
      </c>
      <c r="AR4" s="226">
        <f ca="1">+INDIRECT("[EMPINFO.xlsm]"&amp;$O$2&amp;"!j4")</f>
        <v>0</v>
      </c>
      <c r="AS4" s="840">
        <f ca="1">+INDIRECT("[EMPINFO.xlsm]"&amp;$O$2&amp;"!k4")</f>
        <v>0</v>
      </c>
      <c r="AT4" s="226">
        <f ca="1">+INDIRECT("[EMPINFO.xlsm]"&amp;$O$2&amp;"!m4")</f>
        <v>0</v>
      </c>
      <c r="AU4" s="844">
        <f ca="1">+INDIRECT("[EMPINFO.xlsm]"&amp;$O$2&amp;"!n4")</f>
        <v>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41.839999999999996</v>
      </c>
      <c r="BB4" s="288" t="e">
        <f t="shared" ref="BB4:BB15" ca="1" si="20">IF(AND(Timer="pt",(Z4*12)&lt;10000),+ptrate,IF((Z4*12)&lt;$F$68,$G$68,IF((Z4*12)&lt;$F$69,$G$69,IF((Z4*12)&lt;$F$70,$G$70,IF((Z4*12)&lt;$F$71,$G$71,$G$72)))))</f>
        <v>#N/A</v>
      </c>
      <c r="BC4" s="289" t="e">
        <f t="shared" ref="BC4:BC15" ca="1" si="21">IF((Z4*12)&lt;$F$68,$H$68,IF((Z4*12)&lt;$F$69,$H$69,IF((Z4*12)&lt;$F$70,$H$70,IF((Z4*12)&lt;$F$71,$H$71,$H$72))))</f>
        <v>#N/A</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7.601</v>
      </c>
      <c r="O5" s="213">
        <f>+DATA!A4</f>
        <v>46054</v>
      </c>
      <c r="P5" s="219">
        <f ca="1">+INDIRECT("[EMPINFO.xlsm]"&amp;$O$2&amp;"!G5")</f>
        <v>4</v>
      </c>
      <c r="Q5" s="215">
        <f ca="1">IF(AZ5="active",INDIRECT("[EMPINFO.xlsm]"&amp;$O$2&amp;"!H5"),0)</f>
        <v>0</v>
      </c>
      <c r="R5" s="239">
        <f t="shared" ref="R5:R15" ca="1" si="22">+R4</f>
        <v>7.601</v>
      </c>
      <c r="S5" s="216">
        <f t="shared" ca="1" si="1"/>
        <v>0</v>
      </c>
      <c r="T5" s="220">
        <f t="shared" ca="1" si="2"/>
        <v>349.56998999999996</v>
      </c>
      <c r="U5" s="218">
        <f t="shared" ca="1" si="3"/>
        <v>0</v>
      </c>
      <c r="V5" s="220">
        <f ca="1">+feboth*febhrrt</f>
        <v>0</v>
      </c>
      <c r="W5" s="201"/>
      <c r="X5" s="218">
        <f t="shared" ca="1" si="4"/>
        <v>0</v>
      </c>
      <c r="Y5" s="803">
        <f t="shared" ca="1" si="5"/>
        <v>0</v>
      </c>
      <c r="Z5" s="218">
        <f t="shared" ca="1" si="6"/>
        <v>349.56998999999996</v>
      </c>
      <c r="AA5" s="803">
        <f t="shared" ca="1" si="7"/>
        <v>34</v>
      </c>
      <c r="AB5" s="218">
        <f ca="1">+INDIRECT("[EMPINFO.xlsm]"&amp;$O$2&amp;"!s5")</f>
        <v>0</v>
      </c>
      <c r="AC5" s="292">
        <v>1.5</v>
      </c>
      <c r="AD5" s="218">
        <f t="shared" ca="1" si="8"/>
        <v>0</v>
      </c>
      <c r="AE5" s="220">
        <f t="shared" ca="1" si="9"/>
        <v>0</v>
      </c>
      <c r="AF5" s="218">
        <f t="shared" ca="1" si="10"/>
        <v>34</v>
      </c>
      <c r="AG5" s="803">
        <f t="shared" ca="1" si="11"/>
        <v>0</v>
      </c>
      <c r="AH5" s="218">
        <f t="shared" ca="1" si="12"/>
        <v>0</v>
      </c>
      <c r="AI5" s="803">
        <f t="shared" ca="1" si="13"/>
        <v>0</v>
      </c>
      <c r="AJ5" s="218">
        <f t="shared" ca="1" si="14"/>
        <v>0</v>
      </c>
      <c r="AK5" s="803">
        <f t="shared" ca="1" si="15"/>
        <v>0</v>
      </c>
      <c r="AL5" s="218">
        <f t="shared" ref="AL5:AL15" ca="1" si="23">+Z5+AI5+AK5</f>
        <v>349.56998999999996</v>
      </c>
      <c r="AM5" s="290">
        <f t="shared" ca="1" si="16"/>
        <v>0</v>
      </c>
      <c r="AN5" s="291" t="str">
        <f t="shared" ca="1" si="17"/>
        <v>PT_CASUAL</v>
      </c>
      <c r="AO5" s="223">
        <f ca="1">+INDIRECT("[EMPINFO.xlsm]"&amp;$O$2&amp;"!t5")</f>
        <v>28</v>
      </c>
      <c r="AP5" s="226">
        <f ca="1">+INDIRECT("[EMPINFO.xlsm]"&amp;$O$2&amp;"!o5")</f>
        <v>0</v>
      </c>
      <c r="AQ5" s="840">
        <f ca="1">+INDIRECT("[EMPINFO.xlsm]"&amp;$O$2&amp;"!p5")</f>
        <v>0</v>
      </c>
      <c r="AR5" s="226">
        <f ca="1">+INDIRECT("[EMPINFO.xlsm]"&amp;$O$2&amp;"!j5")</f>
        <v>0</v>
      </c>
      <c r="AS5" s="840">
        <f ca="1">+INDIRECT("[EMPINFO.xlsm]"&amp;$O$2&amp;"!k5")</f>
        <v>0</v>
      </c>
      <c r="AT5" s="226">
        <f ca="1">+INDIRECT("[EMPINFO.xlsm]"&amp;$O$2&amp;"!m5")</f>
        <v>0</v>
      </c>
      <c r="AU5" s="844">
        <f ca="1">+INDIRECT("[EMPINFO.xlsm]"&amp;$O$2&amp;"!n5")</f>
        <v>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45.989999999999995</v>
      </c>
      <c r="BB5" s="288" t="e">
        <f t="shared" ca="1" si="20"/>
        <v>#N/A</v>
      </c>
      <c r="BC5" s="289" t="e">
        <f t="shared" ca="1" si="21"/>
        <v>#N/A</v>
      </c>
      <c r="BD5" s="255"/>
      <c r="BE5" s="205"/>
      <c r="BG5" s="27"/>
      <c r="BH5" s="28"/>
    </row>
    <row r="6" spans="1:62" ht="15.75" customHeight="1" thickBot="1" x14ac:dyDescent="0.3">
      <c r="A6" s="54"/>
      <c r="B6" s="2" t="s">
        <v>135</v>
      </c>
      <c r="C6" s="921" t="str">
        <f>INDEX([1]!empdata,MATCH(ID,[1]!empid,0),3)</f>
        <v>Curmi</v>
      </c>
      <c r="D6" s="922"/>
      <c r="E6" s="922"/>
      <c r="F6" s="886"/>
      <c r="I6" s="312" t="s">
        <v>136</v>
      </c>
      <c r="L6" s="101"/>
      <c r="M6" s="303"/>
      <c r="N6" s="211">
        <f t="shared" ca="1" si="0"/>
        <v>7.601</v>
      </c>
      <c r="O6" s="213">
        <f>+DATA!A5</f>
        <v>46082</v>
      </c>
      <c r="P6" s="219">
        <f ca="1">+INDIRECT("[EMPINFO.xlsm]"&amp;$O$2&amp;"!G6")</f>
        <v>5</v>
      </c>
      <c r="Q6" s="215">
        <f ca="1">IF(AZ6="active",INDIRECT("[EMPINFO.xlsm]"&amp;$O$2&amp;"!H6"),0)</f>
        <v>0</v>
      </c>
      <c r="R6" s="239">
        <f t="shared" ca="1" si="22"/>
        <v>7.601</v>
      </c>
      <c r="S6" s="216">
        <f t="shared" ca="1" si="1"/>
        <v>0</v>
      </c>
      <c r="T6" s="220">
        <f t="shared" ca="1" si="2"/>
        <v>0</v>
      </c>
      <c r="U6" s="218">
        <f t="shared" ca="1" si="3"/>
        <v>0</v>
      </c>
      <c r="V6" s="220">
        <f ca="1">+maroth*marhrrt</f>
        <v>0</v>
      </c>
      <c r="W6" s="202">
        <f ca="1">+IF(AZ6&lt;&gt;"active",0,(IF(Timer="PT_casual",(bonusmar/1040*(BA6+BA5+BA4)),(bonusmar/182*(AO6+AO5+AO4+AO3)*(Q6+Q5+Q4)/120))))</f>
        <v>10.232194999999997</v>
      </c>
      <c r="X6" s="218">
        <f t="shared" ca="1" si="4"/>
        <v>0</v>
      </c>
      <c r="Y6" s="803">
        <f t="shared" ca="1" si="5"/>
        <v>0</v>
      </c>
      <c r="Z6" s="218">
        <f t="shared" ca="1" si="6"/>
        <v>10.232194999999997</v>
      </c>
      <c r="AA6" s="803">
        <f t="shared" ca="1" si="7"/>
        <v>1</v>
      </c>
      <c r="AB6" s="218">
        <f ca="1">+INDIRECT("[EMPINFO.xlsm]"&amp;$O$2&amp;"!s6")</f>
        <v>0</v>
      </c>
      <c r="AC6" s="292">
        <v>1.5</v>
      </c>
      <c r="AD6" s="218">
        <f t="shared" ca="1" si="8"/>
        <v>0</v>
      </c>
      <c r="AE6" s="220">
        <f t="shared" ca="1" si="9"/>
        <v>0</v>
      </c>
      <c r="AF6" s="218">
        <f t="shared" ca="1" si="10"/>
        <v>1</v>
      </c>
      <c r="AG6" s="803">
        <f t="shared" ca="1" si="11"/>
        <v>0</v>
      </c>
      <c r="AH6" s="218">
        <f t="shared" ca="1" si="12"/>
        <v>0</v>
      </c>
      <c r="AI6" s="803">
        <f t="shared" ca="1" si="13"/>
        <v>0</v>
      </c>
      <c r="AJ6" s="218">
        <f t="shared" ca="1" si="14"/>
        <v>0</v>
      </c>
      <c r="AK6" s="803">
        <f t="shared" ca="1" si="15"/>
        <v>0</v>
      </c>
      <c r="AL6" s="218">
        <f t="shared" ca="1" si="23"/>
        <v>10.232194999999997</v>
      </c>
      <c r="AM6" s="290">
        <f t="shared" ca="1" si="16"/>
        <v>0</v>
      </c>
      <c r="AN6" s="291" t="str">
        <f t="shared" ca="1" si="17"/>
        <v>PT_CASUAL</v>
      </c>
      <c r="AO6" s="223">
        <f ca="1">+INDIRECT("[EMPINFO.xlsm]"&amp;$O$2&amp;"!t6")</f>
        <v>31</v>
      </c>
      <c r="AP6" s="226">
        <f ca="1">+INDIRECT("[EMPINFO.xlsm]"&amp;$O$2&amp;"!o6")</f>
        <v>0</v>
      </c>
      <c r="AQ6" s="840">
        <f ca="1">+INDIRECT("[EMPINFO.xlsm]"&amp;$O$2&amp;"!p6")</f>
        <v>0</v>
      </c>
      <c r="AR6" s="226">
        <f ca="1">+INDIRECT("[EMPINFO.xlsm]"&amp;$O$2&amp;"!j6")</f>
        <v>0</v>
      </c>
      <c r="AS6" s="840">
        <f ca="1">+INDIRECT("[EMPINFO.xlsm]"&amp;$O$2&amp;"!k6")</f>
        <v>0</v>
      </c>
      <c r="AT6" s="226">
        <f ca="1">+INDIRECT("[EMPINFO.xlsm]"&amp;$O$2&amp;"!m6")</f>
        <v>0</v>
      </c>
      <c r="AU6" s="844">
        <f ca="1">+INDIRECT("[EMPINFO.xlsm]"&amp;$O$2&amp;"!n6")</f>
        <v>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t="e">
        <f t="shared" ca="1" si="20"/>
        <v>#N/A</v>
      </c>
      <c r="BC6" s="289" t="e">
        <f t="shared" ca="1" si="21"/>
        <v>#N/A</v>
      </c>
      <c r="BD6" s="255"/>
      <c r="BE6" s="206"/>
    </row>
    <row r="7" spans="1:62" ht="15.75" customHeight="1" thickBot="1" x14ac:dyDescent="0.3">
      <c r="A7" s="54"/>
      <c r="B7" s="3" t="s">
        <v>137</v>
      </c>
      <c r="C7" s="921" t="str">
        <f>INDEX([1]!empdata,MATCH(ID,[1]!empid,0),4)</f>
        <v>Emma</v>
      </c>
      <c r="D7" s="922"/>
      <c r="E7" s="922"/>
      <c r="F7" s="886"/>
      <c r="H7" s="312" t="s">
        <v>138</v>
      </c>
      <c r="I7" s="927" t="str">
        <f>INDEX([1]!empdata,MATCH(ID,[1]!empid,0),6)</f>
        <v>10506L</v>
      </c>
      <c r="J7" s="859"/>
      <c r="K7" s="857"/>
      <c r="L7" s="101"/>
      <c r="M7" s="303"/>
      <c r="N7" s="211">
        <f t="shared" ca="1" si="0"/>
        <v>7.601</v>
      </c>
      <c r="O7" s="213">
        <f>+DATA!A6</f>
        <v>46113</v>
      </c>
      <c r="P7" s="219">
        <f ca="1">+INDIRECT("[EMPINFO.xlsm]"&amp;$O$2&amp;"!G7")</f>
        <v>4</v>
      </c>
      <c r="Q7" s="215">
        <f ca="1">IF(AZ7="active",INDIRECT("[EMPINFO.xlsm]"&amp;$O$2&amp;"!H7"),0)</f>
        <v>0</v>
      </c>
      <c r="R7" s="239">
        <f t="shared" ca="1" si="22"/>
        <v>7.601</v>
      </c>
      <c r="S7" s="216">
        <f t="shared" ca="1" si="1"/>
        <v>0</v>
      </c>
      <c r="T7" s="220">
        <f t="shared" ca="1" si="2"/>
        <v>0</v>
      </c>
      <c r="U7" s="218">
        <f t="shared" ca="1" si="3"/>
        <v>0</v>
      </c>
      <c r="V7" s="220">
        <f ca="1">+aproth*aprhrrt</f>
        <v>0</v>
      </c>
      <c r="W7" s="201"/>
      <c r="X7" s="218">
        <f t="shared" ca="1" si="4"/>
        <v>0</v>
      </c>
      <c r="Y7" s="803">
        <f t="shared" ca="1" si="5"/>
        <v>0</v>
      </c>
      <c r="Z7" s="218">
        <f t="shared" ca="1" si="6"/>
        <v>0</v>
      </c>
      <c r="AA7" s="803">
        <f t="shared" ca="1" si="7"/>
        <v>0</v>
      </c>
      <c r="AB7" s="218">
        <f ca="1">+INDIRECT("[EMPINFO.xlsm]"&amp;$O$2&amp;"!s7")</f>
        <v>0</v>
      </c>
      <c r="AC7" s="292">
        <v>1.5</v>
      </c>
      <c r="AD7" s="218">
        <f t="shared" ca="1" si="8"/>
        <v>0</v>
      </c>
      <c r="AE7" s="220">
        <f t="shared" ca="1" si="9"/>
        <v>0</v>
      </c>
      <c r="AF7" s="218">
        <f t="shared" ca="1" si="10"/>
        <v>0</v>
      </c>
      <c r="AG7" s="803">
        <f t="shared" ca="1" si="11"/>
        <v>0</v>
      </c>
      <c r="AH7" s="218">
        <f t="shared" ca="1" si="12"/>
        <v>0</v>
      </c>
      <c r="AI7" s="803">
        <f t="shared" ca="1" si="13"/>
        <v>0</v>
      </c>
      <c r="AJ7" s="218">
        <f t="shared" ca="1" si="14"/>
        <v>0</v>
      </c>
      <c r="AK7" s="803">
        <f t="shared" ca="1" si="15"/>
        <v>0</v>
      </c>
      <c r="AL7" s="218">
        <f t="shared" ca="1" si="23"/>
        <v>0</v>
      </c>
      <c r="AM7" s="290">
        <f t="shared" ca="1" si="16"/>
        <v>0</v>
      </c>
      <c r="AN7" s="291" t="str">
        <f t="shared" ca="1" si="17"/>
        <v>PT_CASUAL</v>
      </c>
      <c r="AO7" s="223">
        <f ca="1">+INDIRECT("[EMPINFO.xlsm]"&amp;$O$2&amp;"!t7")</f>
        <v>30</v>
      </c>
      <c r="AP7" s="226">
        <f ca="1">+INDIRECT("[EMPINFO.xlsm]"&amp;$O$2&amp;"!o7")</f>
        <v>0</v>
      </c>
      <c r="AQ7" s="840">
        <f ca="1">+INDIRECT("[EMPINFO.xlsm]"&amp;$O$2&amp;"!p7")</f>
        <v>0</v>
      </c>
      <c r="AR7" s="226">
        <f ca="1">+INDIRECT("[EMPINFO.xlsm]"&amp;$O$2&amp;"!j7")</f>
        <v>0</v>
      </c>
      <c r="AS7" s="840">
        <f ca="1">+INDIRECT("[EMPINFO.xlsm]"&amp;$O$2&amp;"!k7")</f>
        <v>0</v>
      </c>
      <c r="AT7" s="226">
        <f ca="1">+INDIRECT("[EMPINFO.xlsm]"&amp;$O$2&amp;"!m7")</f>
        <v>0</v>
      </c>
      <c r="AU7" s="844">
        <f ca="1">+INDIRECT("[EMPINFO.xlsm]"&amp;$O$2&amp;"!n7")</f>
        <v>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t="e">
        <f t="shared" ca="1" si="20"/>
        <v>#N/A</v>
      </c>
      <c r="BC7" s="289" t="e">
        <f t="shared" ca="1" si="21"/>
        <v>#N/A</v>
      </c>
      <c r="BD7" s="255"/>
      <c r="BE7" s="206"/>
    </row>
    <row r="8" spans="1:62" ht="15.75" customHeight="1" thickBot="1" x14ac:dyDescent="0.3">
      <c r="A8" s="54"/>
      <c r="B8" s="3" t="s">
        <v>139</v>
      </c>
      <c r="C8" s="921" t="str">
        <f>INDEX([1]!empdata,MATCH(ID,[1]!empid,0),18)</f>
        <v>St. Mary's Flats, Flat 1</v>
      </c>
      <c r="D8" s="922"/>
      <c r="E8" s="922"/>
      <c r="F8" s="886"/>
      <c r="I8" s="312" t="s">
        <v>140</v>
      </c>
      <c r="L8" s="101"/>
      <c r="M8" s="303"/>
      <c r="N8" s="211">
        <f t="shared" ca="1" si="0"/>
        <v>7.601</v>
      </c>
      <c r="O8" s="213">
        <f>+DATA!A7</f>
        <v>46143</v>
      </c>
      <c r="P8" s="219">
        <f ca="1">+INDIRECT("[EMPINFO.xlsm]"&amp;$O$2&amp;"!G8")</f>
        <v>4</v>
      </c>
      <c r="Q8" s="215">
        <f ca="1">IF(AZ8="active",INDIRECT("[EMPINFO.xlsm]"&amp;$O$2&amp;"!H8"),0)</f>
        <v>0</v>
      </c>
      <c r="R8" s="239">
        <f t="shared" ca="1" si="22"/>
        <v>7.601</v>
      </c>
      <c r="S8" s="216">
        <f t="shared" ca="1" si="1"/>
        <v>0</v>
      </c>
      <c r="T8" s="220">
        <f t="shared" ca="1" si="2"/>
        <v>0</v>
      </c>
      <c r="U8" s="218">
        <f t="shared" ca="1" si="3"/>
        <v>0</v>
      </c>
      <c r="V8" s="220">
        <f ca="1">+mayoth*mayhrrt</f>
        <v>0</v>
      </c>
      <c r="W8" s="201"/>
      <c r="X8" s="218">
        <f t="shared" ca="1" si="4"/>
        <v>0</v>
      </c>
      <c r="Y8" s="803">
        <f t="shared" ca="1" si="5"/>
        <v>0</v>
      </c>
      <c r="Z8" s="218">
        <f t="shared" ca="1" si="6"/>
        <v>0</v>
      </c>
      <c r="AA8" s="803">
        <f t="shared" ca="1" si="7"/>
        <v>0</v>
      </c>
      <c r="AB8" s="218">
        <f ca="1">+INDIRECT("[EMPINFO.xlsm]"&amp;$O$2&amp;"!s8")</f>
        <v>0</v>
      </c>
      <c r="AC8" s="292">
        <v>1.5</v>
      </c>
      <c r="AD8" s="218">
        <f t="shared" ca="1" si="8"/>
        <v>0</v>
      </c>
      <c r="AE8" s="220">
        <f t="shared" ca="1" si="9"/>
        <v>0</v>
      </c>
      <c r="AF8" s="218">
        <f t="shared" ca="1" si="10"/>
        <v>0</v>
      </c>
      <c r="AG8" s="803">
        <f t="shared" ca="1" si="11"/>
        <v>0</v>
      </c>
      <c r="AH8" s="218">
        <f t="shared" ca="1" si="12"/>
        <v>0</v>
      </c>
      <c r="AI8" s="803">
        <f t="shared" ca="1" si="13"/>
        <v>0</v>
      </c>
      <c r="AJ8" s="218">
        <f t="shared" ca="1" si="14"/>
        <v>0</v>
      </c>
      <c r="AK8" s="803">
        <f t="shared" ca="1" si="15"/>
        <v>0</v>
      </c>
      <c r="AL8" s="218">
        <f t="shared" ca="1" si="23"/>
        <v>0</v>
      </c>
      <c r="AM8" s="290">
        <f t="shared" ca="1" si="16"/>
        <v>0</v>
      </c>
      <c r="AN8" s="291" t="str">
        <f t="shared" ca="1" si="17"/>
        <v>PT_CASUAL</v>
      </c>
      <c r="AO8" s="223">
        <f ca="1">+INDIRECT("[EMPINFO.xlsm]"&amp;$O$2&amp;"!t8")</f>
        <v>31</v>
      </c>
      <c r="AP8" s="226">
        <f ca="1">+INDIRECT("[EMPINFO.xlsm]"&amp;$O$2&amp;"!o8")</f>
        <v>0</v>
      </c>
      <c r="AQ8" s="840">
        <f ca="1">+INDIRECT("[EMPINFO.xlsm]"&amp;$O$2&amp;"!p8")</f>
        <v>0</v>
      </c>
      <c r="AR8" s="226">
        <f ca="1">+INDIRECT("[EMPINFO.xlsm]"&amp;$O$2&amp;"!j8")</f>
        <v>0</v>
      </c>
      <c r="AS8" s="840">
        <f ca="1">+INDIRECT("[EMPINFO.xlsm]"&amp;$O$2&amp;"!k8")</f>
        <v>0</v>
      </c>
      <c r="AT8" s="226">
        <f ca="1">+INDIRECT("[EMPINFO.xlsm]"&amp;$O$2&amp;"!m8")</f>
        <v>0</v>
      </c>
      <c r="AU8" s="844">
        <f ca="1">+INDIRECT("[EMPINFO.xlsm]"&amp;$O$2&amp;"!n8")</f>
        <v>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t="e">
        <f t="shared" ca="1" si="20"/>
        <v>#N/A</v>
      </c>
      <c r="BC8" s="289" t="e">
        <f t="shared" ca="1" si="21"/>
        <v>#N/A</v>
      </c>
      <c r="BD8" s="255"/>
      <c r="BE8" s="206"/>
    </row>
    <row r="9" spans="1:62" ht="15.75" customHeight="1" thickBot="1" x14ac:dyDescent="0.3">
      <c r="A9" s="54"/>
      <c r="B9" s="4" t="s">
        <v>141</v>
      </c>
      <c r="C9" s="921" t="str">
        <f>INDEX([1]!empdata,MATCH(ID,[1]!empid,0),19)</f>
        <v>Triq Nicolo Baldacchino</v>
      </c>
      <c r="D9" s="922"/>
      <c r="E9" s="922"/>
      <c r="F9" s="886"/>
      <c r="H9" s="312" t="s">
        <v>20</v>
      </c>
      <c r="I9" s="927" t="str">
        <f>INDEX([1]!empdata,MATCH(ID,[1]!empid,0),14)</f>
        <v>D67754097</v>
      </c>
      <c r="J9" s="859"/>
      <c r="K9" s="857"/>
      <c r="L9" s="101"/>
      <c r="M9" s="303"/>
      <c r="N9" s="211">
        <f t="shared" ca="1" si="0"/>
        <v>7.601</v>
      </c>
      <c r="O9" s="213">
        <f>+DATA!A8</f>
        <v>46174</v>
      </c>
      <c r="P9" s="219">
        <f ca="1">+INDIRECT("[EMPINFO.xlsm]"&amp;$O$2&amp;"!G9")</f>
        <v>5</v>
      </c>
      <c r="Q9" s="215">
        <f ca="1">IF(AZ9="active",INDIRECT("[EMPINFO.xlsm]"&amp;$O$2&amp;"!H9"),0)</f>
        <v>0</v>
      </c>
      <c r="R9" s="239">
        <f t="shared" ca="1" si="22"/>
        <v>7.601</v>
      </c>
      <c r="S9" s="216">
        <f t="shared" ca="1" si="1"/>
        <v>0</v>
      </c>
      <c r="T9" s="220">
        <f t="shared" ca="1" si="2"/>
        <v>0</v>
      </c>
      <c r="U9" s="218">
        <f t="shared" ca="1" si="3"/>
        <v>0</v>
      </c>
      <c r="V9" s="220">
        <f ca="1">+junoth*junhrrt</f>
        <v>0</v>
      </c>
      <c r="W9" s="202">
        <f ca="1">IF(AZ9&lt;&gt;"active",0,(IF(Timer="PT_casual",(BONUSJUN/1040*(BA9+BA8+BA7+BA6+BA5+BA4)),(BONUSJUN*(SUM(AO4:AO9)/SUM(AX4:AX9))*(SUM(Q4:Q9)/240)))))</f>
        <v>11.409454807692304</v>
      </c>
      <c r="X9" s="218">
        <f t="shared" ca="1" si="4"/>
        <v>0</v>
      </c>
      <c r="Y9" s="803">
        <f t="shared" ca="1" si="5"/>
        <v>0</v>
      </c>
      <c r="Z9" s="218">
        <f t="shared" ca="1" si="6"/>
        <v>11.409454807692304</v>
      </c>
      <c r="AA9" s="803">
        <f t="shared" ca="1" si="7"/>
        <v>1</v>
      </c>
      <c r="AB9" s="218">
        <f ca="1">+INDIRECT("[EMPINFO.xlsm]"&amp;$O$2&amp;"!s9")</f>
        <v>0</v>
      </c>
      <c r="AC9" s="292">
        <v>1.5</v>
      </c>
      <c r="AD9" s="218">
        <f t="shared" ca="1" si="8"/>
        <v>0</v>
      </c>
      <c r="AE9" s="220">
        <f t="shared" ca="1" si="9"/>
        <v>0</v>
      </c>
      <c r="AF9" s="218">
        <f t="shared" ca="1" si="10"/>
        <v>1</v>
      </c>
      <c r="AG9" s="803">
        <f t="shared" ca="1" si="11"/>
        <v>0</v>
      </c>
      <c r="AH9" s="218">
        <f t="shared" ca="1" si="12"/>
        <v>0</v>
      </c>
      <c r="AI9" s="803">
        <f t="shared" ca="1" si="13"/>
        <v>0</v>
      </c>
      <c r="AJ9" s="218">
        <f t="shared" ca="1" si="14"/>
        <v>0</v>
      </c>
      <c r="AK9" s="803">
        <f t="shared" ca="1" si="15"/>
        <v>0</v>
      </c>
      <c r="AL9" s="218">
        <f t="shared" ca="1" si="23"/>
        <v>11.409454807692304</v>
      </c>
      <c r="AM9" s="290">
        <f t="shared" ca="1" si="16"/>
        <v>0</v>
      </c>
      <c r="AN9" s="291" t="str">
        <f t="shared" ca="1" si="17"/>
        <v>PT_CASUAL</v>
      </c>
      <c r="AO9" s="223">
        <f ca="1">+INDIRECT("[EMPINFO.xlsm]"&amp;$O$2&amp;"!t9")</f>
        <v>30</v>
      </c>
      <c r="AP9" s="226">
        <f ca="1">+INDIRECT("[EMPINFO.xlsm]"&amp;$O$2&amp;"!o9")</f>
        <v>0</v>
      </c>
      <c r="AQ9" s="840">
        <f ca="1">+INDIRECT("[EMPINFO.xlsm]"&amp;$O$2&amp;"!p9")</f>
        <v>0</v>
      </c>
      <c r="AR9" s="226">
        <f ca="1">+INDIRECT("[EMPINFO.xlsm]"&amp;$O$2&amp;"!j9")</f>
        <v>0</v>
      </c>
      <c r="AS9" s="840">
        <f ca="1">+INDIRECT("[EMPINFO.xlsm]"&amp;$O$2&amp;"!k9")</f>
        <v>0</v>
      </c>
      <c r="AT9" s="226">
        <f ca="1">+INDIRECT("[EMPINFO.xlsm]"&amp;$O$2&amp;"!m9")</f>
        <v>0</v>
      </c>
      <c r="AU9" s="844">
        <f ca="1">+INDIRECT("[EMPINFO.xlsm]"&amp;$O$2&amp;"!n9")</f>
        <v>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t="e">
        <f t="shared" ca="1" si="20"/>
        <v>#N/A</v>
      </c>
      <c r="BC9" s="289" t="e">
        <f t="shared" ca="1" si="21"/>
        <v>#N/A</v>
      </c>
      <c r="BD9" s="255"/>
      <c r="BE9" s="206"/>
    </row>
    <row r="10" spans="1:62" ht="15.75" customHeight="1" thickBot="1" x14ac:dyDescent="0.3">
      <c r="A10" s="54"/>
      <c r="B10" s="5" t="s">
        <v>142</v>
      </c>
      <c r="C10" s="921" t="str">
        <f>INDEX([1]!empdata,MATCH(ID,[1]!empid,0),20)</f>
        <v>Siggiewi</v>
      </c>
      <c r="D10" s="922"/>
      <c r="E10" s="922"/>
      <c r="F10" s="886"/>
      <c r="I10" s="312" t="s">
        <v>143</v>
      </c>
      <c r="L10" s="101"/>
      <c r="M10" s="303"/>
      <c r="N10" s="211">
        <f t="shared" ca="1" si="0"/>
        <v>7.601</v>
      </c>
      <c r="O10" s="213">
        <f>+DATA!A9</f>
        <v>46204</v>
      </c>
      <c r="P10" s="219">
        <f ca="1">+INDIRECT("[EMPINFO.xlsm]"&amp;$O$2&amp;"!G10")</f>
        <v>4</v>
      </c>
      <c r="Q10" s="215">
        <f ca="1">IF(AZ10="active",INDIRECT("[EMPINFO.xlsm]"&amp;$O$2&amp;"!H10"),0)</f>
        <v>0</v>
      </c>
      <c r="R10" s="239">
        <f t="shared" ca="1" si="22"/>
        <v>7.601</v>
      </c>
      <c r="S10" s="216">
        <f t="shared" ca="1" si="1"/>
        <v>0</v>
      </c>
      <c r="T10" s="220">
        <f t="shared" ca="1" si="2"/>
        <v>0</v>
      </c>
      <c r="U10" s="218">
        <f t="shared" ca="1" si="3"/>
        <v>0</v>
      </c>
      <c r="V10" s="220">
        <f ca="1">+juloth*julhrrt</f>
        <v>0</v>
      </c>
      <c r="W10" s="201"/>
      <c r="X10" s="218">
        <f t="shared" ca="1" si="4"/>
        <v>0</v>
      </c>
      <c r="Y10" s="803">
        <f t="shared" ca="1" si="5"/>
        <v>0</v>
      </c>
      <c r="Z10" s="218">
        <f t="shared" ca="1" si="6"/>
        <v>0</v>
      </c>
      <c r="AA10" s="803">
        <f t="shared" ca="1" si="7"/>
        <v>0</v>
      </c>
      <c r="AB10" s="218">
        <f ca="1">+INDIRECT("[EMPINFO.xlsm]"&amp;$O$2&amp;"!s10")</f>
        <v>0</v>
      </c>
      <c r="AC10" s="292">
        <v>1.5</v>
      </c>
      <c r="AD10" s="218">
        <f t="shared" ca="1" si="8"/>
        <v>0</v>
      </c>
      <c r="AE10" s="220">
        <f t="shared" ca="1" si="9"/>
        <v>0</v>
      </c>
      <c r="AF10" s="218">
        <f t="shared" ca="1" si="10"/>
        <v>0</v>
      </c>
      <c r="AG10" s="803">
        <f t="shared" ca="1" si="11"/>
        <v>0</v>
      </c>
      <c r="AH10" s="218">
        <f t="shared" ca="1" si="12"/>
        <v>0</v>
      </c>
      <c r="AI10" s="803">
        <f t="shared" ca="1" si="13"/>
        <v>0</v>
      </c>
      <c r="AJ10" s="218">
        <f t="shared" ca="1" si="14"/>
        <v>0</v>
      </c>
      <c r="AK10" s="803">
        <f t="shared" ca="1" si="15"/>
        <v>0</v>
      </c>
      <c r="AL10" s="218">
        <f t="shared" ca="1" si="23"/>
        <v>0</v>
      </c>
      <c r="AM10" s="290">
        <f t="shared" ca="1" si="16"/>
        <v>0</v>
      </c>
      <c r="AN10" s="291" t="str">
        <f t="shared" ca="1" si="17"/>
        <v>PT_CASUAL</v>
      </c>
      <c r="AO10" s="223">
        <f ca="1">+INDIRECT("[EMPINFO.xlsm]"&amp;$O$2&amp;"!t10")</f>
        <v>31</v>
      </c>
      <c r="AP10" s="226">
        <f ca="1">+INDIRECT("[EMPINFO.xlsm]"&amp;$O$2&amp;"!o10")</f>
        <v>0</v>
      </c>
      <c r="AQ10" s="840">
        <f ca="1">+INDIRECT("[EMPINFO.xlsm]"&amp;$O$2&amp;"!p10")</f>
        <v>0</v>
      </c>
      <c r="AR10" s="226">
        <f ca="1">+INDIRECT("[EMPINFO.xlsm]"&amp;$O$2&amp;"!j10")</f>
        <v>0</v>
      </c>
      <c r="AS10" s="840">
        <f ca="1">+INDIRECT("[EMPINFO.xlsm]"&amp;$O$2&amp;"!k10")</f>
        <v>0</v>
      </c>
      <c r="AT10" s="226">
        <f ca="1">+INDIRECT("[EMPINFO.xlsm]"&amp;$O$2&amp;"!m10")</f>
        <v>0</v>
      </c>
      <c r="AU10" s="844">
        <f ca="1">+INDIRECT("[EMPINFO.xlsm]"&amp;$O$2&amp;"!n10")</f>
        <v>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t="e">
        <f t="shared" ca="1" si="20"/>
        <v>#N/A</v>
      </c>
      <c r="BC10" s="289" t="e">
        <f t="shared" ca="1" si="21"/>
        <v>#N/A</v>
      </c>
      <c r="BD10" s="255"/>
      <c r="BE10" s="206"/>
      <c r="BF10" s="32"/>
      <c r="BH10" s="32"/>
      <c r="BI10" s="30"/>
      <c r="BJ10" s="31"/>
    </row>
    <row r="11" spans="1:62" ht="15.75" customHeight="1" thickBot="1" x14ac:dyDescent="0.3">
      <c r="A11" s="54"/>
      <c r="B11" s="6" t="s">
        <v>144</v>
      </c>
      <c r="C11" s="921" t="str">
        <f>INDEX([1]!empdata,MATCH(ID,[1]!empid,0),21)</f>
        <v>SGW2111</v>
      </c>
      <c r="D11" s="922"/>
      <c r="E11" s="922"/>
      <c r="F11" s="886"/>
      <c r="H11" s="312" t="s">
        <v>31</v>
      </c>
      <c r="I11" s="927">
        <f>INDEX([1]!empdata,MATCH(ID,[1]!empid,0),7)</f>
        <v>0</v>
      </c>
      <c r="J11" s="859"/>
      <c r="K11" s="857"/>
      <c r="L11" s="101"/>
      <c r="M11" s="303"/>
      <c r="N11" s="211">
        <f t="shared" ca="1" si="0"/>
        <v>7.601</v>
      </c>
      <c r="O11" s="213">
        <f>+DATA!A10</f>
        <v>46235</v>
      </c>
      <c r="P11" s="219">
        <f ca="1">+INDIRECT("[EMPINFO.xlsm]"&amp;$O$2&amp;"!G11")</f>
        <v>5</v>
      </c>
      <c r="Q11" s="215">
        <f ca="1">IF(AZ11="active",INDIRECT("[EMPINFO.xlsm]"&amp;$O$2&amp;"!H11"),0)</f>
        <v>0</v>
      </c>
      <c r="R11" s="239">
        <f t="shared" ca="1" si="22"/>
        <v>7.601</v>
      </c>
      <c r="S11" s="216">
        <f t="shared" ca="1" si="1"/>
        <v>0</v>
      </c>
      <c r="T11" s="220">
        <f t="shared" ca="1" si="2"/>
        <v>0</v>
      </c>
      <c r="U11" s="218">
        <f t="shared" ca="1" si="3"/>
        <v>0</v>
      </c>
      <c r="V11" s="220">
        <f ca="1">+augoth*aughrrt</f>
        <v>0</v>
      </c>
      <c r="W11" s="201"/>
      <c r="X11" s="218">
        <f t="shared" ca="1" si="4"/>
        <v>0</v>
      </c>
      <c r="Y11" s="803">
        <f t="shared" ca="1" si="5"/>
        <v>0</v>
      </c>
      <c r="Z11" s="218">
        <f t="shared" ca="1" si="6"/>
        <v>0</v>
      </c>
      <c r="AA11" s="803">
        <f t="shared" ca="1" si="7"/>
        <v>0</v>
      </c>
      <c r="AB11" s="218">
        <f ca="1">+INDIRECT("[EMPINFO.xlsm]"&amp;$O$2&amp;"!s11")</f>
        <v>0</v>
      </c>
      <c r="AC11" s="292">
        <v>1.5</v>
      </c>
      <c r="AD11" s="218">
        <f t="shared" ca="1" si="8"/>
        <v>0</v>
      </c>
      <c r="AE11" s="220">
        <f t="shared" ca="1" si="9"/>
        <v>0</v>
      </c>
      <c r="AF11" s="218">
        <f t="shared" ca="1" si="10"/>
        <v>0</v>
      </c>
      <c r="AG11" s="803">
        <f t="shared" ca="1" si="11"/>
        <v>0</v>
      </c>
      <c r="AH11" s="218">
        <f t="shared" ca="1" si="12"/>
        <v>0</v>
      </c>
      <c r="AI11" s="803">
        <f t="shared" ca="1" si="13"/>
        <v>0</v>
      </c>
      <c r="AJ11" s="218">
        <f t="shared" ca="1" si="14"/>
        <v>0</v>
      </c>
      <c r="AK11" s="803">
        <f t="shared" ca="1" si="15"/>
        <v>0</v>
      </c>
      <c r="AL11" s="218">
        <f t="shared" ca="1" si="23"/>
        <v>0</v>
      </c>
      <c r="AM11" s="290">
        <f t="shared" ca="1" si="16"/>
        <v>0</v>
      </c>
      <c r="AN11" s="291" t="str">
        <f t="shared" ca="1" si="17"/>
        <v>PT_CASUAL</v>
      </c>
      <c r="AO11" s="223">
        <f ca="1">+INDIRECT("[EMPINFO.xlsm]"&amp;$O$2&amp;"!t11")</f>
        <v>31</v>
      </c>
      <c r="AP11" s="226">
        <f ca="1">+INDIRECT("[EMPINFO.xlsm]"&amp;$O$2&amp;"!o11")</f>
        <v>0</v>
      </c>
      <c r="AQ11" s="840">
        <f ca="1">+INDIRECT("[EMPINFO.xlsm]"&amp;$O$2&amp;"!p11")</f>
        <v>0</v>
      </c>
      <c r="AR11" s="226">
        <f ca="1">+INDIRECT("[EMPINFO.xlsm]"&amp;$O$2&amp;"!j11")</f>
        <v>0</v>
      </c>
      <c r="AS11" s="840">
        <f ca="1">+INDIRECT("[EMPINFO.xlsm]"&amp;$O$2&amp;"!k11")</f>
        <v>0</v>
      </c>
      <c r="AT11" s="226">
        <f ca="1">+INDIRECT("[EMPINFO.xlsm]"&amp;$O$2&amp;"!m11")</f>
        <v>0</v>
      </c>
      <c r="AU11" s="844">
        <f ca="1">+INDIRECT("[EMPINFO.xlsm]"&amp;$O$2&amp;"!n11")</f>
        <v>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t="e">
        <f t="shared" ca="1" si="20"/>
        <v>#N/A</v>
      </c>
      <c r="BC11" s="289" t="e">
        <f t="shared" ca="1" si="21"/>
        <v>#N/A</v>
      </c>
      <c r="BD11" s="255"/>
      <c r="BE11" s="206"/>
      <c r="BF11" s="27"/>
      <c r="BH11" s="27"/>
    </row>
    <row r="12" spans="1:62" ht="17.45" customHeight="1" thickBot="1" x14ac:dyDescent="0.3">
      <c r="A12" s="313"/>
      <c r="B12" s="91" t="s">
        <v>14</v>
      </c>
      <c r="C12" s="945">
        <f>INDEX([1]!empdata,MATCH(ID,[1]!empid,0),10)</f>
        <v>99702533</v>
      </c>
      <c r="D12" s="946"/>
      <c r="E12" s="946"/>
      <c r="F12" s="947"/>
      <c r="G12" s="85"/>
      <c r="H12" s="85"/>
      <c r="I12" s="85"/>
      <c r="J12" s="85"/>
      <c r="K12" s="85"/>
      <c r="L12" s="314"/>
      <c r="M12" s="303"/>
      <c r="N12" s="211">
        <f t="shared" ca="1" si="0"/>
        <v>7.601</v>
      </c>
      <c r="O12" s="213">
        <f>+DATA!A11</f>
        <v>46266</v>
      </c>
      <c r="P12" s="219">
        <f ca="1">+INDIRECT("[EMPINFO.xlsm]"&amp;$O$2&amp;"!G12")</f>
        <v>4</v>
      </c>
      <c r="Q12" s="215">
        <f ca="1">IF(AZ12="active",INDIRECT("[EMPINFO.xlsm]"&amp;$O$2&amp;"!H12"),0)</f>
        <v>0</v>
      </c>
      <c r="R12" s="239">
        <f t="shared" ca="1" si="22"/>
        <v>7.601</v>
      </c>
      <c r="S12" s="216">
        <f t="shared" ca="1" si="1"/>
        <v>0</v>
      </c>
      <c r="T12" s="220">
        <f t="shared" ca="1" si="2"/>
        <v>0</v>
      </c>
      <c r="U12" s="218">
        <f t="shared" ca="1" si="3"/>
        <v>0</v>
      </c>
      <c r="V12" s="220">
        <f ca="1">+sepoth*sephrrt</f>
        <v>0</v>
      </c>
      <c r="W12" s="202">
        <f ca="1">IF(AZ12&lt;&gt;"active",0,(IF(Timer="PT_casual",(bonussep/1040*(BA7:BA12)),(bonussep*(SUM(AO7:AO12)/SUM(AX7:AX12))*(SUM(Q7:Q12)/240)))))</f>
        <v>0</v>
      </c>
      <c r="X12" s="218">
        <f t="shared" ca="1" si="4"/>
        <v>0</v>
      </c>
      <c r="Y12" s="803">
        <f t="shared" ca="1" si="5"/>
        <v>0</v>
      </c>
      <c r="Z12" s="218">
        <f t="shared" ca="1" si="6"/>
        <v>0</v>
      </c>
      <c r="AA12" s="803">
        <f t="shared" ca="1" si="7"/>
        <v>0</v>
      </c>
      <c r="AB12" s="218">
        <f ca="1">+INDIRECT("[EMPINFO.xlsm]"&amp;$O$2&amp;"!s12")</f>
        <v>0</v>
      </c>
      <c r="AC12" s="292">
        <v>1.5</v>
      </c>
      <c r="AD12" s="218">
        <f t="shared" ca="1" si="8"/>
        <v>0</v>
      </c>
      <c r="AE12" s="220">
        <f t="shared" ca="1" si="9"/>
        <v>0</v>
      </c>
      <c r="AF12" s="218">
        <f t="shared" ca="1" si="10"/>
        <v>0</v>
      </c>
      <c r="AG12" s="803">
        <f t="shared" ca="1" si="11"/>
        <v>0</v>
      </c>
      <c r="AH12" s="218">
        <f t="shared" ca="1" si="12"/>
        <v>0</v>
      </c>
      <c r="AI12" s="803">
        <f t="shared" ca="1" si="13"/>
        <v>0</v>
      </c>
      <c r="AJ12" s="218">
        <f t="shared" ca="1" si="14"/>
        <v>0</v>
      </c>
      <c r="AK12" s="803">
        <f t="shared" ca="1" si="15"/>
        <v>0</v>
      </c>
      <c r="AL12" s="218">
        <f t="shared" ca="1" si="23"/>
        <v>0</v>
      </c>
      <c r="AM12" s="290">
        <f t="shared" ca="1" si="16"/>
        <v>0</v>
      </c>
      <c r="AN12" s="291" t="str">
        <f t="shared" ca="1" si="17"/>
        <v>PT_CASUAL</v>
      </c>
      <c r="AO12" s="223">
        <f ca="1">+INDIRECT("[EMPINFO.xlsm]"&amp;$O$2&amp;"!t12")</f>
        <v>30</v>
      </c>
      <c r="AP12" s="226">
        <f ca="1">+INDIRECT("[EMPINFO.xlsm]"&amp;$O$2&amp;"!o12")</f>
        <v>0</v>
      </c>
      <c r="AQ12" s="840">
        <f ca="1">+INDIRECT("[EMPINFO.xlsm]"&amp;$O$2&amp;"!p12")</f>
        <v>0</v>
      </c>
      <c r="AR12" s="226">
        <f ca="1">+INDIRECT("[EMPINFO.xlsm]"&amp;$O$2&amp;"!j12")</f>
        <v>0</v>
      </c>
      <c r="AS12" s="840">
        <f ca="1">+INDIRECT("[EMPINFO.xlsm]"&amp;$O$2&amp;"!k12")</f>
        <v>0</v>
      </c>
      <c r="AT12" s="226">
        <f ca="1">+INDIRECT("[EMPINFO.xlsm]"&amp;$O$2&amp;"!m12")</f>
        <v>0</v>
      </c>
      <c r="AU12" s="844">
        <f ca="1">+INDIRECT("[EMPINFO.xlsm]"&amp;$O$2&amp;"!n12")</f>
        <v>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t="e">
        <f t="shared" ca="1" si="20"/>
        <v>#N/A</v>
      </c>
      <c r="BC12" s="289" t="e">
        <f t="shared" ca="1" si="21"/>
        <v>#N/A</v>
      </c>
      <c r="BD12" s="255"/>
      <c r="BE12" s="206"/>
    </row>
    <row r="13" spans="1:62" ht="15.75" customHeight="1" thickBot="1" x14ac:dyDescent="0.3">
      <c r="A13" s="54"/>
      <c r="L13" s="101"/>
      <c r="M13" s="303"/>
      <c r="N13" s="211">
        <f t="shared" ca="1" si="0"/>
        <v>7.601</v>
      </c>
      <c r="O13" s="213">
        <f>+DATA!A12</f>
        <v>46296</v>
      </c>
      <c r="P13" s="219">
        <f ca="1">+INDIRECT("[EMPINFO.xlsm]"&amp;$O$2&amp;"!G13")</f>
        <v>4</v>
      </c>
      <c r="Q13" s="215">
        <f ca="1">IF(AZ13="active",INDIRECT("[EMPINFO.xlsm]"&amp;$O$2&amp;"!H13"),0)</f>
        <v>0</v>
      </c>
      <c r="R13" s="239">
        <f t="shared" ca="1" si="22"/>
        <v>7.601</v>
      </c>
      <c r="S13" s="216">
        <f t="shared" ca="1" si="1"/>
        <v>0</v>
      </c>
      <c r="T13" s="220">
        <f t="shared" ca="1" si="2"/>
        <v>0</v>
      </c>
      <c r="U13" s="218">
        <f t="shared" ca="1" si="3"/>
        <v>0</v>
      </c>
      <c r="V13" s="220">
        <f ca="1">+octoth*octhrrt</f>
        <v>0</v>
      </c>
      <c r="W13" s="201"/>
      <c r="X13" s="218">
        <f t="shared" ca="1" si="4"/>
        <v>0</v>
      </c>
      <c r="Y13" s="803">
        <f t="shared" ca="1" si="5"/>
        <v>0</v>
      </c>
      <c r="Z13" s="218">
        <f t="shared" ca="1" si="6"/>
        <v>0</v>
      </c>
      <c r="AA13" s="803">
        <f t="shared" ca="1" si="7"/>
        <v>0</v>
      </c>
      <c r="AB13" s="218">
        <f ca="1">+INDIRECT("[EMPINFO.xlsm]"&amp;$O$2&amp;"!s13")</f>
        <v>0</v>
      </c>
      <c r="AC13" s="292">
        <v>1.5</v>
      </c>
      <c r="AD13" s="218">
        <f t="shared" ca="1" si="8"/>
        <v>0</v>
      </c>
      <c r="AE13" s="220">
        <f t="shared" ca="1" si="9"/>
        <v>0</v>
      </c>
      <c r="AF13" s="218">
        <f t="shared" ca="1" si="10"/>
        <v>0</v>
      </c>
      <c r="AG13" s="803">
        <f t="shared" ca="1" si="11"/>
        <v>0</v>
      </c>
      <c r="AH13" s="218">
        <f t="shared" ca="1" si="12"/>
        <v>0</v>
      </c>
      <c r="AI13" s="803">
        <f t="shared" ca="1" si="13"/>
        <v>0</v>
      </c>
      <c r="AJ13" s="218">
        <f t="shared" ca="1" si="14"/>
        <v>0</v>
      </c>
      <c r="AK13" s="803">
        <f t="shared" ca="1" si="15"/>
        <v>0</v>
      </c>
      <c r="AL13" s="218">
        <f t="shared" ca="1" si="23"/>
        <v>0</v>
      </c>
      <c r="AM13" s="290">
        <f t="shared" ca="1" si="16"/>
        <v>0</v>
      </c>
      <c r="AN13" s="291" t="str">
        <f t="shared" ca="1" si="17"/>
        <v>PT_CASUAL</v>
      </c>
      <c r="AO13" s="223">
        <f ca="1">+INDIRECT("[EMPINFO.xlsm]"&amp;$O$2&amp;"!t13")</f>
        <v>31</v>
      </c>
      <c r="AP13" s="226">
        <f ca="1">+INDIRECT("[EMPINFO.xlsm]"&amp;$O$2&amp;"!o13")</f>
        <v>0</v>
      </c>
      <c r="AQ13" s="840">
        <f ca="1">+INDIRECT("[EMPINFO.xlsm]"&amp;$O$2&amp;"!p13")</f>
        <v>0</v>
      </c>
      <c r="AR13" s="226">
        <f ca="1">+INDIRECT("[EMPINFO.xlsm]"&amp;$O$2&amp;"!j13")</f>
        <v>0</v>
      </c>
      <c r="AS13" s="840">
        <f ca="1">+INDIRECT("[EMPINFO.xlsm]"&amp;$O$2&amp;"!k13")</f>
        <v>0</v>
      </c>
      <c r="AT13" s="226">
        <f ca="1">+INDIRECT("[EMPINFO.xlsm]"&amp;$O$2&amp;"!m13")</f>
        <v>0</v>
      </c>
      <c r="AU13" s="844">
        <f ca="1">+INDIRECT("[EMPINFO.xlsm]"&amp;$O$2&amp;"!n13")</f>
        <v>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t="e">
        <f t="shared" ca="1" si="20"/>
        <v>#N/A</v>
      </c>
      <c r="BC13" s="289" t="e">
        <f t="shared" ca="1" si="21"/>
        <v>#N/A</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7.601</v>
      </c>
      <c r="O14" s="213">
        <f>+DATA!A13</f>
        <v>46327</v>
      </c>
      <c r="P14" s="219">
        <f ca="1">+INDIRECT("[EMPINFO.xlsm]"&amp;$O$2&amp;"!G14")</f>
        <v>5</v>
      </c>
      <c r="Q14" s="215">
        <f ca="1">IF(AZ14="active",INDIRECT("[EMPINFO.xlsm]"&amp;$O$2&amp;"!H14"),0)</f>
        <v>0</v>
      </c>
      <c r="R14" s="239">
        <f t="shared" ca="1" si="22"/>
        <v>7.601</v>
      </c>
      <c r="S14" s="216">
        <f t="shared" ca="1" si="1"/>
        <v>0</v>
      </c>
      <c r="T14" s="220">
        <f t="shared" ca="1" si="2"/>
        <v>0</v>
      </c>
      <c r="U14" s="218">
        <f t="shared" ca="1" si="3"/>
        <v>0</v>
      </c>
      <c r="V14" s="220">
        <f ca="1">+novoth*novhrrt</f>
        <v>0</v>
      </c>
      <c r="W14" s="201"/>
      <c r="X14" s="218">
        <f t="shared" ca="1" si="4"/>
        <v>0</v>
      </c>
      <c r="Y14" s="803">
        <f t="shared" ca="1" si="5"/>
        <v>0</v>
      </c>
      <c r="Z14" s="218">
        <f t="shared" ca="1" si="6"/>
        <v>0</v>
      </c>
      <c r="AA14" s="803">
        <f t="shared" ca="1" si="7"/>
        <v>0</v>
      </c>
      <c r="AB14" s="218">
        <f ca="1">+INDIRECT("[EMPINFO.xlsm]"&amp;$O$2&amp;"!s14")</f>
        <v>0</v>
      </c>
      <c r="AC14" s="292">
        <v>1.5</v>
      </c>
      <c r="AD14" s="218">
        <f t="shared" ca="1" si="8"/>
        <v>0</v>
      </c>
      <c r="AE14" s="220">
        <f t="shared" ca="1" si="9"/>
        <v>0</v>
      </c>
      <c r="AF14" s="218">
        <f t="shared" ca="1" si="10"/>
        <v>0</v>
      </c>
      <c r="AG14" s="803">
        <f t="shared" ca="1" si="11"/>
        <v>0</v>
      </c>
      <c r="AH14" s="218">
        <f t="shared" ca="1" si="12"/>
        <v>0</v>
      </c>
      <c r="AI14" s="803">
        <f t="shared" ca="1" si="13"/>
        <v>0</v>
      </c>
      <c r="AJ14" s="218">
        <f t="shared" ca="1" si="14"/>
        <v>0</v>
      </c>
      <c r="AK14" s="803">
        <f t="shared" ca="1" si="15"/>
        <v>0</v>
      </c>
      <c r="AL14" s="218">
        <f t="shared" ca="1" si="23"/>
        <v>0</v>
      </c>
      <c r="AM14" s="290">
        <f t="shared" ca="1" si="16"/>
        <v>0</v>
      </c>
      <c r="AN14" s="291" t="str">
        <f t="shared" ca="1" si="17"/>
        <v>PT_CASUAL</v>
      </c>
      <c r="AO14" s="223">
        <f ca="1">+INDIRECT("[EMPINFO.xlsm]"&amp;$O$2&amp;"!t14")</f>
        <v>30</v>
      </c>
      <c r="AP14" s="226">
        <f ca="1">+INDIRECT("[EMPINFO.xlsm]"&amp;$O$2&amp;"!o14")</f>
        <v>0</v>
      </c>
      <c r="AQ14" s="840">
        <f ca="1">+INDIRECT("[EMPINFO.xlsm]"&amp;$O$2&amp;"!p14")</f>
        <v>0</v>
      </c>
      <c r="AR14" s="226">
        <f ca="1">+INDIRECT("[EMPINFO.xlsm]"&amp;$O$2&amp;"!j14")</f>
        <v>0</v>
      </c>
      <c r="AS14" s="840">
        <f ca="1">+INDIRECT("[EMPINFO.xlsm]"&amp;$O$2&amp;"!k14")</f>
        <v>0</v>
      </c>
      <c r="AT14" s="226">
        <f ca="1">+INDIRECT("[EMPINFO.xlsm]"&amp;$O$2&amp;"!m14")</f>
        <v>0</v>
      </c>
      <c r="AU14" s="844">
        <f ca="1">+INDIRECT("[EMPINFO.xlsm]"&amp;$O$2&amp;"!n14")</f>
        <v>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t="e">
        <f t="shared" ca="1" si="20"/>
        <v>#N/A</v>
      </c>
      <c r="BC14" s="289" t="e">
        <f t="shared" ca="1" si="21"/>
        <v>#N/A</v>
      </c>
      <c r="BD14" s="255"/>
      <c r="BE14" s="206"/>
      <c r="BF14" s="32"/>
      <c r="BH14" s="32"/>
    </row>
    <row r="15" spans="1:62" ht="15.75" customHeight="1" thickBot="1" x14ac:dyDescent="0.3">
      <c r="A15" s="54"/>
      <c r="L15" s="101"/>
      <c r="M15" s="303"/>
      <c r="N15" s="211">
        <f t="shared" ca="1" si="0"/>
        <v>7.601</v>
      </c>
      <c r="O15" s="213">
        <f>+DATA!A14</f>
        <v>46357</v>
      </c>
      <c r="P15" s="219">
        <f ca="1">+INDIRECT("[EMPINFO.xlsm]"&amp;$O$2&amp;"!G15")</f>
        <v>4</v>
      </c>
      <c r="Q15" s="215">
        <f ca="1">IF(AZ15="active",INDIRECT("[EMPINFO.xlsm]"&amp;$O$2&amp;"!H15"),0)</f>
        <v>0</v>
      </c>
      <c r="R15" s="239">
        <f t="shared" ca="1" si="22"/>
        <v>7.601</v>
      </c>
      <c r="S15" s="216">
        <f t="shared" ca="1" si="1"/>
        <v>0</v>
      </c>
      <c r="T15" s="220">
        <f t="shared" ca="1" si="2"/>
        <v>0</v>
      </c>
      <c r="U15" s="218">
        <f t="shared" ca="1" si="3"/>
        <v>0</v>
      </c>
      <c r="V15" s="220">
        <f ca="1">+decoth*dechrrt</f>
        <v>0</v>
      </c>
      <c r="W15" s="202">
        <f ca="1">IF(AZ15&lt;&gt;"active",0,(IF(Timer="PT_casual",(bonusdec/1040*(BA10:BA15)),(bonusdec*(SUM(AO10:AO15)/SUM(AX10:AX15))*(SUM(Q10:Q15)/240)))))</f>
        <v>0</v>
      </c>
      <c r="X15" s="218">
        <f t="shared" ca="1" si="4"/>
        <v>0</v>
      </c>
      <c r="Y15" s="803">
        <f t="shared" ca="1" si="5"/>
        <v>0</v>
      </c>
      <c r="Z15" s="218">
        <f t="shared" ca="1" si="6"/>
        <v>0</v>
      </c>
      <c r="AA15" s="803">
        <f t="shared" ca="1" si="7"/>
        <v>0</v>
      </c>
      <c r="AB15" s="218">
        <f ca="1">+INDIRECT("[EMPINFO.xlsm]"&amp;$O$2&amp;"!s15")</f>
        <v>0</v>
      </c>
      <c r="AC15" s="292">
        <v>1.5</v>
      </c>
      <c r="AD15" s="218">
        <f t="shared" ca="1" si="8"/>
        <v>0</v>
      </c>
      <c r="AE15" s="220">
        <f t="shared" ca="1" si="9"/>
        <v>0</v>
      </c>
      <c r="AF15" s="218">
        <f t="shared" ca="1" si="10"/>
        <v>0</v>
      </c>
      <c r="AG15" s="803">
        <f t="shared" ca="1" si="11"/>
        <v>0</v>
      </c>
      <c r="AH15" s="218">
        <f t="shared" ca="1" si="12"/>
        <v>0</v>
      </c>
      <c r="AI15" s="803">
        <f t="shared" ca="1" si="13"/>
        <v>0</v>
      </c>
      <c r="AJ15" s="218">
        <f t="shared" ca="1" si="14"/>
        <v>0</v>
      </c>
      <c r="AK15" s="803">
        <f t="shared" ca="1" si="15"/>
        <v>0</v>
      </c>
      <c r="AL15" s="218">
        <f t="shared" ca="1" si="23"/>
        <v>0</v>
      </c>
      <c r="AM15" s="290">
        <f t="shared" ca="1" si="16"/>
        <v>0</v>
      </c>
      <c r="AN15" s="291" t="str">
        <f t="shared" ca="1" si="17"/>
        <v>PT_CASUAL</v>
      </c>
      <c r="AO15" s="223">
        <f ca="1">+INDIRECT("[EMPINFO.xlsm]"&amp;$O$2&amp;"!t15")</f>
        <v>31</v>
      </c>
      <c r="AP15" s="226">
        <f ca="1">+INDIRECT("[EMPINFO.xlsm]"&amp;$O$2&amp;"!o15")</f>
        <v>0</v>
      </c>
      <c r="AQ15" s="840">
        <f ca="1">+INDIRECT("[EMPINFO.xlsm]"&amp;$O$2&amp;"!p15")</f>
        <v>0</v>
      </c>
      <c r="AR15" s="226">
        <f ca="1">+INDIRECT("[EMPINFO.xlsm]"&amp;$O$2&amp;"!j15")</f>
        <v>0</v>
      </c>
      <c r="AS15" s="840">
        <f ca="1">+INDIRECT("[EMPINFO.xlsm]"&amp;$O$2&amp;"!k15")</f>
        <v>0</v>
      </c>
      <c r="AT15" s="226">
        <f ca="1">+INDIRECT("[EMPINFO.xlsm]"&amp;$O$2&amp;"!m15")</f>
        <v>0</v>
      </c>
      <c r="AU15" s="844">
        <f ca="1">+INDIRECT("[EMPINFO.xlsm]"&amp;$O$2&amp;"!n15")</f>
        <v>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t="e">
        <f t="shared" ca="1" si="20"/>
        <v>#N/A</v>
      </c>
      <c r="BC15" s="289" t="e">
        <f t="shared" ca="1" si="21"/>
        <v>#N/A</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0</v>
      </c>
      <c r="T16" s="221">
        <f t="shared" ca="1" si="24"/>
        <v>667.59582999999998</v>
      </c>
      <c r="U16" s="217">
        <f t="shared" ca="1" si="24"/>
        <v>0</v>
      </c>
      <c r="V16" s="221">
        <f t="shared" ca="1" si="24"/>
        <v>0</v>
      </c>
      <c r="W16" s="217">
        <f t="shared" ca="1" si="24"/>
        <v>21.641649807692303</v>
      </c>
      <c r="X16" s="217">
        <f t="shared" ca="1" si="24"/>
        <v>0</v>
      </c>
      <c r="Y16" s="804">
        <f t="shared" ca="1" si="24"/>
        <v>0</v>
      </c>
      <c r="Z16" s="217">
        <f t="shared" ca="1" si="24"/>
        <v>689.23747980769235</v>
      </c>
      <c r="AA16" s="804">
        <f t="shared" ca="1" si="24"/>
        <v>67</v>
      </c>
      <c r="AB16" s="217">
        <f ca="1">+INDIRECT("[EMPINFO.xlsm]"&amp;$O$2&amp;"!S16")</f>
        <v>0</v>
      </c>
      <c r="AC16" s="221" t="s">
        <v>150</v>
      </c>
      <c r="AD16" s="217">
        <f ca="1">SUM(AD4:AD15)</f>
        <v>0</v>
      </c>
      <c r="AE16" s="221">
        <f ca="1">SUM(AE4:AE15)</f>
        <v>0</v>
      </c>
      <c r="AF16" s="217">
        <f ca="1">SUM(AF4:AF15)</f>
        <v>67</v>
      </c>
      <c r="AG16" s="221"/>
      <c r="AH16" s="217">
        <f ca="1">SUM(AH4:AH15)</f>
        <v>0</v>
      </c>
      <c r="AI16" s="803">
        <f ca="1">SUM(AI4:AI15)</f>
        <v>0</v>
      </c>
      <c r="AJ16" s="217">
        <f t="shared" ca="1" si="14"/>
        <v>0</v>
      </c>
      <c r="AK16" s="835">
        <f ca="1">SUM(AK4:AK15)</f>
        <v>0</v>
      </c>
      <c r="AL16" s="217">
        <f ca="1">+SUM(AL4:AL15)</f>
        <v>689.23747980769235</v>
      </c>
      <c r="AM16" s="298"/>
      <c r="AN16" s="297"/>
      <c r="AO16" s="224">
        <f ca="1">+INDIRECT("[EMPINFO.xlsm]"&amp;$O$2&amp;"!T16")</f>
        <v>365</v>
      </c>
      <c r="AP16" s="299">
        <f>+[1]RGaldes!O16</f>
        <v>0</v>
      </c>
      <c r="AQ16" s="841">
        <f ca="1">+INDIRECT("[EMPINFO.xlsm]"&amp;$O$2&amp;"!p16")</f>
        <v>0</v>
      </c>
      <c r="AR16" s="299"/>
      <c r="AS16" s="841">
        <f ca="1">+INDIRECT("[EMPINFO.xlsm]"&amp;$O$2&amp;"!k16")</f>
        <v>0</v>
      </c>
      <c r="AT16" s="299">
        <f ca="1">+INDIRECT("[EMPINFO.xlsm]"&amp;$O$2&amp;"!m16")</f>
        <v>0</v>
      </c>
      <c r="AU16" s="841">
        <f ca="1">+INDIRECT("[EMPINFO.xlsm]"&amp;$O$2&amp;"!n16")</f>
        <v>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TRUNC(IF(OR(Timer="PT", Timer="PT_casual"),0,Z16),0)</f>
        <v>0</v>
      </c>
      <c r="I17" s="456"/>
      <c r="K17" s="317" t="s">
        <v>151</v>
      </c>
      <c r="L17" s="101"/>
      <c r="M17" s="256">
        <v>7</v>
      </c>
      <c r="N17" s="257" t="s">
        <v>152</v>
      </c>
      <c r="O17" s="258">
        <f ca="1">+Med_Tot</f>
        <v>689.23747980769235</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0</v>
      </c>
      <c r="O19" s="894" t="str">
        <f>Surname&amp;" "&amp;Name</f>
        <v>Curmi Emma</v>
      </c>
      <c r="P19" s="374" t="str">
        <f>+IDCard</f>
        <v>10506L</v>
      </c>
      <c r="Q19" s="375" t="str">
        <f>+designation</f>
        <v>10. Trainee  Dental Assistant</v>
      </c>
      <c r="R19" s="376" t="s">
        <v>156</v>
      </c>
      <c r="S19" s="377">
        <f ca="1">+S20+S23+S22+S24+S25+S26+S21</f>
        <v>318.02583999999996</v>
      </c>
      <c r="T19" s="378">
        <f>+FS4_Status</f>
        <v>0</v>
      </c>
      <c r="U19" s="572" t="str">
        <f ca="1">INDEX(INDAT,MATCH(O21,(INDIRECT(("months"),TRUE)),0),26)</f>
        <v>PT_CASUAL</v>
      </c>
      <c r="V19" s="379">
        <f ca="1">INDEX(INDAT,MATCH(O21,(INDIRECT(("months"),TRUE)),0),25)</f>
        <v>0</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 ca="1">TRUNC(IF(OR(Timer="PT", Timer="PT_Casual"),Med_Tot,0),0)</f>
        <v>689</v>
      </c>
      <c r="I20" s="460"/>
      <c r="J20" s="318" t="s">
        <v>160</v>
      </c>
      <c r="K20" s="910"/>
      <c r="L20" s="911"/>
      <c r="N20" s="387">
        <f ca="1">IF(AND(OR((INDEX(PYRL_Summary,MATCH(O21,months,0),28))="PT",( INDEX(PYRL_Summary,MATCH(O21,months,0),28))="PT_casual" ),(N22-N21&gt;=1)),1,0)</f>
        <v>1</v>
      </c>
      <c r="O20" s="895"/>
      <c r="P20" s="416" t="s">
        <v>161</v>
      </c>
      <c r="Q20" s="380">
        <f ca="1">INDEX(PYRL_Summary,MATCH(O21,months,0),5)</f>
        <v>0</v>
      </c>
      <c r="R20" s="381" t="s">
        <v>94</v>
      </c>
      <c r="S20" s="382">
        <f ca="1">INDEX(PYRL_Summary,MATCH(O21,months,0),7)</f>
        <v>0</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41.84 HRS</v>
      </c>
      <c r="S21" s="367">
        <f ca="1">INDEX(PYRL_Summary,MATCH(O21,months,0),41)*janhrrt</f>
        <v>318.02583999999996</v>
      </c>
      <c r="T21" s="372">
        <f ca="1">+U21+V21</f>
        <v>0</v>
      </c>
      <c r="U21" s="372">
        <f ca="1">INDEX(PYRL_Summary,MATCH(O21,months,0),22)</f>
        <v>0</v>
      </c>
      <c r="V21" s="373">
        <f ca="1">INDEX(PYRL_Summary,MATCH(O21,months,0),23)</f>
        <v>0</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0</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689</v>
      </c>
      <c r="I23" s="466"/>
      <c r="J23" s="318" t="s">
        <v>169</v>
      </c>
      <c r="K23" s="916"/>
      <c r="L23" s="917"/>
      <c r="N23" s="420"/>
      <c r="O23" s="344">
        <f>+ID</f>
        <v>2025006</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31</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 xml:space="preserve"> </v>
      </c>
      <c r="R25" s="100">
        <f>IF((INDEX(PYRL_Summary,MATCH(O21,months,0),13)&gt;=0.01),(INDEX(PYRL_Summary,MATCH(O21,months,0),13)),0)</f>
        <v>0</v>
      </c>
      <c r="S25" s="102">
        <f>+P25+R25</f>
        <v>0</v>
      </c>
      <c r="T25" s="889" t="str">
        <f>+IBAN</f>
        <v>MT46VALL22013000000050017560693</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287.02583999999996</v>
      </c>
      <c r="V26" s="418"/>
      <c r="X26" s="575"/>
    </row>
    <row r="27" spans="1:56" ht="24" customHeight="1" thickBot="1" x14ac:dyDescent="0.3">
      <c r="A27" s="54"/>
      <c r="B27" s="73" t="s">
        <v>52</v>
      </c>
      <c r="G27" s="73" t="s">
        <v>53</v>
      </c>
      <c r="H27" s="8">
        <f>IF(OR(Timer="PT", Timer="pt_casual"),0,AA16)</f>
        <v>0</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173862556</v>
      </c>
      <c r="U27" s="545"/>
      <c r="V27" s="546"/>
      <c r="W27" s="73" t="s">
        <v>183</v>
      </c>
      <c r="Y27" s="436">
        <v>173862556</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0</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 ca="1">IF(OR( Timer="pt", Timer="pt_casual"),AA16,0)</f>
        <v>67</v>
      </c>
      <c r="L29" s="101"/>
      <c r="N29" s="403">
        <f ca="1">IF(OR(INDEX(PYRL_Summary,MATCH(O31,months,0),28)="pt",INDEX(PYRL_Summary,MATCH(O31,months,0),28)="pt_casual"),0,IF(N32-N31&gt;=1,1,0))</f>
        <v>0</v>
      </c>
      <c r="O29" s="908" t="str">
        <f>Surname&amp;" "&amp;Name</f>
        <v>Curmi Emma</v>
      </c>
      <c r="P29" s="394" t="str">
        <f>+IDCard</f>
        <v>10506L</v>
      </c>
      <c r="Q29" s="395" t="str">
        <f>+designation</f>
        <v>10. Trainee  Dental Assistant</v>
      </c>
      <c r="R29" s="396" t="s">
        <v>156</v>
      </c>
      <c r="S29" s="397">
        <f ca="1">+S30+S33+S32+S34+S35+S36+S31</f>
        <v>349.56998999999996</v>
      </c>
      <c r="T29" s="431">
        <f>+FS4_Status</f>
        <v>0</v>
      </c>
      <c r="U29" s="573" t="str">
        <f ca="1">INDEX(INDAT,MATCH(O31,(INDIRECT(("months"),TRUE)),0),26)</f>
        <v>PT_CASUAL</v>
      </c>
      <c r="V29" s="432">
        <f ca="1">INDEX(INDAT,MATCH(O31,(INDIRECT(("months"),TRUE)),0),25)</f>
        <v>0</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1</v>
      </c>
      <c r="O30" s="909"/>
      <c r="P30" s="415" t="s">
        <v>161</v>
      </c>
      <c r="Q30" s="414">
        <f ca="1">INDEX(PYRL_Summary,MATCH(O31,months,0),5)</f>
        <v>0</v>
      </c>
      <c r="R30" s="398" t="s">
        <v>94</v>
      </c>
      <c r="S30" s="399">
        <f ca="1">INDEX(PYRL_Summary,MATCH(O31,months,0),7)</f>
        <v>0</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67</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45.99 HRS</v>
      </c>
      <c r="S31" s="193">
        <f ca="1">INDEX(PYRL_Summary,MATCH(O31,months,0),41)*febhrrt</f>
        <v>349.56998999999996</v>
      </c>
      <c r="T31" s="357">
        <f ca="1">+U31+V31</f>
        <v>0</v>
      </c>
      <c r="U31" s="358">
        <f ca="1">INDEX(PYRL_Summary,MATCH(O31,months,0),22)</f>
        <v>0</v>
      </c>
      <c r="V31" s="359">
        <f ca="1">INDEX(PYRL_Summary,MATCH(O31,months,0),23)</f>
        <v>0</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0</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2025006</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34</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 xml:space="preserve"> </v>
      </c>
      <c r="R35" s="100">
        <f ca="1">IF((INDEX(PYRL_Summary,MATCH(O31,months,0),13)&gt;=0.01),(INDEX(PYRL_Summary,MATCH(O31,months,0),13)),0)</f>
        <v>0</v>
      </c>
      <c r="S35" s="102">
        <f ca="1">+P35+R35</f>
        <v>0</v>
      </c>
      <c r="T35" s="889" t="str">
        <f>+IBAN</f>
        <v>MT46VALL22013000000050017560693</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315.56998999999996</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175304899</v>
      </c>
      <c r="U37" s="545"/>
      <c r="V37" s="546"/>
      <c r="W37" s="73" t="s">
        <v>183</v>
      </c>
      <c r="Y37" s="574" t="s">
        <v>648</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0</v>
      </c>
      <c r="R38" s="410" t="s">
        <v>188</v>
      </c>
      <c r="S38" s="411">
        <f ca="1">INDEX(PYRL_Summary,MATCH(O31,months,0),33)</f>
        <v>0</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0</v>
      </c>
      <c r="O39" s="894" t="str">
        <f>Surname&amp;" "&amp;Name</f>
        <v>Curmi Emma</v>
      </c>
      <c r="P39" s="374" t="str">
        <f>+IDCard</f>
        <v>10506L</v>
      </c>
      <c r="Q39" s="375" t="str">
        <f>+designation</f>
        <v>10. Trainee  Dental Assistant</v>
      </c>
      <c r="R39" s="376" t="s">
        <v>156</v>
      </c>
      <c r="S39" s="377">
        <f ca="1">+S40+S43+S42+S44+S45+S46+S41</f>
        <v>10.232194999999997</v>
      </c>
      <c r="T39" s="378">
        <f>+FS4_Status</f>
        <v>0</v>
      </c>
      <c r="U39" s="572" t="str">
        <f ca="1">INDEX(INDAT,MATCH(O41,(INDIRECT(("months"),TRUE)),0),26)</f>
        <v>PT_CASUAL</v>
      </c>
      <c r="V39" s="379">
        <f ca="1">INDEX(INDAT,MATCH(O41,(INDIRECT(("months"),TRUE)),0),25)</f>
        <v>0</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1</v>
      </c>
      <c r="O40" s="895"/>
      <c r="P40" s="416" t="s">
        <v>161</v>
      </c>
      <c r="Q40" s="380">
        <f ca="1">INDEX(PYRL_Summary,MATCH(O41,months,0),5)</f>
        <v>0</v>
      </c>
      <c r="R40" s="381" t="s">
        <v>94</v>
      </c>
      <c r="S40" s="382">
        <f ca="1">INDEX(PYRL_Summary,MATCH(O41,months,0),7)</f>
        <v>0</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0</v>
      </c>
      <c r="U41" s="372">
        <f ca="1">INDEX(PYRL_Summary,MATCH(O41,months,0),22)</f>
        <v>0</v>
      </c>
      <c r="V41" s="373">
        <f ca="1">INDEX(PYRL_Summary,MATCH(O41,months,0),23)</f>
        <v>0</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0</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2025006</v>
      </c>
      <c r="P43" s="365" t="s">
        <v>172</v>
      </c>
      <c r="Q43" s="365"/>
      <c r="R43" s="366"/>
      <c r="S43" s="367">
        <f ca="1">INDEX(PYRL_Summary,MATCH(O41,months,0),11)</f>
        <v>10.232194999999997</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 xml:space="preserve"> </v>
      </c>
      <c r="R45" s="100">
        <f ca="1">IF((INDEX(PYRL_Summary,MATCH(O41,months,0),13)&gt;=0.01),(INDEX(PYRL_Summary,MATCH(O41,months,0),13)),0)</f>
        <v>0</v>
      </c>
      <c r="S45" s="102">
        <f ca="1">+P45+R45</f>
        <v>0</v>
      </c>
      <c r="T45" s="889" t="str">
        <f>+IBAN</f>
        <v>MT46VALL22013000000050017560693</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9.2321949999999973</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0</v>
      </c>
      <c r="R48" s="392" t="s">
        <v>188</v>
      </c>
      <c r="S48" s="393">
        <f ca="1">INDEX(PYRL_Summary,MATCH(O41,months,0),33)</f>
        <v>0</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0</v>
      </c>
      <c r="O49" s="908" t="str">
        <f>Surname&amp;" "&amp;Name</f>
        <v>Curmi Emma</v>
      </c>
      <c r="P49" s="394" t="str">
        <f>+IDCard</f>
        <v>10506L</v>
      </c>
      <c r="Q49" s="395" t="str">
        <f>+designation</f>
        <v>10. Trainee  Dental Assistant</v>
      </c>
      <c r="R49" s="396" t="s">
        <v>156</v>
      </c>
      <c r="S49" s="397">
        <f ca="1">+S50+S53+S52+S54+S55+S56+S51</f>
        <v>0</v>
      </c>
      <c r="T49" s="431">
        <f>+FS4_Status</f>
        <v>0</v>
      </c>
      <c r="U49" s="573" t="str">
        <f ca="1">INDEX(INDAT,MATCH(O51,(INDIRECT(("months"),TRUE)),0),26)</f>
        <v>PT_CASUAL</v>
      </c>
      <c r="V49" s="432">
        <f ca="1">INDEX(INDAT,MATCH(O51,(INDIRECT(("months"),TRUE)),0),25)</f>
        <v>0</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1</v>
      </c>
      <c r="O50" s="909"/>
      <c r="P50" s="415" t="s">
        <v>161</v>
      </c>
      <c r="Q50" s="414">
        <f ca="1">INDEX(PYRL_Summary,MATCH(O51,months,0),5)</f>
        <v>0</v>
      </c>
      <c r="R50" s="398" t="s">
        <v>94</v>
      </c>
      <c r="S50" s="399">
        <f ca="1">INDEX(PYRL_Summary,MATCH(O51,months,0),7)</f>
        <v>0</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0</v>
      </c>
      <c r="U51" s="358">
        <f ca="1">INDEX(PYRL_Summary,MATCH(O51,months,0),22)</f>
        <v>0</v>
      </c>
      <c r="V51" s="359">
        <f ca="1">INDEX(PYRL_Summary,MATCH(O51,months,0),23)</f>
        <v>0</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0</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2025006</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 xml:space="preserve"> </v>
      </c>
      <c r="R55" s="100">
        <f ca="1">IF((INDEX(PYRL_Summary,MATCH(O51,months,0),13)&gt;=0.01),(INDEX(PYRL_Summary,MATCH(O51,months,0),13)),0)</f>
        <v>0</v>
      </c>
      <c r="S55" s="102">
        <f ca="1">+P55+R55</f>
        <v>0</v>
      </c>
      <c r="T55" s="889" t="str">
        <f>+IBAN</f>
        <v>MT46VALL22013000000050017560693</v>
      </c>
      <c r="U55" s="890"/>
      <c r="V55" s="891"/>
    </row>
    <row r="56" spans="1:37" ht="16.5" customHeight="1" thickBot="1" x14ac:dyDescent="0.3">
      <c r="E56" s="116" t="s">
        <v>215</v>
      </c>
      <c r="F56" s="115" t="str">
        <f>INDEX([1]!empdata,MATCH(ID,[1]!empid,0),17)</f>
        <v>MT46VALL22013000000050017560693</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0</v>
      </c>
      <c r="V56" s="418"/>
    </row>
    <row r="57" spans="1:37" ht="26.25" customHeight="1" thickBot="1" x14ac:dyDescent="0.3">
      <c r="E57" s="116" t="s">
        <v>216</v>
      </c>
      <c r="F57" s="340" t="str">
        <f>INDEX([1]!empdata,MATCH(ID,[1]!empid,0),12)</f>
        <v>emmacurmi06@gmail.com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38718</v>
      </c>
      <c r="G58" s="56"/>
      <c r="H58" s="63"/>
      <c r="N58" s="406">
        <f ca="1">INDEX(PYRL_Summary,MATCH(O51,months,0),4)</f>
        <v>4</v>
      </c>
      <c r="O58" s="407" t="s">
        <v>187</v>
      </c>
      <c r="P58" s="408">
        <f>+O41</f>
        <v>46082</v>
      </c>
      <c r="Q58" s="409">
        <f ca="1">INDEX(PYRL_Summary,MATCH(P58,months,0),31)</f>
        <v>0</v>
      </c>
      <c r="R58" s="410" t="s">
        <v>188</v>
      </c>
      <c r="S58" s="411">
        <f ca="1">INDEX(PYRL_Summary,MATCH(O51,months,0),33)</f>
        <v>0</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45810</v>
      </c>
      <c r="G59" s="56"/>
      <c r="H59" s="63"/>
      <c r="N59" s="386">
        <f ca="1">IF(OR(INDEX(PYRL_Summary,MATCH(O61,months,0),28)="pt",INDEX(PYRL_Summary,MATCH(O61,months,0),28)="pt_casual"),0,IF(N62-N61&gt;=1,1,0))</f>
        <v>0</v>
      </c>
      <c r="O59" s="894" t="str">
        <f>Surname&amp;" "&amp;Name</f>
        <v>Curmi Emma</v>
      </c>
      <c r="P59" s="374" t="str">
        <f>+IDCard</f>
        <v>10506L</v>
      </c>
      <c r="Q59" s="375" t="str">
        <f>+designation</f>
        <v>10. Trainee  Dental Assistant</v>
      </c>
      <c r="R59" s="376" t="s">
        <v>156</v>
      </c>
      <c r="S59" s="377">
        <f ca="1">+S60+S63+S62+S64+S65+S66+S61</f>
        <v>0</v>
      </c>
      <c r="T59" s="378">
        <f>+FS4_Status</f>
        <v>0</v>
      </c>
      <c r="U59" s="572" t="str">
        <f ca="1">INDEX(INDAT,MATCH(O61,(INDIRECT(("months"),TRUE)),0),26)</f>
        <v>PT_CASUAL</v>
      </c>
      <c r="V59" s="379">
        <f ca="1">INDEX(INDAT,MATCH(O61,(INDIRECT(("months"),TRUE)),0),25)</f>
        <v>0</v>
      </c>
      <c r="W59" s="422">
        <f>+$O$8</f>
        <v>46143</v>
      </c>
      <c r="X59" s="423"/>
      <c r="Y59" s="423"/>
      <c r="Z59" s="73"/>
      <c r="AA59" s="73"/>
    </row>
    <row r="60" spans="1:37" ht="20.25" customHeight="1" thickBot="1" x14ac:dyDescent="0.3">
      <c r="E60" s="116" t="s">
        <v>219</v>
      </c>
      <c r="F60" s="115" t="str">
        <f>INDEX([1]!empdata,MATCH(ID,[1]!empid,0),8)</f>
        <v>10. Trainee  Dental Assistant</v>
      </c>
      <c r="G60" s="56"/>
      <c r="H60" s="63"/>
      <c r="N60" s="387">
        <f ca="1">IF(AND(OR((INDEX(PYRL_Summary,MATCH(O61,months,0),28))="PT",( INDEX(PYRL_Summary,MATCH(O61,months,0),28))="PT_casual" ),(N62-N61&gt;=1)),1,0)</f>
        <v>1</v>
      </c>
      <c r="O60" s="895"/>
      <c r="P60" s="416" t="s">
        <v>161</v>
      </c>
      <c r="Q60" s="380">
        <f ca="1">INDEX(PYRL_Summary,MATCH(O61,months,0),5)</f>
        <v>0</v>
      </c>
      <c r="R60" s="381" t="s">
        <v>94</v>
      </c>
      <c r="S60" s="382">
        <f ca="1">INDEX(PYRL_Summary,MATCH(O61,months,0),7)</f>
        <v>0</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PT_CASUAL</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0</v>
      </c>
      <c r="U61" s="372">
        <f ca="1">INDEX(PYRL_Summary,MATCH(O61,months,0),22)</f>
        <v>0</v>
      </c>
      <c r="V61" s="373">
        <f ca="1">INDEX(PYRL_Summary,MATCH(O61,months,0),23)</f>
        <v>0</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f>INDEX([1]!empdata,MATCH(ID,[1]!empid,0),15)</f>
        <v>0</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0</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2025006</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0</v>
      </c>
      <c r="X64" s="577"/>
    </row>
    <row r="65" spans="5:37" ht="15.75" customHeight="1" thickBot="1" x14ac:dyDescent="0.3">
      <c r="E65" s="925" t="s">
        <v>224</v>
      </c>
      <c r="F65" s="926"/>
      <c r="G65" s="103">
        <f ca="1">+Med_Tot</f>
        <v>689.23747980769235</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 xml:space="preserve"> </v>
      </c>
      <c r="R65" s="100">
        <f ca="1">IF((INDEX(PYRL_Summary,MATCH(O61,months,0),13)&gt;=0.01),(INDEX(PYRL_Summary,MATCH(O61,months,0),13)),0)</f>
        <v>0</v>
      </c>
      <c r="S65" s="102">
        <f ca="1">+P65+R65</f>
        <v>0</v>
      </c>
      <c r="T65" s="889" t="str">
        <f>+IBAN</f>
        <v>MT46VALL22013000000050017560693</v>
      </c>
      <c r="U65" s="890"/>
      <c r="V65" s="891"/>
    </row>
    <row r="66" spans="5:37" ht="16.5" customHeight="1" thickBot="1" x14ac:dyDescent="0.3">
      <c r="E66" s="952" t="s">
        <v>226</v>
      </c>
      <c r="F66" s="953"/>
      <c r="G66" s="112">
        <f ca="1">+PREVFS3+Med_Tot</f>
        <v>689.23747980769235</v>
      </c>
      <c r="H66" s="114" t="e">
        <f ca="1">IF(grossyearly&lt;F68,1,IF(grossyearly&lt;F69,2,IF(grossyearly&lt;F70,3,IF(grossyearly&lt;F71,4,5))))</f>
        <v>#N/A</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0</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0max1</v>
      </c>
      <c r="F68" s="66" t="e">
        <f>+VLOOKUP(E68,SStable,4,)</f>
        <v>#N/A</v>
      </c>
      <c r="G68" s="109" t="e">
        <f>+VLOOKUP(E68,SStable,5,)</f>
        <v>#N/A</v>
      </c>
      <c r="H68" s="104" t="e">
        <f>+VLOOKUP(E68,SStable,6,)</f>
        <v>#N/A</v>
      </c>
      <c r="N68" s="388">
        <f ca="1">INDEX(PYRL_Summary,MATCH(O61,months,0),4)</f>
        <v>4</v>
      </c>
      <c r="O68" s="389" t="s">
        <v>187</v>
      </c>
      <c r="P68" s="390">
        <f>+O51</f>
        <v>46113</v>
      </c>
      <c r="Q68" s="391">
        <f ca="1">INDEX(PYRL_Summary,MATCH(P68,months,0),31)</f>
        <v>0</v>
      </c>
      <c r="R68" s="392" t="s">
        <v>188</v>
      </c>
      <c r="S68" s="393">
        <f ca="1">INDEX(PYRL_Summary,MATCH(O61,months,0),33)</f>
        <v>0</v>
      </c>
      <c r="T68" s="425" t="str">
        <f>+Clinic_add</f>
        <v>7,  Mediatrix, Sanctuary Str. Zabbar ZBR1010
8, Mediatrix, Guze Duca Str., Qormi QRM9088</v>
      </c>
      <c r="U68" s="426"/>
      <c r="V68" s="427" t="s">
        <v>189</v>
      </c>
    </row>
    <row r="69" spans="5:37" ht="27" customHeight="1" thickBot="1" x14ac:dyDescent="0.3">
      <c r="E69" s="80" t="str">
        <f>CONCATENATE(FS4_Status,"max",2)</f>
        <v>0max2</v>
      </c>
      <c r="F69" s="66" t="e">
        <f>+VLOOKUP(E69,SStable,4,)</f>
        <v>#N/A</v>
      </c>
      <c r="G69" s="109" t="e">
        <f>+VLOOKUP(E69,SStable,5,)</f>
        <v>#N/A</v>
      </c>
      <c r="H69" s="104" t="e">
        <f>+VLOOKUP(E69,SStable,6,)</f>
        <v>#N/A</v>
      </c>
      <c r="N69" s="403">
        <f ca="1">IF(OR(INDEX(PYRL_Summary,MATCH(O71,months,0),28)="pt",INDEX(PYRL_Summary,MATCH(O71,months,0),28)="pt_casual"),0,IF(N72-N71&gt;=1,1,0))</f>
        <v>0</v>
      </c>
      <c r="O69" s="908" t="str">
        <f>Surname&amp;" "&amp;Name</f>
        <v>Curmi Emma</v>
      </c>
      <c r="P69" s="394" t="str">
        <f>+IDCard</f>
        <v>10506L</v>
      </c>
      <c r="Q69" s="395" t="str">
        <f>+designation</f>
        <v>10. Trainee  Dental Assistant</v>
      </c>
      <c r="R69" s="396" t="s">
        <v>156</v>
      </c>
      <c r="S69" s="397">
        <f ca="1">+S70+S73+S72+S74+S75+S76+S71</f>
        <v>11.409454807692304</v>
      </c>
      <c r="T69" s="431">
        <f>+FS4_Status</f>
        <v>0</v>
      </c>
      <c r="U69" s="573" t="str">
        <f ca="1">INDEX(INDAT,MATCH(O71,(INDIRECT(("months"),TRUE)),0),26)</f>
        <v>PT_CASUAL</v>
      </c>
      <c r="V69" s="432">
        <f ca="1">INDEX(INDAT,MATCH(O71,(INDIRECT(("months"),TRUE)),0),25)</f>
        <v>0</v>
      </c>
      <c r="W69" s="412">
        <f>+$O$9</f>
        <v>46174</v>
      </c>
      <c r="X69" s="424"/>
      <c r="Y69" s="424"/>
      <c r="Z69" s="73"/>
      <c r="AA69" s="73"/>
    </row>
    <row r="70" spans="5:37" ht="20.25" customHeight="1" thickBot="1" x14ac:dyDescent="0.3">
      <c r="E70" s="80" t="str">
        <f>CONCATENATE(FS4_Status,"max",3)</f>
        <v>0max3</v>
      </c>
      <c r="F70" s="66" t="e">
        <f>+VLOOKUP(E70,SStable,4,)</f>
        <v>#N/A</v>
      </c>
      <c r="G70" s="109" t="e">
        <f>+VLOOKUP(E70,SStable,5,)</f>
        <v>#N/A</v>
      </c>
      <c r="H70" s="104" t="e">
        <f>+VLOOKUP(E70,SStable,6,)</f>
        <v>#N/A</v>
      </c>
      <c r="N70" s="404">
        <f ca="1">IF(AND(OR((INDEX(PYRL_Summary,MATCH(O71,months,0),28))="PT",( INDEX(PYRL_Summary,MATCH(O71,months,0),28))="PT_casual" ),(N72-N71&gt;=1)),1,0)</f>
        <v>1</v>
      </c>
      <c r="O70" s="909"/>
      <c r="P70" s="415" t="s">
        <v>161</v>
      </c>
      <c r="Q70" s="414">
        <f ca="1">INDEX(PYRL_Summary,MATCH(O71,months,0),5)</f>
        <v>0</v>
      </c>
      <c r="R70" s="398" t="s">
        <v>94</v>
      </c>
      <c r="S70" s="399">
        <f ca="1">INDEX(PYRL_Summary,MATCH(O71,months,0),7)</f>
        <v>0</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0max4</v>
      </c>
      <c r="F71" s="66" t="e">
        <f>+VLOOKUP(E71,SStable,4,)</f>
        <v>#N/A</v>
      </c>
      <c r="G71" s="109" t="e">
        <f>+VLOOKUP(E71,SStable,5,)</f>
        <v>#N/A</v>
      </c>
      <c r="H71" s="104" t="e">
        <f>+VLOOKUP(E71,SStable,6,)</f>
        <v>#N/A</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0</v>
      </c>
      <c r="U71" s="358">
        <f ca="1">INDEX(PYRL_Summary,MATCH(O71,months,0),22)</f>
        <v>0</v>
      </c>
      <c r="V71" s="359">
        <f ca="1">INDEX(PYRL_Summary,MATCH(O71,months,0),23)</f>
        <v>0</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0max5</v>
      </c>
      <c r="F72" s="66" t="s">
        <v>230</v>
      </c>
      <c r="G72" s="109" t="e">
        <f>+VLOOKUP(E72,SStable,5,)</f>
        <v>#N/A</v>
      </c>
      <c r="H72" s="104" t="e">
        <f>+VLOOKUP(E72,SStable,6,)</f>
        <v>#N/A</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0</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2025006</v>
      </c>
      <c r="P73" s="195" t="s">
        <v>172</v>
      </c>
      <c r="Q73" s="195"/>
      <c r="R73" s="194"/>
      <c r="S73" s="193">
        <f ca="1">INDEX(PYRL_Summary,MATCH(O71,months,0),11)</f>
        <v>11.409454807692304</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v>
      </c>
      <c r="X74" s="577"/>
    </row>
    <row r="75" spans="5:37" ht="15.75" customHeight="1" thickBot="1" x14ac:dyDescent="0.3">
      <c r="E75" s="293"/>
      <c r="F75" s="294" t="s">
        <v>130</v>
      </c>
      <c r="G75" s="295" t="e">
        <f ca="1">IF(AND(Timer="pt",grossyearly&lt;10000),+ptrate,IF(grossyearly&lt;$F$68,$G$68,IF(grossyearly&lt;$F$69,$G$69,IF(grossyearly&lt;$F$70,$G$70,IF(grossyearly&lt;$F$71,$G$71,$G$72)))))</f>
        <v>#N/A</v>
      </c>
      <c r="H75" s="296" t="e">
        <f ca="1">IF(grossyearly&lt;$F$68,$H$68,IF(grossyearly&lt;$F$69,$H$69,IF(grossyearly&lt;$F$70,$H$70,IF(grossyearly&lt;$F$71,$H$71,$H$72))))</f>
        <v>#N/A</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 xml:space="preserve"> </v>
      </c>
      <c r="R75" s="100">
        <f ca="1">IF((INDEX(PYRL_Summary,MATCH(O71,months,0),13)&gt;=0.01),(INDEX(PYRL_Summary,MATCH(O71,months,0),13)),0)</f>
        <v>0</v>
      </c>
      <c r="S75" s="102">
        <f ca="1">+P75+R75</f>
        <v>0</v>
      </c>
      <c r="T75" s="889" t="str">
        <f>+IBAN</f>
        <v>MT46VALL22013000000050017560693</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10.409454807692304</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0</v>
      </c>
      <c r="R78" s="410" t="s">
        <v>188</v>
      </c>
      <c r="S78" s="411">
        <f ca="1">INDEX(PYRL_Summary,MATCH(O71,months,0),33)</f>
        <v>0</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0</v>
      </c>
      <c r="O79" s="894" t="str">
        <f>Surname&amp;" "&amp;Name</f>
        <v>Curmi Emma</v>
      </c>
      <c r="P79" s="374" t="str">
        <f>+IDCard</f>
        <v>10506L</v>
      </c>
      <c r="Q79" s="375" t="str">
        <f>+designation</f>
        <v>10. Trainee  Dental Assistant</v>
      </c>
      <c r="R79" s="376" t="s">
        <v>156</v>
      </c>
      <c r="S79" s="377">
        <f ca="1">+S80+S83+S82+S84+S85+S86+S81</f>
        <v>0</v>
      </c>
      <c r="T79" s="378">
        <f>+FS4_Status</f>
        <v>0</v>
      </c>
      <c r="U79" s="572" t="str">
        <f ca="1">INDEX(INDAT,MATCH(O81,(INDIRECT(("months"),TRUE)),0),26)</f>
        <v>PT_CASUAL</v>
      </c>
      <c r="V79" s="379">
        <f ca="1">INDEX(INDAT,MATCH(O81,(INDIRECT(("months"),TRUE)),0),25)</f>
        <v>0</v>
      </c>
      <c r="W79" s="422">
        <f>+$O$10</f>
        <v>46204</v>
      </c>
      <c r="X79" s="423"/>
      <c r="Y79" s="423"/>
      <c r="Z79" s="73"/>
      <c r="AA79" s="73"/>
    </row>
    <row r="80" spans="5:37" ht="20.25" customHeight="1" thickBot="1" x14ac:dyDescent="0.3">
      <c r="N80" s="387">
        <f ca="1">IF(AND(OR((INDEX(PYRL_Summary,MATCH(O81,months,0),28))="PT",( INDEX(PYRL_Summary,MATCH(O81,months,0),28))="PT_casual" ),(N82-N81&gt;=1)),1,0)</f>
        <v>1</v>
      </c>
      <c r="O80" s="895"/>
      <c r="P80" s="416" t="s">
        <v>161</v>
      </c>
      <c r="Q80" s="380">
        <f ca="1">INDEX(PYRL_Summary,MATCH(O81,months,0),5)</f>
        <v>0</v>
      </c>
      <c r="R80" s="381" t="s">
        <v>94</v>
      </c>
      <c r="S80" s="382">
        <f ca="1">INDEX(PYRL_Summary,MATCH(O81,months,0),7)</f>
        <v>0</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0</v>
      </c>
      <c r="U81" s="372">
        <f ca="1">INDEX(PYRL_Summary,MATCH(O81,months,0),22)</f>
        <v>0</v>
      </c>
      <c r="V81" s="373">
        <f ca="1">INDEX(PYRL_Summary,MATCH(O81,months,0),23)</f>
        <v>0</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0</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2025006</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 xml:space="preserve"> </v>
      </c>
      <c r="R85" s="100">
        <f ca="1">IF((INDEX(PYRL_Summary,MATCH(O81,months,0),13)&gt;=0.01),(INDEX(PYRL_Summary,MATCH(O81,months,0),13)),0)</f>
        <v>0</v>
      </c>
      <c r="S85" s="102">
        <f ca="1">+P85+R85</f>
        <v>0</v>
      </c>
      <c r="T85" s="889" t="str">
        <f>+IBAN</f>
        <v>MT46VALL22013000000050017560693</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0</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0</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0</v>
      </c>
      <c r="O89" s="908" t="str">
        <f>Surname&amp;" "&amp;Name</f>
        <v>Curmi Emma</v>
      </c>
      <c r="P89" s="394" t="str">
        <f>+IDCard</f>
        <v>10506L</v>
      </c>
      <c r="Q89" s="395" t="str">
        <f>+designation</f>
        <v>10. Trainee  Dental Assistant</v>
      </c>
      <c r="R89" s="396" t="s">
        <v>156</v>
      </c>
      <c r="S89" s="397">
        <f ca="1">+S90+S93+S92+S94+S95+S96+S91</f>
        <v>0</v>
      </c>
      <c r="T89" s="431">
        <f>+FS4_Status</f>
        <v>0</v>
      </c>
      <c r="U89" s="573" t="str">
        <f ca="1">INDEX(INDAT,MATCH(O91,(INDIRECT(("months"),TRUE)),0),26)</f>
        <v>PT_CASUAL</v>
      </c>
      <c r="V89" s="432">
        <f ca="1">INDEX(INDAT,MATCH(O91,(INDIRECT(("months"),TRUE)),0),25)</f>
        <v>0</v>
      </c>
      <c r="W89" s="412">
        <f>+$O$11</f>
        <v>46235</v>
      </c>
      <c r="X89" s="424"/>
      <c r="Y89" s="424"/>
      <c r="Z89" s="73"/>
      <c r="AA89" s="73"/>
    </row>
    <row r="90" spans="14:37" ht="20.25" customHeight="1" thickBot="1" x14ac:dyDescent="0.3">
      <c r="N90" s="404">
        <f ca="1">IF(AND(OR((INDEX(PYRL_Summary,MATCH(O91,months,0),28))="PT",( INDEX(PYRL_Summary,MATCH(O91,months,0),28))="PT_casual" ),(N92-N91&gt;=1)),1,0)</f>
        <v>1</v>
      </c>
      <c r="O90" s="909"/>
      <c r="P90" s="415" t="s">
        <v>161</v>
      </c>
      <c r="Q90" s="414">
        <f ca="1">INDEX(PYRL_Summary,MATCH(O91,months,0),5)</f>
        <v>0</v>
      </c>
      <c r="R90" s="398" t="s">
        <v>94</v>
      </c>
      <c r="S90" s="399">
        <f ca="1">INDEX(PYRL_Summary,MATCH(O91,months,0),7)</f>
        <v>0</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0</v>
      </c>
      <c r="U91" s="358">
        <f ca="1">INDEX(PYRL_Summary,MATCH(O91,months,0),22)</f>
        <v>0</v>
      </c>
      <c r="V91" s="359">
        <f ca="1">INDEX(PYRL_Summary,MATCH(O91,months,0),23)</f>
        <v>0</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0</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2025006</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 xml:space="preserve"> </v>
      </c>
      <c r="R95" s="100">
        <f ca="1">IF((INDEX(PYRL_Summary,MATCH(O91,months,0),13)&gt;=0.01),(INDEX(PYRL_Summary,MATCH(O91,months,0),13)),0)</f>
        <v>0</v>
      </c>
      <c r="S95" s="102">
        <f ca="1">+P95+R95</f>
        <v>0</v>
      </c>
      <c r="T95" s="889" t="str">
        <f>+IBAN</f>
        <v>MT46VALL22013000000050017560693</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0</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0</v>
      </c>
      <c r="R98" s="410" t="s">
        <v>188</v>
      </c>
      <c r="S98" s="411">
        <f ca="1">INDEX(PYRL_Summary,MATCH(O91,months,0),33)</f>
        <v>0</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0</v>
      </c>
      <c r="O99" s="894" t="str">
        <f>Surname&amp;" "&amp;Name</f>
        <v>Curmi Emma</v>
      </c>
      <c r="P99" s="374" t="str">
        <f>+IDCard</f>
        <v>10506L</v>
      </c>
      <c r="Q99" s="375" t="str">
        <f>+designation</f>
        <v>10. Trainee  Dental Assistant</v>
      </c>
      <c r="R99" s="376" t="s">
        <v>156</v>
      </c>
      <c r="S99" s="377">
        <f ca="1">+S100+S103+S102+S104+S105+S106+S101</f>
        <v>0</v>
      </c>
      <c r="T99" s="378">
        <f>+FS4_Status</f>
        <v>0</v>
      </c>
      <c r="U99" s="572" t="str">
        <f ca="1">INDEX(INDAT,MATCH(O101,(INDIRECT(("months"),TRUE)),0),26)</f>
        <v>PT_CASUAL</v>
      </c>
      <c r="V99" s="379">
        <f ca="1">INDEX(INDAT,MATCH(O101,(INDIRECT(("months"),TRUE)),0),25)</f>
        <v>0</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1</v>
      </c>
      <c r="O100" s="895"/>
      <c r="P100" s="416" t="s">
        <v>161</v>
      </c>
      <c r="Q100" s="380">
        <f ca="1">INDEX(PYRL_Summary,MATCH(O101,months,0),5)</f>
        <v>0</v>
      </c>
      <c r="R100" s="381" t="s">
        <v>94</v>
      </c>
      <c r="S100" s="382">
        <f ca="1">INDEX(PYRL_Summary,MATCH(O101,months,0),7)</f>
        <v>0</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0</v>
      </c>
      <c r="U101" s="372">
        <f ca="1">INDEX(PYRL_Summary,MATCH(O101,months,0),22)</f>
        <v>0</v>
      </c>
      <c r="V101" s="373">
        <f ca="1">INDEX(PYRL_Summary,MATCH(O101,months,0),23)</f>
        <v>0</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0</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2025006</v>
      </c>
      <c r="P103" s="365" t="s">
        <v>172</v>
      </c>
      <c r="Q103" s="365"/>
      <c r="R103" s="366"/>
      <c r="S103" s="367">
        <f ca="1">INDEX(PYRL_Summary,MATCH(O101,months,0),11)</f>
        <v>0</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0</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 xml:space="preserve"> </v>
      </c>
      <c r="R105" s="100">
        <f ca="1">IF((INDEX(PYRL_Summary,MATCH(O101,months,0),13)&gt;=0.01),(INDEX(PYRL_Summary,MATCH(O101,months,0),13)),0)</f>
        <v>0</v>
      </c>
      <c r="S105" s="102">
        <f ca="1">+P105+R105</f>
        <v>0</v>
      </c>
      <c r="T105" s="889" t="str">
        <f>+IBAN</f>
        <v>MT46VALL22013000000050017560693</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0</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0</v>
      </c>
      <c r="R108" s="392" t="s">
        <v>188</v>
      </c>
      <c r="S108" s="393">
        <f ca="1">INDEX(PYRL_Summary,MATCH(O101,months,0),33)</f>
        <v>0</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0</v>
      </c>
      <c r="O109" s="908" t="str">
        <f>Surname&amp;" "&amp;Name</f>
        <v>Curmi Emma</v>
      </c>
      <c r="P109" s="394" t="str">
        <f>+IDCard</f>
        <v>10506L</v>
      </c>
      <c r="Q109" s="395" t="str">
        <f>+designation</f>
        <v>10. Trainee  Dental Assistant</v>
      </c>
      <c r="R109" s="396" t="s">
        <v>156</v>
      </c>
      <c r="S109" s="397">
        <f ca="1">+S110+S113+S112+S114+S115+S116+S111</f>
        <v>0</v>
      </c>
      <c r="T109" s="431">
        <f>+FS4_Status</f>
        <v>0</v>
      </c>
      <c r="U109" s="573" t="str">
        <f ca="1">INDEX(INDAT,MATCH(W109,(INDIRECT(("months"),TRUE)),0),26)</f>
        <v>PT_CASUAL</v>
      </c>
      <c r="V109" s="432">
        <f ca="1">INDEX(INDAT,MATCH(W109,(INDIRECT(("months"),TRUE)),0),25)</f>
        <v>0</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1</v>
      </c>
      <c r="O110" s="909"/>
      <c r="P110" s="415" t="s">
        <v>161</v>
      </c>
      <c r="Q110" s="414">
        <f ca="1">INDEX(PYRL_Summary,MATCH(W109,months,0),5)</f>
        <v>0</v>
      </c>
      <c r="R110" s="398" t="s">
        <v>94</v>
      </c>
      <c r="S110" s="399">
        <f ca="1">INDEX(PYRL_Summary,MATCH(W109,months,0),7)</f>
        <v>0</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0</v>
      </c>
      <c r="U111" s="358">
        <f ca="1">INDEX(PYRL_Summary,MATCH(W109,months,0),22)</f>
        <v>0</v>
      </c>
      <c r="V111" s="359">
        <f ca="1">INDEX(PYRL_Summary,MATCH(W109,months,0),23)</f>
        <v>0</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0</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2025006</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 xml:space="preserve"> </v>
      </c>
      <c r="R115" s="100">
        <f ca="1">IF((INDEX(PYRL_Summary,MATCH(W109,months,0),13)&gt;=0.01),(INDEX(PYRL_Summary,MATCH(W109,months,0),13)),0)</f>
        <v>0</v>
      </c>
      <c r="S115" s="102">
        <f ca="1">+P115+R115</f>
        <v>0</v>
      </c>
      <c r="T115" s="889" t="str">
        <f>+IBAN</f>
        <v>MT46VALL22013000000050017560693</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0</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0</v>
      </c>
      <c r="R118" s="410" t="s">
        <v>188</v>
      </c>
      <c r="S118" s="411">
        <f ca="1">INDEX(PYRL_Summary,MATCH(W109,months,0),33)</f>
        <v>0</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0</v>
      </c>
      <c r="O119" s="894" t="str">
        <f>Surname&amp;" "&amp;Name</f>
        <v>Curmi Emma</v>
      </c>
      <c r="P119" s="374" t="str">
        <f>+IDCard</f>
        <v>10506L</v>
      </c>
      <c r="Q119" s="375" t="str">
        <f>+designation</f>
        <v>10. Trainee  Dental Assistant</v>
      </c>
      <c r="R119" s="376" t="s">
        <v>156</v>
      </c>
      <c r="S119" s="377">
        <f ca="1">+S120+S123+S122+S124+S125+S126+S121</f>
        <v>0</v>
      </c>
      <c r="T119" s="378">
        <f>+FS4_Status</f>
        <v>0</v>
      </c>
      <c r="U119" s="572" t="str">
        <f ca="1">INDEX(INDAT,MATCH(W119,(INDIRECT(("months"),TRUE)),0),26)</f>
        <v>PT_CASUAL</v>
      </c>
      <c r="V119" s="379">
        <f ca="1">INDEX(INDAT,MATCH(W119,(INDIRECT(("months"),TRUE)),0),25)</f>
        <v>0</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1</v>
      </c>
      <c r="O120" s="895"/>
      <c r="P120" s="416" t="s">
        <v>161</v>
      </c>
      <c r="Q120" s="380">
        <f ca="1">INDEX(PYRL_Summary,MATCH(W119,months,0),5)</f>
        <v>0</v>
      </c>
      <c r="R120" s="381" t="s">
        <v>94</v>
      </c>
      <c r="S120" s="382">
        <f ca="1">INDEX(PYRL_Summary,MATCH(W119,months,0),7)</f>
        <v>0</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0</v>
      </c>
      <c r="U121" s="372">
        <f ca="1">INDEX(PYRL_Summary,MATCH(W119,months,0),22)</f>
        <v>0</v>
      </c>
      <c r="V121" s="373">
        <f ca="1">INDEX(PYRL_Summary,MATCH(W119,months,0),23)</f>
        <v>0</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0</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2025006</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 xml:space="preserve"> </v>
      </c>
      <c r="R125" s="100">
        <f ca="1">IF((INDEX(PYRL_Summary,MATCH(W119,months,0),13)&gt;=0.01),(INDEX(PYRL_Summary,MATCH(W119,months,0),13)),0)</f>
        <v>0</v>
      </c>
      <c r="S125" s="102">
        <f ca="1">+P125+R125</f>
        <v>0</v>
      </c>
      <c r="T125" s="889" t="str">
        <f>+IBAN</f>
        <v>MT46VALL22013000000050017560693</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0</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0</v>
      </c>
      <c r="R128" s="392" t="s">
        <v>188</v>
      </c>
      <c r="S128" s="393">
        <f ca="1">INDEX(PYRL_Summary,MATCH(W119,months,0),33)</f>
        <v>0</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0</v>
      </c>
      <c r="O129" s="908" t="str">
        <f>Surname&amp;" "&amp;Name</f>
        <v>Curmi Emma</v>
      </c>
      <c r="P129" s="394" t="str">
        <f>+IDCard</f>
        <v>10506L</v>
      </c>
      <c r="Q129" s="395" t="str">
        <f>+designation</f>
        <v>10. Trainee  Dental Assistant</v>
      </c>
      <c r="R129" s="396" t="s">
        <v>156</v>
      </c>
      <c r="S129" s="397">
        <f ca="1">+S130+S133+S132+S134+S135+S136+S131</f>
        <v>0</v>
      </c>
      <c r="T129" s="431">
        <f>+FS4_Status</f>
        <v>0</v>
      </c>
      <c r="U129" s="573" t="str">
        <f ca="1">INDEX(INDAT,MATCH(W129,(INDIRECT(("months"),TRUE)),0),26)</f>
        <v>PT_CASUAL</v>
      </c>
      <c r="V129" s="432">
        <f ca="1">INDEX(INDAT,MATCH(W129,(INDIRECT(("months"),TRUE)),0),25)</f>
        <v>0</v>
      </c>
      <c r="W129" s="412">
        <f>+$O$131</f>
        <v>46357</v>
      </c>
      <c r="X129" s="424"/>
      <c r="Y129" s="424"/>
      <c r="Z129" s="73"/>
      <c r="AA129" s="73"/>
    </row>
    <row r="130" spans="14:37" ht="20.25" customHeight="1" thickBot="1" x14ac:dyDescent="0.3">
      <c r="N130" s="404"/>
      <c r="O130" s="909"/>
      <c r="P130" s="415" t="s">
        <v>161</v>
      </c>
      <c r="Q130" s="414">
        <f ca="1">INDEX(PYRL_Summary,MATCH(W129,months,0),5)</f>
        <v>0</v>
      </c>
      <c r="R130" s="398" t="s">
        <v>94</v>
      </c>
      <c r="S130" s="399">
        <f ca="1">INDEX(PYRL_Summary,MATCH(W129,months,0),7)</f>
        <v>0</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0</v>
      </c>
      <c r="U131" s="358">
        <f ca="1">INDEX(PYRL_Summary,MATCH(W129,months,0),22)</f>
        <v>0</v>
      </c>
      <c r="V131" s="359">
        <f ca="1">INDEX(PYRL_Summary,MATCH(W129,months,0),23)</f>
        <v>0</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0</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2025006</v>
      </c>
      <c r="P133" s="195" t="s">
        <v>172</v>
      </c>
      <c r="Q133" s="195"/>
      <c r="R133" s="194"/>
      <c r="S133" s="193">
        <f ca="1">INDEX(PYRL_Summary,MATCH(W129,months,0),11)</f>
        <v>0</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 xml:space="preserve"> </v>
      </c>
      <c r="R135" s="100">
        <f ca="1">IF((INDEX(PYRL_Summary,MATCH(W129,months,0),13)&gt;=0.01),(INDEX(PYRL_Summary,MATCH(W129,months,0),13)),0)</f>
        <v>0</v>
      </c>
      <c r="S135" s="102">
        <f ca="1">+P135+R135</f>
        <v>0</v>
      </c>
      <c r="T135" s="889" t="str">
        <f>+IBAN</f>
        <v>MT46VALL22013000000050017560693</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0</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0</v>
      </c>
      <c r="R138" s="410" t="s">
        <v>188</v>
      </c>
      <c r="S138" s="411">
        <f ca="1">INDEX(PYRL_Summary,MATCH(W129,months,0),33)</f>
        <v>0</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144" priority="29">
      <formula>$P25=0</formula>
    </cfRule>
  </conditionalFormatting>
  <conditionalFormatting sqref="Q25:R25">
    <cfRule type="expression" dxfId="143" priority="28">
      <formula>$R25=0</formula>
    </cfRule>
  </conditionalFormatting>
  <conditionalFormatting sqref="S25">
    <cfRule type="expression" dxfId="142" priority="27">
      <formula>$S25=0</formula>
    </cfRule>
  </conditionalFormatting>
  <conditionalFormatting sqref="S26">
    <cfRule type="expression" dxfId="141" priority="25">
      <formula>$S$46&gt;0.01</formula>
    </cfRule>
    <cfRule type="expression" dxfId="140" priority="26">
      <formula>$S$46=0</formula>
    </cfRule>
  </conditionalFormatting>
  <conditionalFormatting sqref="T23 T33 T43 T53 T63 T73 T83 T93 T103 T113 T123 T133">
    <cfRule type="expression" dxfId="139" priority="24" stopIfTrue="1">
      <formula>"$R$23=0"""</formula>
    </cfRule>
  </conditionalFormatting>
  <conditionalFormatting sqref="O26:Q26">
    <cfRule type="expression" dxfId="138" priority="23">
      <formula>$Q$26=0</formula>
    </cfRule>
  </conditionalFormatting>
  <conditionalFormatting sqref="V23">
    <cfRule type="expression" dxfId="137" priority="22">
      <formula>$V$23=0</formula>
    </cfRule>
  </conditionalFormatting>
  <conditionalFormatting sqref="O35:P35">
    <cfRule type="expression" dxfId="136" priority="21">
      <formula>$P35=0</formula>
    </cfRule>
  </conditionalFormatting>
  <conditionalFormatting sqref="Q35:R35">
    <cfRule type="expression" dxfId="135" priority="20">
      <formula>$R35=0</formula>
    </cfRule>
  </conditionalFormatting>
  <conditionalFormatting sqref="S35">
    <cfRule type="expression" dxfId="134" priority="19">
      <formula>$S35=0</formula>
    </cfRule>
  </conditionalFormatting>
  <conditionalFormatting sqref="S36">
    <cfRule type="expression" dxfId="133" priority="17">
      <formula>$S$46&gt;0.01</formula>
    </cfRule>
    <cfRule type="expression" dxfId="132" priority="18">
      <formula>$S$46=0</formula>
    </cfRule>
  </conditionalFormatting>
  <conditionalFormatting sqref="O36:Q36">
    <cfRule type="expression" dxfId="131" priority="16">
      <formula>$Q$26=0</formula>
    </cfRule>
  </conditionalFormatting>
  <conditionalFormatting sqref="V33">
    <cfRule type="expression" dxfId="130" priority="15">
      <formula>$V$23=0</formula>
    </cfRule>
  </conditionalFormatting>
  <conditionalFormatting sqref="O45:P45 O65:P65 O85:P85 O105:P105 O125:P125">
    <cfRule type="expression" dxfId="129" priority="14">
      <formula>$P45=0</formula>
    </cfRule>
  </conditionalFormatting>
  <conditionalFormatting sqref="Q45:R45 Q65:R65 Q85:R85 Q105:R105 Q125:R125">
    <cfRule type="expression" dxfId="128" priority="13">
      <formula>$R45=0</formula>
    </cfRule>
  </conditionalFormatting>
  <conditionalFormatting sqref="S45 S65 S85 S105 S125">
    <cfRule type="expression" dxfId="127" priority="12">
      <formula>$S45=0</formula>
    </cfRule>
  </conditionalFormatting>
  <conditionalFormatting sqref="S46 S66 S86 S106 S126">
    <cfRule type="expression" dxfId="126" priority="10">
      <formula>$S$46&gt;0.01</formula>
    </cfRule>
    <cfRule type="expression" dxfId="125" priority="11">
      <formula>$S$46=0</formula>
    </cfRule>
  </conditionalFormatting>
  <conditionalFormatting sqref="O46:Q46 O66:Q66 O86:Q86 O106:Q106 O126:Q126">
    <cfRule type="expression" dxfId="124" priority="9">
      <formula>$Q$26=0</formula>
    </cfRule>
  </conditionalFormatting>
  <conditionalFormatting sqref="V43 V63 V83 V103 V123">
    <cfRule type="expression" dxfId="123" priority="8">
      <formula>$V$23=0</formula>
    </cfRule>
  </conditionalFormatting>
  <conditionalFormatting sqref="O55:P55 O75:P75 O95:P95 O115:P115 O135:P135">
    <cfRule type="expression" dxfId="122" priority="7">
      <formula>$P55=0</formula>
    </cfRule>
  </conditionalFormatting>
  <conditionalFormatting sqref="Q55:R55 Q75:R75 Q95:R95 Q115:R115 Q135:R135">
    <cfRule type="expression" dxfId="121" priority="6">
      <formula>$R55=0</formula>
    </cfRule>
  </conditionalFormatting>
  <conditionalFormatting sqref="S55 S75 S95 S115 S135">
    <cfRule type="expression" dxfId="120" priority="5">
      <formula>$S55=0</formula>
    </cfRule>
  </conditionalFormatting>
  <conditionalFormatting sqref="S56 S76 S96 S116 S136">
    <cfRule type="expression" dxfId="119" priority="3">
      <formula>$S$46&gt;0.01</formula>
    </cfRule>
    <cfRule type="expression" dxfId="118" priority="4">
      <formula>$S$46=0</formula>
    </cfRule>
  </conditionalFormatting>
  <conditionalFormatting sqref="O56:Q56 O76:Q76 O96:Q96 O116:Q116 O136:Q136">
    <cfRule type="expression" dxfId="117" priority="2">
      <formula>$Q$26=0</formula>
    </cfRule>
  </conditionalFormatting>
  <conditionalFormatting sqref="V53 V73 V93 V113 V133">
    <cfRule type="expression" dxfId="116" priority="1">
      <formula>$V$23=0</formula>
    </cfRule>
  </conditionalFormatting>
  <hyperlinks>
    <hyperlink ref="F57" r:id="rId1" display="drchrisgauci@gmail.com" xr:uid="{00000000-0004-0000-2000-000000000000}"/>
  </hyperlinks>
  <printOptions horizontalCentered="1"/>
  <pageMargins left="0.25" right="0.25" top="0.25" bottom="0.25" header="0.3" footer="0.3"/>
  <pageSetup paperSize="9"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14849"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14850"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14851"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14852"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14853"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14854"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14855"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14856"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14857"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14858"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14859"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14860"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14861"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9">
    <tabColor rgb="FFED7D31"/>
    <pageSetUpPr fitToPage="1"/>
  </sheetPr>
  <dimension ref="A1:BJ149"/>
  <sheetViews>
    <sheetView topLeftCell="J22" workbookViewId="0">
      <selection activeCell="X34" sqref="X34"/>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AFalzon</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2025007</v>
      </c>
      <c r="O2" s="810" t="str">
        <f>CONCATENATE(LEFT(Name,1),Surname)</f>
        <v>AFalzon</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7.87</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8.0009999999999994</v>
      </c>
      <c r="O4" s="213">
        <f>+DATA!A3</f>
        <v>46023</v>
      </c>
      <c r="P4" s="219">
        <f ca="1">+INDIRECT("[EMPINFO.xlsm]"&amp;$O$2&amp;"!G4")</f>
        <v>4</v>
      </c>
      <c r="Q4" s="215">
        <f ca="1">IF(AZ4="active",INDIRECT("[EMPINFO.xlsm]"&amp;$O$2&amp;"!H4"),0)</f>
        <v>0</v>
      </c>
      <c r="R4" s="239">
        <f ca="1">IF(AZ4&lt;&gt;"active",0,N3+COLA)</f>
        <v>8.0009999999999994</v>
      </c>
      <c r="S4" s="216">
        <f t="shared" ref="S4:S15" ca="1" si="1">+Q4*R4*4.33333333333333*AO4/AX4</f>
        <v>0</v>
      </c>
      <c r="T4" s="220">
        <f t="shared" ref="T4:T15" ca="1" si="2">+BA4*R4</f>
        <v>103.45292999999999</v>
      </c>
      <c r="U4" s="218">
        <f t="shared" ref="U4:U15" ca="1" si="3">-AY4*R4</f>
        <v>0</v>
      </c>
      <c r="V4" s="220">
        <f ca="1">+janoth*janhrrt</f>
        <v>0</v>
      </c>
      <c r="W4" s="201"/>
      <c r="X4" s="218">
        <f t="shared" ref="X4:X15" si="4">IF((AT3=0),AV3,(AV3-(AV3/(Q3*P3)*AT3)))</f>
        <v>0</v>
      </c>
      <c r="Y4" s="803">
        <f t="shared" ref="Y4:Y15" si="5">IF((AT3=0),AW3,(AW3-(AW3/(Q3*P3)*AT3*1.5)))</f>
        <v>0</v>
      </c>
      <c r="Z4" s="218">
        <f t="shared" ref="Z4:Z15" ca="1" si="6">+SUM(S4:Y4)</f>
        <v>103.45292999999999</v>
      </c>
      <c r="AA4" s="803">
        <f t="shared" ref="AA4:AA15" ca="1" si="7">IF(OR(AN4="PT",AN4="PT_Casual"),TRUNC((Z4*PT_Rate),0),(TRUNC((Z4*BB4)-(BC4/12),0)))</f>
        <v>10</v>
      </c>
      <c r="AB4" s="218">
        <f ca="1">+INDIRECT("[EMPINFO.xlsm]"&amp;$O$2&amp;"!s4")</f>
        <v>0</v>
      </c>
      <c r="AC4" s="292">
        <v>1.5</v>
      </c>
      <c r="AD4" s="218">
        <f t="shared" ref="AD4:AD15" ca="1" si="8">+AB4*(R4*AC4)</f>
        <v>0</v>
      </c>
      <c r="AE4" s="220">
        <f t="shared" ref="AE4:AE15" ca="1" si="9">+TRUNC((AD4*0.15),0)</f>
        <v>0</v>
      </c>
      <c r="AF4" s="218">
        <f t="shared" ref="AF4:AF15" ca="1" si="10">+AA4+AE4</f>
        <v>10</v>
      </c>
      <c r="AG4" s="803">
        <f t="shared" ref="AG4:AG15" ca="1" si="11">+R4*Q4</f>
        <v>0</v>
      </c>
      <c r="AH4" s="218">
        <f t="shared" ref="AH4:AH15" ca="1" si="12">ROUND(IF(AN4="",0,IF(OR(AN4="PT",AN4="PT_Casual"),0,IF(AM4="B",ROUND(SSCBemployermultiplier*P4,2),IF(AM4="c",SOCSECCRATE*AG4*P4,IF(AM4="D",ROUND(socsecrateD*P4,2)))))),2)</f>
        <v>0</v>
      </c>
      <c r="AI4" s="803">
        <f t="shared" ref="AI4:AI15" ca="1" si="13">ROUND(IF(AN4="",0,IF(OR(AN4="PT",AN4="PT_Casual"),0,IF(AM4="B",ROUND(SSCBemployermultiplier*P4,2),IF(AM4="c",SOCSECCRATE*AG4*P4,IF(AM4="D",ROUND(socsecrateD*P4,2)))))),2)</f>
        <v>0</v>
      </c>
      <c r="AJ4" s="218">
        <f t="shared" ref="AJ4:AJ16" ca="1" si="14">+AH4+AI4</f>
        <v>0</v>
      </c>
      <c r="AK4" s="803">
        <f t="shared" ref="AK4:AK15" ca="1" si="15">ROUND(IF(AN4="",0,IF(OR(AN4="PT",AN4="PT_Casual"),0,IF(AM4="B",SSCBmlfmultiplier*P4,IF(AM4="c",SSCCmlfmultiplier*P4*AG4,IF(AM4="D",SSCDmlfmultiplier*P4))))),2)</f>
        <v>0</v>
      </c>
      <c r="AL4" s="218">
        <f ca="1">+Z4+AH4+AK4</f>
        <v>103.45292999999999</v>
      </c>
      <c r="AM4" s="290">
        <f t="shared" ref="AM4:AM15" ca="1" si="16">IF(AZ4="Active",IF(OR(AN4="PT",AN4="PT_Casual"),0,(IF(AG4&lt;SSCcatBMAX,"B",(IF(AG4&lt;SSCcatCMAX,"C","D"))))),0)</f>
        <v>0</v>
      </c>
      <c r="AN4" s="291" t="str">
        <f t="shared" ref="AN4:AN15" ca="1" si="17">IF(AZ4="active",+Timer,"")</f>
        <v>PT_CASUAL</v>
      </c>
      <c r="AO4" s="223">
        <f ca="1">+INDIRECT("[EMPINFO.xlsm]"&amp;$O$2&amp;"!t4")</f>
        <v>31</v>
      </c>
      <c r="AP4" s="226">
        <f ca="1">+INDIRECT("[EMPINFO.xlsm]"&amp;$O$2&amp;"!o4")</f>
        <v>0</v>
      </c>
      <c r="AQ4" s="840">
        <f ca="1">+INDIRECT("[EMPINFO.xlsm]"&amp;$O$2&amp;"!p4")</f>
        <v>0</v>
      </c>
      <c r="AR4" s="226">
        <f ca="1">+INDIRECT("[EMPINFO.xlsm]"&amp;$O$2&amp;"!j4")</f>
        <v>0</v>
      </c>
      <c r="AS4" s="840">
        <f ca="1">+INDIRECT("[EMPINFO.xlsm]"&amp;$O$2&amp;"!k4")</f>
        <v>0</v>
      </c>
      <c r="AT4" s="226">
        <f ca="1">+INDIRECT("[EMPINFO.xlsm]"&amp;$O$2&amp;"!m4")</f>
        <v>0</v>
      </c>
      <c r="AU4" s="844">
        <f ca="1">+INDIRECT("[EMPINFO.xlsm]"&amp;$O$2&amp;"!n4")</f>
        <v>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12.93</v>
      </c>
      <c r="BB4" s="288" t="e">
        <f t="shared" ref="BB4:BB15" ca="1" si="20">IF(AND(Timer="pt",(Z4*12)&lt;10000),+ptrate,IF((Z4*12)&lt;$F$68,$G$68,IF((Z4*12)&lt;$F$69,$G$69,IF((Z4*12)&lt;$F$70,$G$70,IF((Z4*12)&lt;$F$71,$G$71,$G$72)))))</f>
        <v>#N/A</v>
      </c>
      <c r="BC4" s="289" t="e">
        <f t="shared" ref="BC4:BC15" ca="1" si="21">IF((Z4*12)&lt;$F$68,$H$68,IF((Z4*12)&lt;$F$69,$H$69,IF((Z4*12)&lt;$F$70,$H$70,IF((Z4*12)&lt;$F$71,$H$71,$H$72))))</f>
        <v>#N/A</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8.0009999999999994</v>
      </c>
      <c r="O5" s="213">
        <f>+DATA!A4</f>
        <v>46054</v>
      </c>
      <c r="P5" s="219">
        <f ca="1">+INDIRECT("[EMPINFO.xlsm]"&amp;$O$2&amp;"!G5")</f>
        <v>4</v>
      </c>
      <c r="Q5" s="215">
        <f ca="1">IF(AZ5="active",INDIRECT("[EMPINFO.xlsm]"&amp;$O$2&amp;"!H5"),0)</f>
        <v>0</v>
      </c>
      <c r="R5" s="239">
        <f t="shared" ref="R5:R15" ca="1" si="22">+R4</f>
        <v>8.0009999999999994</v>
      </c>
      <c r="S5" s="216">
        <f t="shared" ca="1" si="1"/>
        <v>0</v>
      </c>
      <c r="T5" s="220">
        <f t="shared" ca="1" si="2"/>
        <v>346.52330999999998</v>
      </c>
      <c r="U5" s="218">
        <f t="shared" ca="1" si="3"/>
        <v>0</v>
      </c>
      <c r="V5" s="220">
        <f ca="1">+feboth*febhrrt</f>
        <v>0</v>
      </c>
      <c r="W5" s="201"/>
      <c r="X5" s="218">
        <f t="shared" ca="1" si="4"/>
        <v>0</v>
      </c>
      <c r="Y5" s="803">
        <f t="shared" ca="1" si="5"/>
        <v>0</v>
      </c>
      <c r="Z5" s="218">
        <f t="shared" ca="1" si="6"/>
        <v>346.52330999999998</v>
      </c>
      <c r="AA5" s="803">
        <f t="shared" ca="1" si="7"/>
        <v>34</v>
      </c>
      <c r="AB5" s="218">
        <f ca="1">+INDIRECT("[EMPINFO.xlsm]"&amp;$O$2&amp;"!s5")</f>
        <v>0</v>
      </c>
      <c r="AC5" s="292">
        <v>1.5</v>
      </c>
      <c r="AD5" s="218">
        <f t="shared" ca="1" si="8"/>
        <v>0</v>
      </c>
      <c r="AE5" s="220">
        <f t="shared" ca="1" si="9"/>
        <v>0</v>
      </c>
      <c r="AF5" s="218">
        <f t="shared" ca="1" si="10"/>
        <v>34</v>
      </c>
      <c r="AG5" s="803">
        <f t="shared" ca="1" si="11"/>
        <v>0</v>
      </c>
      <c r="AH5" s="218">
        <f t="shared" ca="1" si="12"/>
        <v>0</v>
      </c>
      <c r="AI5" s="803">
        <f t="shared" ca="1" si="13"/>
        <v>0</v>
      </c>
      <c r="AJ5" s="218">
        <f t="shared" ca="1" si="14"/>
        <v>0</v>
      </c>
      <c r="AK5" s="803">
        <f t="shared" ca="1" si="15"/>
        <v>0</v>
      </c>
      <c r="AL5" s="218">
        <f t="shared" ref="AL5:AL15" ca="1" si="23">+Z5+AI5+AK5</f>
        <v>346.52330999999998</v>
      </c>
      <c r="AM5" s="290">
        <f t="shared" ca="1" si="16"/>
        <v>0</v>
      </c>
      <c r="AN5" s="291" t="str">
        <f t="shared" ca="1" si="17"/>
        <v>PT_CASUAL</v>
      </c>
      <c r="AO5" s="223">
        <f ca="1">+INDIRECT("[EMPINFO.xlsm]"&amp;$O$2&amp;"!t5")</f>
        <v>28</v>
      </c>
      <c r="AP5" s="226">
        <f ca="1">+INDIRECT("[EMPINFO.xlsm]"&amp;$O$2&amp;"!o5")</f>
        <v>0</v>
      </c>
      <c r="AQ5" s="840">
        <f ca="1">+INDIRECT("[EMPINFO.xlsm]"&amp;$O$2&amp;"!p5")</f>
        <v>0</v>
      </c>
      <c r="AR5" s="226">
        <f ca="1">+INDIRECT("[EMPINFO.xlsm]"&amp;$O$2&amp;"!j5")</f>
        <v>0</v>
      </c>
      <c r="AS5" s="840">
        <f ca="1">+INDIRECT("[EMPINFO.xlsm]"&amp;$O$2&amp;"!k5")</f>
        <v>0</v>
      </c>
      <c r="AT5" s="226">
        <f ca="1">+INDIRECT("[EMPINFO.xlsm]"&amp;$O$2&amp;"!m5")</f>
        <v>0</v>
      </c>
      <c r="AU5" s="844">
        <f ca="1">+INDIRECT("[EMPINFO.xlsm]"&amp;$O$2&amp;"!n5")</f>
        <v>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43.31</v>
      </c>
      <c r="BB5" s="288" t="e">
        <f t="shared" ca="1" si="20"/>
        <v>#N/A</v>
      </c>
      <c r="BC5" s="289" t="e">
        <f t="shared" ca="1" si="21"/>
        <v>#N/A</v>
      </c>
      <c r="BD5" s="255"/>
      <c r="BE5" s="205"/>
      <c r="BG5" s="27"/>
      <c r="BH5" s="28"/>
    </row>
    <row r="6" spans="1:62" ht="15.75" customHeight="1" thickBot="1" x14ac:dyDescent="0.3">
      <c r="A6" s="54"/>
      <c r="B6" s="2" t="s">
        <v>135</v>
      </c>
      <c r="C6" s="921" t="str">
        <f>INDEX([1]!empdata,MATCH(ID,[1]!empid,0),3)</f>
        <v>Falzon</v>
      </c>
      <c r="D6" s="922"/>
      <c r="E6" s="922"/>
      <c r="F6" s="886"/>
      <c r="I6" s="312" t="s">
        <v>136</v>
      </c>
      <c r="L6" s="101"/>
      <c r="M6" s="303"/>
      <c r="N6" s="211">
        <f t="shared" ca="1" si="0"/>
        <v>8.0009999999999994</v>
      </c>
      <c r="O6" s="213">
        <f>+DATA!A5</f>
        <v>46082</v>
      </c>
      <c r="P6" s="219">
        <f ca="1">+INDIRECT("[EMPINFO.xlsm]"&amp;$O$2&amp;"!G6")</f>
        <v>5</v>
      </c>
      <c r="Q6" s="215">
        <f ca="1">IF(AZ6="active",INDIRECT("[EMPINFO.xlsm]"&amp;$O$2&amp;"!H6"),0)</f>
        <v>0</v>
      </c>
      <c r="R6" s="239">
        <f t="shared" ca="1" si="22"/>
        <v>8.0009999999999994</v>
      </c>
      <c r="S6" s="216">
        <f t="shared" ca="1" si="1"/>
        <v>0</v>
      </c>
      <c r="T6" s="220">
        <f t="shared" ca="1" si="2"/>
        <v>0</v>
      </c>
      <c r="U6" s="218">
        <f t="shared" ca="1" si="3"/>
        <v>0</v>
      </c>
      <c r="V6" s="220">
        <f ca="1">+maroth*marhrrt</f>
        <v>0</v>
      </c>
      <c r="W6" s="202">
        <f ca="1">+IF(AZ6&lt;&gt;"active",0,(IF(Timer="PT_casual",(bonusmar/1040*(BA6+BA5+BA4)),(bonusmar/182*(AO6+AO5+AO4+AO3)*(Q6+Q5+Q4)/120))))</f>
        <v>6.5519600000000002</v>
      </c>
      <c r="X6" s="218">
        <f t="shared" ca="1" si="4"/>
        <v>0</v>
      </c>
      <c r="Y6" s="803">
        <f t="shared" ca="1" si="5"/>
        <v>0</v>
      </c>
      <c r="Z6" s="218">
        <f t="shared" ca="1" si="6"/>
        <v>6.5519600000000002</v>
      </c>
      <c r="AA6" s="803">
        <f t="shared" ca="1" si="7"/>
        <v>0</v>
      </c>
      <c r="AB6" s="218">
        <f ca="1">+INDIRECT("[EMPINFO.xlsm]"&amp;$O$2&amp;"!s6")</f>
        <v>0</v>
      </c>
      <c r="AC6" s="292">
        <v>1.5</v>
      </c>
      <c r="AD6" s="218">
        <f t="shared" ca="1" si="8"/>
        <v>0</v>
      </c>
      <c r="AE6" s="220">
        <f t="shared" ca="1" si="9"/>
        <v>0</v>
      </c>
      <c r="AF6" s="218">
        <f t="shared" ca="1" si="10"/>
        <v>0</v>
      </c>
      <c r="AG6" s="803">
        <f t="shared" ca="1" si="11"/>
        <v>0</v>
      </c>
      <c r="AH6" s="218">
        <f t="shared" ca="1" si="12"/>
        <v>0</v>
      </c>
      <c r="AI6" s="803">
        <f t="shared" ca="1" si="13"/>
        <v>0</v>
      </c>
      <c r="AJ6" s="218">
        <f t="shared" ca="1" si="14"/>
        <v>0</v>
      </c>
      <c r="AK6" s="803">
        <f t="shared" ca="1" si="15"/>
        <v>0</v>
      </c>
      <c r="AL6" s="218">
        <f t="shared" ca="1" si="23"/>
        <v>6.5519600000000002</v>
      </c>
      <c r="AM6" s="290">
        <f t="shared" ca="1" si="16"/>
        <v>0</v>
      </c>
      <c r="AN6" s="291" t="str">
        <f t="shared" ca="1" si="17"/>
        <v>PT_CASUAL</v>
      </c>
      <c r="AO6" s="223">
        <f ca="1">+INDIRECT("[EMPINFO.xlsm]"&amp;$O$2&amp;"!t6")</f>
        <v>31</v>
      </c>
      <c r="AP6" s="226">
        <f ca="1">+INDIRECT("[EMPINFO.xlsm]"&amp;$O$2&amp;"!o6")</f>
        <v>0</v>
      </c>
      <c r="AQ6" s="840">
        <f ca="1">+INDIRECT("[EMPINFO.xlsm]"&amp;$O$2&amp;"!p6")</f>
        <v>0</v>
      </c>
      <c r="AR6" s="226">
        <f ca="1">+INDIRECT("[EMPINFO.xlsm]"&amp;$O$2&amp;"!j6")</f>
        <v>0</v>
      </c>
      <c r="AS6" s="840">
        <f ca="1">+INDIRECT("[EMPINFO.xlsm]"&amp;$O$2&amp;"!k6")</f>
        <v>0</v>
      </c>
      <c r="AT6" s="226">
        <f ca="1">+INDIRECT("[EMPINFO.xlsm]"&amp;$O$2&amp;"!m6")</f>
        <v>0</v>
      </c>
      <c r="AU6" s="844">
        <f ca="1">+INDIRECT("[EMPINFO.xlsm]"&amp;$O$2&amp;"!n6")</f>
        <v>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t="e">
        <f t="shared" ca="1" si="20"/>
        <v>#N/A</v>
      </c>
      <c r="BC6" s="289" t="e">
        <f t="shared" ca="1" si="21"/>
        <v>#N/A</v>
      </c>
      <c r="BD6" s="255"/>
      <c r="BE6" s="206"/>
    </row>
    <row r="7" spans="1:62" ht="15.75" customHeight="1" thickBot="1" x14ac:dyDescent="0.3">
      <c r="A7" s="54"/>
      <c r="B7" s="3" t="s">
        <v>137</v>
      </c>
      <c r="C7" s="921" t="str">
        <f>INDEX([1]!empdata,MATCH(ID,[1]!empid,0),4)</f>
        <v>Andae</v>
      </c>
      <c r="D7" s="922"/>
      <c r="E7" s="922"/>
      <c r="F7" s="886"/>
      <c r="H7" s="312" t="s">
        <v>138</v>
      </c>
      <c r="I7" s="927" t="str">
        <f>INDEX([1]!empdata,MATCH(ID,[1]!empid,0),6)</f>
        <v>229506L</v>
      </c>
      <c r="J7" s="859"/>
      <c r="K7" s="857"/>
      <c r="L7" s="101"/>
      <c r="M7" s="303"/>
      <c r="N7" s="211">
        <f t="shared" ca="1" si="0"/>
        <v>8.0009999999999994</v>
      </c>
      <c r="O7" s="213">
        <f>+DATA!A6</f>
        <v>46113</v>
      </c>
      <c r="P7" s="219">
        <f ca="1">+INDIRECT("[EMPINFO.xlsm]"&amp;$O$2&amp;"!G7")</f>
        <v>4</v>
      </c>
      <c r="Q7" s="215">
        <f ca="1">IF(AZ7="active",INDIRECT("[EMPINFO.xlsm]"&amp;$O$2&amp;"!H7"),0)</f>
        <v>0</v>
      </c>
      <c r="R7" s="239">
        <f t="shared" ca="1" si="22"/>
        <v>8.0009999999999994</v>
      </c>
      <c r="S7" s="216">
        <f t="shared" ca="1" si="1"/>
        <v>0</v>
      </c>
      <c r="T7" s="220">
        <f t="shared" ca="1" si="2"/>
        <v>0</v>
      </c>
      <c r="U7" s="218">
        <f t="shared" ca="1" si="3"/>
        <v>0</v>
      </c>
      <c r="V7" s="220">
        <f ca="1">+aproth*aprhrrt</f>
        <v>0</v>
      </c>
      <c r="W7" s="201"/>
      <c r="X7" s="218">
        <f t="shared" ca="1" si="4"/>
        <v>0</v>
      </c>
      <c r="Y7" s="803">
        <f t="shared" ca="1" si="5"/>
        <v>0</v>
      </c>
      <c r="Z7" s="218">
        <f t="shared" ca="1" si="6"/>
        <v>0</v>
      </c>
      <c r="AA7" s="803">
        <f t="shared" ca="1" si="7"/>
        <v>0</v>
      </c>
      <c r="AB7" s="218">
        <f ca="1">+INDIRECT("[EMPINFO.xlsm]"&amp;$O$2&amp;"!s7")</f>
        <v>0</v>
      </c>
      <c r="AC7" s="292">
        <v>1.5</v>
      </c>
      <c r="AD7" s="218">
        <f t="shared" ca="1" si="8"/>
        <v>0</v>
      </c>
      <c r="AE7" s="220">
        <f t="shared" ca="1" si="9"/>
        <v>0</v>
      </c>
      <c r="AF7" s="218">
        <f t="shared" ca="1" si="10"/>
        <v>0</v>
      </c>
      <c r="AG7" s="803">
        <f t="shared" ca="1" si="11"/>
        <v>0</v>
      </c>
      <c r="AH7" s="218">
        <f t="shared" ca="1" si="12"/>
        <v>0</v>
      </c>
      <c r="AI7" s="803">
        <f t="shared" ca="1" si="13"/>
        <v>0</v>
      </c>
      <c r="AJ7" s="218">
        <f t="shared" ca="1" si="14"/>
        <v>0</v>
      </c>
      <c r="AK7" s="803">
        <f t="shared" ca="1" si="15"/>
        <v>0</v>
      </c>
      <c r="AL7" s="218">
        <f t="shared" ca="1" si="23"/>
        <v>0</v>
      </c>
      <c r="AM7" s="290">
        <f t="shared" ca="1" si="16"/>
        <v>0</v>
      </c>
      <c r="AN7" s="291" t="str">
        <f t="shared" ca="1" si="17"/>
        <v>PT_CASUAL</v>
      </c>
      <c r="AO7" s="223">
        <f ca="1">+INDIRECT("[EMPINFO.xlsm]"&amp;$O$2&amp;"!t7")</f>
        <v>30</v>
      </c>
      <c r="AP7" s="226">
        <f ca="1">+INDIRECT("[EMPINFO.xlsm]"&amp;$O$2&amp;"!o7")</f>
        <v>0</v>
      </c>
      <c r="AQ7" s="840">
        <f ca="1">+INDIRECT("[EMPINFO.xlsm]"&amp;$O$2&amp;"!p7")</f>
        <v>0</v>
      </c>
      <c r="AR7" s="226">
        <f ca="1">+INDIRECT("[EMPINFO.xlsm]"&amp;$O$2&amp;"!j7")</f>
        <v>0</v>
      </c>
      <c r="AS7" s="840">
        <f ca="1">+INDIRECT("[EMPINFO.xlsm]"&amp;$O$2&amp;"!k7")</f>
        <v>0</v>
      </c>
      <c r="AT7" s="226">
        <f ca="1">+INDIRECT("[EMPINFO.xlsm]"&amp;$O$2&amp;"!m7")</f>
        <v>0</v>
      </c>
      <c r="AU7" s="844">
        <f ca="1">+INDIRECT("[EMPINFO.xlsm]"&amp;$O$2&amp;"!n7")</f>
        <v>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t="e">
        <f t="shared" ca="1" si="20"/>
        <v>#N/A</v>
      </c>
      <c r="BC7" s="289" t="e">
        <f t="shared" ca="1" si="21"/>
        <v>#N/A</v>
      </c>
      <c r="BD7" s="255"/>
      <c r="BE7" s="206"/>
    </row>
    <row r="8" spans="1:62" ht="15.75" customHeight="1" thickBot="1" x14ac:dyDescent="0.3">
      <c r="A8" s="54"/>
      <c r="B8" s="3" t="s">
        <v>139</v>
      </c>
      <c r="C8" s="921" t="str">
        <f>INDEX([1]!empdata,MATCH(ID,[1]!empid,0),18)</f>
        <v>BLK I, Ent A, Flat 7</v>
      </c>
      <c r="D8" s="922"/>
      <c r="E8" s="922"/>
      <c r="F8" s="886"/>
      <c r="I8" s="312" t="s">
        <v>140</v>
      </c>
      <c r="L8" s="101"/>
      <c r="M8" s="303"/>
      <c r="N8" s="211">
        <f t="shared" ca="1" si="0"/>
        <v>8.0009999999999994</v>
      </c>
      <c r="O8" s="213">
        <f>+DATA!A7</f>
        <v>46143</v>
      </c>
      <c r="P8" s="219">
        <f ca="1">+INDIRECT("[EMPINFO.xlsm]"&amp;$O$2&amp;"!G8")</f>
        <v>4</v>
      </c>
      <c r="Q8" s="215">
        <f ca="1">IF(AZ8="active",INDIRECT("[EMPINFO.xlsm]"&amp;$O$2&amp;"!H8"),0)</f>
        <v>0</v>
      </c>
      <c r="R8" s="239">
        <f t="shared" ca="1" si="22"/>
        <v>8.0009999999999994</v>
      </c>
      <c r="S8" s="216">
        <f t="shared" ca="1" si="1"/>
        <v>0</v>
      </c>
      <c r="T8" s="220">
        <f t="shared" ca="1" si="2"/>
        <v>0</v>
      </c>
      <c r="U8" s="218">
        <f t="shared" ca="1" si="3"/>
        <v>0</v>
      </c>
      <c r="V8" s="220">
        <f ca="1">+mayoth*mayhrrt</f>
        <v>0</v>
      </c>
      <c r="W8" s="201"/>
      <c r="X8" s="218">
        <f t="shared" ca="1" si="4"/>
        <v>0</v>
      </c>
      <c r="Y8" s="803">
        <f t="shared" ca="1" si="5"/>
        <v>0</v>
      </c>
      <c r="Z8" s="218">
        <f t="shared" ca="1" si="6"/>
        <v>0</v>
      </c>
      <c r="AA8" s="803">
        <f t="shared" ca="1" si="7"/>
        <v>0</v>
      </c>
      <c r="AB8" s="218">
        <f ca="1">+INDIRECT("[EMPINFO.xlsm]"&amp;$O$2&amp;"!s8")</f>
        <v>0</v>
      </c>
      <c r="AC8" s="292">
        <v>1.5</v>
      </c>
      <c r="AD8" s="218">
        <f t="shared" ca="1" si="8"/>
        <v>0</v>
      </c>
      <c r="AE8" s="220">
        <f t="shared" ca="1" si="9"/>
        <v>0</v>
      </c>
      <c r="AF8" s="218">
        <f t="shared" ca="1" si="10"/>
        <v>0</v>
      </c>
      <c r="AG8" s="803">
        <f t="shared" ca="1" si="11"/>
        <v>0</v>
      </c>
      <c r="AH8" s="218">
        <f t="shared" ca="1" si="12"/>
        <v>0</v>
      </c>
      <c r="AI8" s="803">
        <f t="shared" ca="1" si="13"/>
        <v>0</v>
      </c>
      <c r="AJ8" s="218">
        <f t="shared" ca="1" si="14"/>
        <v>0</v>
      </c>
      <c r="AK8" s="803">
        <f t="shared" ca="1" si="15"/>
        <v>0</v>
      </c>
      <c r="AL8" s="218">
        <f t="shared" ca="1" si="23"/>
        <v>0</v>
      </c>
      <c r="AM8" s="290">
        <f t="shared" ca="1" si="16"/>
        <v>0</v>
      </c>
      <c r="AN8" s="291" t="str">
        <f t="shared" ca="1" si="17"/>
        <v>PT_CASUAL</v>
      </c>
      <c r="AO8" s="223">
        <f ca="1">+INDIRECT("[EMPINFO.xlsm]"&amp;$O$2&amp;"!t8")</f>
        <v>31</v>
      </c>
      <c r="AP8" s="226">
        <f ca="1">+INDIRECT("[EMPINFO.xlsm]"&amp;$O$2&amp;"!o8")</f>
        <v>0</v>
      </c>
      <c r="AQ8" s="840">
        <f ca="1">+INDIRECT("[EMPINFO.xlsm]"&amp;$O$2&amp;"!p8")</f>
        <v>0</v>
      </c>
      <c r="AR8" s="226">
        <f ca="1">+INDIRECT("[EMPINFO.xlsm]"&amp;$O$2&amp;"!j8")</f>
        <v>0</v>
      </c>
      <c r="AS8" s="840">
        <f ca="1">+INDIRECT("[EMPINFO.xlsm]"&amp;$O$2&amp;"!k8")</f>
        <v>0</v>
      </c>
      <c r="AT8" s="226">
        <f ca="1">+INDIRECT("[EMPINFO.xlsm]"&amp;$O$2&amp;"!m8")</f>
        <v>0</v>
      </c>
      <c r="AU8" s="844">
        <f ca="1">+INDIRECT("[EMPINFO.xlsm]"&amp;$O$2&amp;"!n8")</f>
        <v>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t="e">
        <f t="shared" ca="1" si="20"/>
        <v>#N/A</v>
      </c>
      <c r="BC8" s="289" t="e">
        <f t="shared" ca="1" si="21"/>
        <v>#N/A</v>
      </c>
      <c r="BD8" s="255"/>
      <c r="BE8" s="206"/>
    </row>
    <row r="9" spans="1:62" ht="15.75" customHeight="1" thickBot="1" x14ac:dyDescent="0.3">
      <c r="A9" s="54"/>
      <c r="B9" s="4" t="s">
        <v>141</v>
      </c>
      <c r="C9" s="921" t="str">
        <f>INDEX([1]!empdata,MATCH(ID,[1]!empid,0),19)</f>
        <v>Triq Wied in-Noqor</v>
      </c>
      <c r="D9" s="922"/>
      <c r="E9" s="922"/>
      <c r="F9" s="886"/>
      <c r="H9" s="312" t="s">
        <v>20</v>
      </c>
      <c r="I9" s="927">
        <f>INDEX([1]!empdata,MATCH(ID,[1]!empid,0),14)</f>
        <v>0</v>
      </c>
      <c r="J9" s="859"/>
      <c r="K9" s="857"/>
      <c r="L9" s="101"/>
      <c r="M9" s="303"/>
      <c r="N9" s="211">
        <f t="shared" ca="1" si="0"/>
        <v>8.0009999999999994</v>
      </c>
      <c r="O9" s="213">
        <f>+DATA!A8</f>
        <v>46174</v>
      </c>
      <c r="P9" s="219">
        <f ca="1">+INDIRECT("[EMPINFO.xlsm]"&amp;$O$2&amp;"!G9")</f>
        <v>5</v>
      </c>
      <c r="Q9" s="215">
        <f ca="1">IF(AZ9="active",INDIRECT("[EMPINFO.xlsm]"&amp;$O$2&amp;"!H9"),0)</f>
        <v>0</v>
      </c>
      <c r="R9" s="239">
        <f t="shared" ca="1" si="22"/>
        <v>8.0009999999999994</v>
      </c>
      <c r="S9" s="216">
        <f t="shared" ca="1" si="1"/>
        <v>0</v>
      </c>
      <c r="T9" s="220">
        <f t="shared" ca="1" si="2"/>
        <v>0</v>
      </c>
      <c r="U9" s="218">
        <f t="shared" ca="1" si="3"/>
        <v>0</v>
      </c>
      <c r="V9" s="220">
        <f ca="1">+junoth*junhrrt</f>
        <v>0</v>
      </c>
      <c r="W9" s="202">
        <f ca="1">IF(AZ9&lt;&gt;"active",0,(IF(Timer="PT_casual",(BONUSJUN/1040*(BA9+BA8+BA7+BA6+BA5+BA4)),(BONUSJUN*(SUM(AO4:AO9)/SUM(AX4:AX9))*(SUM(Q4:Q9)/240)))))</f>
        <v>7.3057923076923075</v>
      </c>
      <c r="X9" s="218">
        <f t="shared" ca="1" si="4"/>
        <v>0</v>
      </c>
      <c r="Y9" s="803">
        <f t="shared" ca="1" si="5"/>
        <v>0</v>
      </c>
      <c r="Z9" s="218">
        <f t="shared" ca="1" si="6"/>
        <v>7.3057923076923075</v>
      </c>
      <c r="AA9" s="803">
        <f t="shared" ca="1" si="7"/>
        <v>0</v>
      </c>
      <c r="AB9" s="218">
        <f ca="1">+INDIRECT("[EMPINFO.xlsm]"&amp;$O$2&amp;"!s9")</f>
        <v>0</v>
      </c>
      <c r="AC9" s="292">
        <v>1.5</v>
      </c>
      <c r="AD9" s="218">
        <f t="shared" ca="1" si="8"/>
        <v>0</v>
      </c>
      <c r="AE9" s="220">
        <f t="shared" ca="1" si="9"/>
        <v>0</v>
      </c>
      <c r="AF9" s="218">
        <f t="shared" ca="1" si="10"/>
        <v>0</v>
      </c>
      <c r="AG9" s="803">
        <f t="shared" ca="1" si="11"/>
        <v>0</v>
      </c>
      <c r="AH9" s="218">
        <f t="shared" ca="1" si="12"/>
        <v>0</v>
      </c>
      <c r="AI9" s="803">
        <f t="shared" ca="1" si="13"/>
        <v>0</v>
      </c>
      <c r="AJ9" s="218">
        <f t="shared" ca="1" si="14"/>
        <v>0</v>
      </c>
      <c r="AK9" s="803">
        <f t="shared" ca="1" si="15"/>
        <v>0</v>
      </c>
      <c r="AL9" s="218">
        <f t="shared" ca="1" si="23"/>
        <v>7.3057923076923075</v>
      </c>
      <c r="AM9" s="290">
        <f t="shared" ca="1" si="16"/>
        <v>0</v>
      </c>
      <c r="AN9" s="291" t="str">
        <f t="shared" ca="1" si="17"/>
        <v>PT_CASUAL</v>
      </c>
      <c r="AO9" s="223">
        <f ca="1">+INDIRECT("[EMPINFO.xlsm]"&amp;$O$2&amp;"!t9")</f>
        <v>30</v>
      </c>
      <c r="AP9" s="226">
        <f ca="1">+INDIRECT("[EMPINFO.xlsm]"&amp;$O$2&amp;"!o9")</f>
        <v>0</v>
      </c>
      <c r="AQ9" s="840">
        <f ca="1">+INDIRECT("[EMPINFO.xlsm]"&amp;$O$2&amp;"!p9")</f>
        <v>0</v>
      </c>
      <c r="AR9" s="226">
        <f ca="1">+INDIRECT("[EMPINFO.xlsm]"&amp;$O$2&amp;"!j9")</f>
        <v>0</v>
      </c>
      <c r="AS9" s="840">
        <f ca="1">+INDIRECT("[EMPINFO.xlsm]"&amp;$O$2&amp;"!k9")</f>
        <v>0</v>
      </c>
      <c r="AT9" s="226">
        <f ca="1">+INDIRECT("[EMPINFO.xlsm]"&amp;$O$2&amp;"!m9")</f>
        <v>0</v>
      </c>
      <c r="AU9" s="844">
        <f ca="1">+INDIRECT("[EMPINFO.xlsm]"&amp;$O$2&amp;"!n9")</f>
        <v>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t="e">
        <f t="shared" ca="1" si="20"/>
        <v>#N/A</v>
      </c>
      <c r="BC9" s="289" t="e">
        <f t="shared" ca="1" si="21"/>
        <v>#N/A</v>
      </c>
      <c r="BD9" s="255"/>
      <c r="BE9" s="206"/>
    </row>
    <row r="10" spans="1:62" ht="15.75" customHeight="1" thickBot="1" x14ac:dyDescent="0.3">
      <c r="A10" s="54"/>
      <c r="B10" s="5" t="s">
        <v>142</v>
      </c>
      <c r="C10" s="921" t="str">
        <f>INDEX([1]!empdata,MATCH(ID,[1]!empid,0),20)</f>
        <v>Hal-Farrug, Luqa</v>
      </c>
      <c r="D10" s="922"/>
      <c r="E10" s="922"/>
      <c r="F10" s="886"/>
      <c r="I10" s="312" t="s">
        <v>143</v>
      </c>
      <c r="L10" s="101"/>
      <c r="M10" s="303"/>
      <c r="N10" s="211">
        <f t="shared" ca="1" si="0"/>
        <v>8.0009999999999994</v>
      </c>
      <c r="O10" s="213">
        <f>+DATA!A9</f>
        <v>46204</v>
      </c>
      <c r="P10" s="219">
        <f ca="1">+INDIRECT("[EMPINFO.xlsm]"&amp;$O$2&amp;"!G10")</f>
        <v>4</v>
      </c>
      <c r="Q10" s="215">
        <f ca="1">IF(AZ10="active",INDIRECT("[EMPINFO.xlsm]"&amp;$O$2&amp;"!H10"),0)</f>
        <v>0</v>
      </c>
      <c r="R10" s="239">
        <f t="shared" ca="1" si="22"/>
        <v>8.0009999999999994</v>
      </c>
      <c r="S10" s="216">
        <f t="shared" ca="1" si="1"/>
        <v>0</v>
      </c>
      <c r="T10" s="220">
        <f t="shared" ca="1" si="2"/>
        <v>0</v>
      </c>
      <c r="U10" s="218">
        <f t="shared" ca="1" si="3"/>
        <v>0</v>
      </c>
      <c r="V10" s="220">
        <f ca="1">+juloth*julhrrt</f>
        <v>0</v>
      </c>
      <c r="W10" s="201"/>
      <c r="X10" s="218">
        <f t="shared" ca="1" si="4"/>
        <v>0</v>
      </c>
      <c r="Y10" s="803">
        <f t="shared" ca="1" si="5"/>
        <v>0</v>
      </c>
      <c r="Z10" s="218">
        <f t="shared" ca="1" si="6"/>
        <v>0</v>
      </c>
      <c r="AA10" s="803">
        <f t="shared" ca="1" si="7"/>
        <v>0</v>
      </c>
      <c r="AB10" s="218">
        <f ca="1">+INDIRECT("[EMPINFO.xlsm]"&amp;$O$2&amp;"!s10")</f>
        <v>0</v>
      </c>
      <c r="AC10" s="292">
        <v>1.5</v>
      </c>
      <c r="AD10" s="218">
        <f t="shared" ca="1" si="8"/>
        <v>0</v>
      </c>
      <c r="AE10" s="220">
        <f t="shared" ca="1" si="9"/>
        <v>0</v>
      </c>
      <c r="AF10" s="218">
        <f t="shared" ca="1" si="10"/>
        <v>0</v>
      </c>
      <c r="AG10" s="803">
        <f t="shared" ca="1" si="11"/>
        <v>0</v>
      </c>
      <c r="AH10" s="218">
        <f t="shared" ca="1" si="12"/>
        <v>0</v>
      </c>
      <c r="AI10" s="803">
        <f t="shared" ca="1" si="13"/>
        <v>0</v>
      </c>
      <c r="AJ10" s="218">
        <f t="shared" ca="1" si="14"/>
        <v>0</v>
      </c>
      <c r="AK10" s="803">
        <f t="shared" ca="1" si="15"/>
        <v>0</v>
      </c>
      <c r="AL10" s="218">
        <f t="shared" ca="1" si="23"/>
        <v>0</v>
      </c>
      <c r="AM10" s="290">
        <f t="shared" ca="1" si="16"/>
        <v>0</v>
      </c>
      <c r="AN10" s="291" t="str">
        <f t="shared" ca="1" si="17"/>
        <v>PT_CASUAL</v>
      </c>
      <c r="AO10" s="223">
        <f ca="1">+INDIRECT("[EMPINFO.xlsm]"&amp;$O$2&amp;"!t10")</f>
        <v>31</v>
      </c>
      <c r="AP10" s="226">
        <f ca="1">+INDIRECT("[EMPINFO.xlsm]"&amp;$O$2&amp;"!o10")</f>
        <v>0</v>
      </c>
      <c r="AQ10" s="840">
        <f ca="1">+INDIRECT("[EMPINFO.xlsm]"&amp;$O$2&amp;"!p10")</f>
        <v>0</v>
      </c>
      <c r="AR10" s="226">
        <f ca="1">+INDIRECT("[EMPINFO.xlsm]"&amp;$O$2&amp;"!j10")</f>
        <v>0</v>
      </c>
      <c r="AS10" s="840">
        <f ca="1">+INDIRECT("[EMPINFO.xlsm]"&amp;$O$2&amp;"!k10")</f>
        <v>0</v>
      </c>
      <c r="AT10" s="226">
        <f ca="1">+INDIRECT("[EMPINFO.xlsm]"&amp;$O$2&amp;"!m10")</f>
        <v>0</v>
      </c>
      <c r="AU10" s="844">
        <f ca="1">+INDIRECT("[EMPINFO.xlsm]"&amp;$O$2&amp;"!n10")</f>
        <v>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t="e">
        <f t="shared" ca="1" si="20"/>
        <v>#N/A</v>
      </c>
      <c r="BC10" s="289" t="e">
        <f t="shared" ca="1" si="21"/>
        <v>#N/A</v>
      </c>
      <c r="BD10" s="255"/>
      <c r="BE10" s="206"/>
      <c r="BF10" s="32"/>
      <c r="BH10" s="32"/>
      <c r="BI10" s="30"/>
      <c r="BJ10" s="31"/>
    </row>
    <row r="11" spans="1:62" ht="15.75" customHeight="1" thickBot="1" x14ac:dyDescent="0.3">
      <c r="A11" s="54"/>
      <c r="B11" s="6" t="s">
        <v>144</v>
      </c>
      <c r="C11" s="921" t="str">
        <f>INDEX([1]!empdata,MATCH(ID,[1]!empid,0),21)</f>
        <v>LQA3092</v>
      </c>
      <c r="D11" s="922"/>
      <c r="E11" s="922"/>
      <c r="F11" s="886"/>
      <c r="H11" s="312" t="s">
        <v>31</v>
      </c>
      <c r="I11" s="927">
        <f>INDEX([1]!empdata,MATCH(ID,[1]!empid,0),7)</f>
        <v>0</v>
      </c>
      <c r="J11" s="859"/>
      <c r="K11" s="857"/>
      <c r="L11" s="101"/>
      <c r="M11" s="303"/>
      <c r="N11" s="211">
        <f t="shared" ca="1" si="0"/>
        <v>8.0009999999999994</v>
      </c>
      <c r="O11" s="213">
        <f>+DATA!A10</f>
        <v>46235</v>
      </c>
      <c r="P11" s="219">
        <f ca="1">+INDIRECT("[EMPINFO.xlsm]"&amp;$O$2&amp;"!G11")</f>
        <v>5</v>
      </c>
      <c r="Q11" s="215">
        <f ca="1">IF(AZ11="active",INDIRECT("[EMPINFO.xlsm]"&amp;$O$2&amp;"!H11"),0)</f>
        <v>0</v>
      </c>
      <c r="R11" s="239">
        <f t="shared" ca="1" si="22"/>
        <v>8.0009999999999994</v>
      </c>
      <c r="S11" s="216">
        <f t="shared" ca="1" si="1"/>
        <v>0</v>
      </c>
      <c r="T11" s="220">
        <f t="shared" ca="1" si="2"/>
        <v>0</v>
      </c>
      <c r="U11" s="218">
        <f t="shared" ca="1" si="3"/>
        <v>0</v>
      </c>
      <c r="V11" s="220">
        <f ca="1">+augoth*aughrrt</f>
        <v>0</v>
      </c>
      <c r="W11" s="201"/>
      <c r="X11" s="218">
        <f t="shared" ca="1" si="4"/>
        <v>0</v>
      </c>
      <c r="Y11" s="803">
        <f t="shared" ca="1" si="5"/>
        <v>0</v>
      </c>
      <c r="Z11" s="218">
        <f t="shared" ca="1" si="6"/>
        <v>0</v>
      </c>
      <c r="AA11" s="803">
        <f t="shared" ca="1" si="7"/>
        <v>0</v>
      </c>
      <c r="AB11" s="218">
        <f ca="1">+INDIRECT("[EMPINFO.xlsm]"&amp;$O$2&amp;"!s11")</f>
        <v>0</v>
      </c>
      <c r="AC11" s="292">
        <v>1.5</v>
      </c>
      <c r="AD11" s="218">
        <f t="shared" ca="1" si="8"/>
        <v>0</v>
      </c>
      <c r="AE11" s="220">
        <f t="shared" ca="1" si="9"/>
        <v>0</v>
      </c>
      <c r="AF11" s="218">
        <f t="shared" ca="1" si="10"/>
        <v>0</v>
      </c>
      <c r="AG11" s="803">
        <f t="shared" ca="1" si="11"/>
        <v>0</v>
      </c>
      <c r="AH11" s="218">
        <f t="shared" ca="1" si="12"/>
        <v>0</v>
      </c>
      <c r="AI11" s="803">
        <f t="shared" ca="1" si="13"/>
        <v>0</v>
      </c>
      <c r="AJ11" s="218">
        <f t="shared" ca="1" si="14"/>
        <v>0</v>
      </c>
      <c r="AK11" s="803">
        <f t="shared" ca="1" si="15"/>
        <v>0</v>
      </c>
      <c r="AL11" s="218">
        <f t="shared" ca="1" si="23"/>
        <v>0</v>
      </c>
      <c r="AM11" s="290">
        <f t="shared" ca="1" si="16"/>
        <v>0</v>
      </c>
      <c r="AN11" s="291" t="str">
        <f t="shared" ca="1" si="17"/>
        <v>PT_CASUAL</v>
      </c>
      <c r="AO11" s="223">
        <f ca="1">+INDIRECT("[EMPINFO.xlsm]"&amp;$O$2&amp;"!t11")</f>
        <v>31</v>
      </c>
      <c r="AP11" s="226">
        <f ca="1">+INDIRECT("[EMPINFO.xlsm]"&amp;$O$2&amp;"!o11")</f>
        <v>0</v>
      </c>
      <c r="AQ11" s="840">
        <f ca="1">+INDIRECT("[EMPINFO.xlsm]"&amp;$O$2&amp;"!p11")</f>
        <v>0</v>
      </c>
      <c r="AR11" s="226">
        <f ca="1">+INDIRECT("[EMPINFO.xlsm]"&amp;$O$2&amp;"!j11")</f>
        <v>0</v>
      </c>
      <c r="AS11" s="840">
        <f ca="1">+INDIRECT("[EMPINFO.xlsm]"&amp;$O$2&amp;"!k11")</f>
        <v>0</v>
      </c>
      <c r="AT11" s="226">
        <f ca="1">+INDIRECT("[EMPINFO.xlsm]"&amp;$O$2&amp;"!m11")</f>
        <v>0</v>
      </c>
      <c r="AU11" s="844">
        <f ca="1">+INDIRECT("[EMPINFO.xlsm]"&amp;$O$2&amp;"!n11")</f>
        <v>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t="e">
        <f t="shared" ca="1" si="20"/>
        <v>#N/A</v>
      </c>
      <c r="BC11" s="289" t="e">
        <f t="shared" ca="1" si="21"/>
        <v>#N/A</v>
      </c>
      <c r="BD11" s="255"/>
      <c r="BE11" s="206"/>
      <c r="BF11" s="27"/>
      <c r="BH11" s="27"/>
    </row>
    <row r="12" spans="1:62" ht="17.45" customHeight="1" thickBot="1" x14ac:dyDescent="0.3">
      <c r="A12" s="313"/>
      <c r="B12" s="91" t="s">
        <v>14</v>
      </c>
      <c r="C12" s="945">
        <f>INDEX([1]!empdata,MATCH(ID,[1]!empid,0),10)</f>
        <v>79352476</v>
      </c>
      <c r="D12" s="946"/>
      <c r="E12" s="946"/>
      <c r="F12" s="947"/>
      <c r="G12" s="85"/>
      <c r="H12" s="85"/>
      <c r="I12" s="85"/>
      <c r="J12" s="85"/>
      <c r="K12" s="85"/>
      <c r="L12" s="314"/>
      <c r="M12" s="303"/>
      <c r="N12" s="211">
        <f t="shared" ca="1" si="0"/>
        <v>8.0009999999999994</v>
      </c>
      <c r="O12" s="213">
        <f>+DATA!A11</f>
        <v>46266</v>
      </c>
      <c r="P12" s="219">
        <f ca="1">+INDIRECT("[EMPINFO.xlsm]"&amp;$O$2&amp;"!G12")</f>
        <v>4</v>
      </c>
      <c r="Q12" s="215">
        <f ca="1">IF(AZ12="active",INDIRECT("[EMPINFO.xlsm]"&amp;$O$2&amp;"!H12"),0)</f>
        <v>0</v>
      </c>
      <c r="R12" s="239">
        <f t="shared" ca="1" si="22"/>
        <v>8.0009999999999994</v>
      </c>
      <c r="S12" s="216">
        <f t="shared" ca="1" si="1"/>
        <v>0</v>
      </c>
      <c r="T12" s="220">
        <f t="shared" ca="1" si="2"/>
        <v>0</v>
      </c>
      <c r="U12" s="218">
        <f t="shared" ca="1" si="3"/>
        <v>0</v>
      </c>
      <c r="V12" s="220">
        <f ca="1">+sepoth*sephrrt</f>
        <v>0</v>
      </c>
      <c r="W12" s="202">
        <f ca="1">IF(AZ12&lt;&gt;"active",0,(IF(Timer="PT_casual",(bonussep/1040*(BA7:BA12)),(bonussep*(SUM(AO7:AO12)/SUM(AX7:AX12))*(SUM(Q7:Q12)/240)))))</f>
        <v>0</v>
      </c>
      <c r="X12" s="218">
        <f t="shared" ca="1" si="4"/>
        <v>0</v>
      </c>
      <c r="Y12" s="803">
        <f t="shared" ca="1" si="5"/>
        <v>0</v>
      </c>
      <c r="Z12" s="218">
        <f t="shared" ca="1" si="6"/>
        <v>0</v>
      </c>
      <c r="AA12" s="803">
        <f t="shared" ca="1" si="7"/>
        <v>0</v>
      </c>
      <c r="AB12" s="218">
        <f ca="1">+INDIRECT("[EMPINFO.xlsm]"&amp;$O$2&amp;"!s12")</f>
        <v>0</v>
      </c>
      <c r="AC12" s="292">
        <v>1.5</v>
      </c>
      <c r="AD12" s="218">
        <f t="shared" ca="1" si="8"/>
        <v>0</v>
      </c>
      <c r="AE12" s="220">
        <f t="shared" ca="1" si="9"/>
        <v>0</v>
      </c>
      <c r="AF12" s="218">
        <f t="shared" ca="1" si="10"/>
        <v>0</v>
      </c>
      <c r="AG12" s="803">
        <f t="shared" ca="1" si="11"/>
        <v>0</v>
      </c>
      <c r="AH12" s="218">
        <f t="shared" ca="1" si="12"/>
        <v>0</v>
      </c>
      <c r="AI12" s="803">
        <f t="shared" ca="1" si="13"/>
        <v>0</v>
      </c>
      <c r="AJ12" s="218">
        <f t="shared" ca="1" si="14"/>
        <v>0</v>
      </c>
      <c r="AK12" s="803">
        <f t="shared" ca="1" si="15"/>
        <v>0</v>
      </c>
      <c r="AL12" s="218">
        <f t="shared" ca="1" si="23"/>
        <v>0</v>
      </c>
      <c r="AM12" s="290">
        <f t="shared" ca="1" si="16"/>
        <v>0</v>
      </c>
      <c r="AN12" s="291" t="str">
        <f t="shared" ca="1" si="17"/>
        <v>PT_CASUAL</v>
      </c>
      <c r="AO12" s="223">
        <f ca="1">+INDIRECT("[EMPINFO.xlsm]"&amp;$O$2&amp;"!t12")</f>
        <v>30</v>
      </c>
      <c r="AP12" s="226">
        <f ca="1">+INDIRECT("[EMPINFO.xlsm]"&amp;$O$2&amp;"!o12")</f>
        <v>0</v>
      </c>
      <c r="AQ12" s="840">
        <f ca="1">+INDIRECT("[EMPINFO.xlsm]"&amp;$O$2&amp;"!p12")</f>
        <v>0</v>
      </c>
      <c r="AR12" s="226">
        <f ca="1">+INDIRECT("[EMPINFO.xlsm]"&amp;$O$2&amp;"!j12")</f>
        <v>0</v>
      </c>
      <c r="AS12" s="840">
        <f ca="1">+INDIRECT("[EMPINFO.xlsm]"&amp;$O$2&amp;"!k12")</f>
        <v>0</v>
      </c>
      <c r="AT12" s="226">
        <f ca="1">+INDIRECT("[EMPINFO.xlsm]"&amp;$O$2&amp;"!m12")</f>
        <v>0</v>
      </c>
      <c r="AU12" s="844">
        <f ca="1">+INDIRECT("[EMPINFO.xlsm]"&amp;$O$2&amp;"!n12")</f>
        <v>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t="e">
        <f t="shared" ca="1" si="20"/>
        <v>#N/A</v>
      </c>
      <c r="BC12" s="289" t="e">
        <f t="shared" ca="1" si="21"/>
        <v>#N/A</v>
      </c>
      <c r="BD12" s="255"/>
      <c r="BE12" s="206"/>
    </row>
    <row r="13" spans="1:62" ht="15.75" customHeight="1" thickBot="1" x14ac:dyDescent="0.3">
      <c r="A13" s="54"/>
      <c r="L13" s="101"/>
      <c r="M13" s="303"/>
      <c r="N13" s="211">
        <f t="shared" ca="1" si="0"/>
        <v>8.0009999999999994</v>
      </c>
      <c r="O13" s="213">
        <f>+DATA!A12</f>
        <v>46296</v>
      </c>
      <c r="P13" s="219">
        <f ca="1">+INDIRECT("[EMPINFO.xlsm]"&amp;$O$2&amp;"!G13")</f>
        <v>4</v>
      </c>
      <c r="Q13" s="215">
        <f ca="1">IF(AZ13="active",INDIRECT("[EMPINFO.xlsm]"&amp;$O$2&amp;"!H13"),0)</f>
        <v>0</v>
      </c>
      <c r="R13" s="239">
        <f t="shared" ca="1" si="22"/>
        <v>8.0009999999999994</v>
      </c>
      <c r="S13" s="216">
        <f t="shared" ca="1" si="1"/>
        <v>0</v>
      </c>
      <c r="T13" s="220">
        <f t="shared" ca="1" si="2"/>
        <v>0</v>
      </c>
      <c r="U13" s="218">
        <f t="shared" ca="1" si="3"/>
        <v>0</v>
      </c>
      <c r="V13" s="220">
        <f ca="1">+octoth*octhrrt</f>
        <v>0</v>
      </c>
      <c r="W13" s="201"/>
      <c r="X13" s="218">
        <f t="shared" ca="1" si="4"/>
        <v>0</v>
      </c>
      <c r="Y13" s="803">
        <f t="shared" ca="1" si="5"/>
        <v>0</v>
      </c>
      <c r="Z13" s="218">
        <f t="shared" ca="1" si="6"/>
        <v>0</v>
      </c>
      <c r="AA13" s="803">
        <f t="shared" ca="1" si="7"/>
        <v>0</v>
      </c>
      <c r="AB13" s="218">
        <f ca="1">+INDIRECT("[EMPINFO.xlsm]"&amp;$O$2&amp;"!s13")</f>
        <v>0</v>
      </c>
      <c r="AC13" s="292">
        <v>1.5</v>
      </c>
      <c r="AD13" s="218">
        <f t="shared" ca="1" si="8"/>
        <v>0</v>
      </c>
      <c r="AE13" s="220">
        <f t="shared" ca="1" si="9"/>
        <v>0</v>
      </c>
      <c r="AF13" s="218">
        <f t="shared" ca="1" si="10"/>
        <v>0</v>
      </c>
      <c r="AG13" s="803">
        <f t="shared" ca="1" si="11"/>
        <v>0</v>
      </c>
      <c r="AH13" s="218">
        <f t="shared" ca="1" si="12"/>
        <v>0</v>
      </c>
      <c r="AI13" s="803">
        <f t="shared" ca="1" si="13"/>
        <v>0</v>
      </c>
      <c r="AJ13" s="218">
        <f t="shared" ca="1" si="14"/>
        <v>0</v>
      </c>
      <c r="AK13" s="803">
        <f t="shared" ca="1" si="15"/>
        <v>0</v>
      </c>
      <c r="AL13" s="218">
        <f t="shared" ca="1" si="23"/>
        <v>0</v>
      </c>
      <c r="AM13" s="290">
        <f t="shared" ca="1" si="16"/>
        <v>0</v>
      </c>
      <c r="AN13" s="291" t="str">
        <f t="shared" ca="1" si="17"/>
        <v>PT_CASUAL</v>
      </c>
      <c r="AO13" s="223">
        <f ca="1">+INDIRECT("[EMPINFO.xlsm]"&amp;$O$2&amp;"!t13")</f>
        <v>31</v>
      </c>
      <c r="AP13" s="226">
        <f ca="1">+INDIRECT("[EMPINFO.xlsm]"&amp;$O$2&amp;"!o13")</f>
        <v>0</v>
      </c>
      <c r="AQ13" s="840">
        <f ca="1">+INDIRECT("[EMPINFO.xlsm]"&amp;$O$2&amp;"!p13")</f>
        <v>0</v>
      </c>
      <c r="AR13" s="226">
        <f ca="1">+INDIRECT("[EMPINFO.xlsm]"&amp;$O$2&amp;"!j13")</f>
        <v>0</v>
      </c>
      <c r="AS13" s="840">
        <f ca="1">+INDIRECT("[EMPINFO.xlsm]"&amp;$O$2&amp;"!k13")</f>
        <v>0</v>
      </c>
      <c r="AT13" s="226">
        <f ca="1">+INDIRECT("[EMPINFO.xlsm]"&amp;$O$2&amp;"!m13")</f>
        <v>0</v>
      </c>
      <c r="AU13" s="844">
        <f ca="1">+INDIRECT("[EMPINFO.xlsm]"&amp;$O$2&amp;"!n13")</f>
        <v>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t="e">
        <f t="shared" ca="1" si="20"/>
        <v>#N/A</v>
      </c>
      <c r="BC13" s="289" t="e">
        <f t="shared" ca="1" si="21"/>
        <v>#N/A</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8.0009999999999994</v>
      </c>
      <c r="O14" s="213">
        <f>+DATA!A13</f>
        <v>46327</v>
      </c>
      <c r="P14" s="219">
        <f ca="1">+INDIRECT("[EMPINFO.xlsm]"&amp;$O$2&amp;"!G14")</f>
        <v>5</v>
      </c>
      <c r="Q14" s="215">
        <f ca="1">IF(AZ14="active",INDIRECT("[EMPINFO.xlsm]"&amp;$O$2&amp;"!H14"),0)</f>
        <v>0</v>
      </c>
      <c r="R14" s="239">
        <f t="shared" ca="1" si="22"/>
        <v>8.0009999999999994</v>
      </c>
      <c r="S14" s="216">
        <f t="shared" ca="1" si="1"/>
        <v>0</v>
      </c>
      <c r="T14" s="220">
        <f t="shared" ca="1" si="2"/>
        <v>0</v>
      </c>
      <c r="U14" s="218">
        <f t="shared" ca="1" si="3"/>
        <v>0</v>
      </c>
      <c r="V14" s="220">
        <f ca="1">+novoth*novhrrt</f>
        <v>0</v>
      </c>
      <c r="W14" s="201"/>
      <c r="X14" s="218">
        <f t="shared" ca="1" si="4"/>
        <v>0</v>
      </c>
      <c r="Y14" s="803">
        <f t="shared" ca="1" si="5"/>
        <v>0</v>
      </c>
      <c r="Z14" s="218">
        <f t="shared" ca="1" si="6"/>
        <v>0</v>
      </c>
      <c r="AA14" s="803">
        <f t="shared" ca="1" si="7"/>
        <v>0</v>
      </c>
      <c r="AB14" s="218">
        <f ca="1">+INDIRECT("[EMPINFO.xlsm]"&amp;$O$2&amp;"!s14")</f>
        <v>0</v>
      </c>
      <c r="AC14" s="292">
        <v>1.5</v>
      </c>
      <c r="AD14" s="218">
        <f t="shared" ca="1" si="8"/>
        <v>0</v>
      </c>
      <c r="AE14" s="220">
        <f t="shared" ca="1" si="9"/>
        <v>0</v>
      </c>
      <c r="AF14" s="218">
        <f t="shared" ca="1" si="10"/>
        <v>0</v>
      </c>
      <c r="AG14" s="803">
        <f t="shared" ca="1" si="11"/>
        <v>0</v>
      </c>
      <c r="AH14" s="218">
        <f t="shared" ca="1" si="12"/>
        <v>0</v>
      </c>
      <c r="AI14" s="803">
        <f t="shared" ca="1" si="13"/>
        <v>0</v>
      </c>
      <c r="AJ14" s="218">
        <f t="shared" ca="1" si="14"/>
        <v>0</v>
      </c>
      <c r="AK14" s="803">
        <f t="shared" ca="1" si="15"/>
        <v>0</v>
      </c>
      <c r="AL14" s="218">
        <f t="shared" ca="1" si="23"/>
        <v>0</v>
      </c>
      <c r="AM14" s="290">
        <f t="shared" ca="1" si="16"/>
        <v>0</v>
      </c>
      <c r="AN14" s="291" t="str">
        <f t="shared" ca="1" si="17"/>
        <v>PT_CASUAL</v>
      </c>
      <c r="AO14" s="223">
        <f ca="1">+INDIRECT("[EMPINFO.xlsm]"&amp;$O$2&amp;"!t14")</f>
        <v>30</v>
      </c>
      <c r="AP14" s="226">
        <f ca="1">+INDIRECT("[EMPINFO.xlsm]"&amp;$O$2&amp;"!o14")</f>
        <v>0</v>
      </c>
      <c r="AQ14" s="840">
        <f ca="1">+INDIRECT("[EMPINFO.xlsm]"&amp;$O$2&amp;"!p14")</f>
        <v>0</v>
      </c>
      <c r="AR14" s="226">
        <f ca="1">+INDIRECT("[EMPINFO.xlsm]"&amp;$O$2&amp;"!j14")</f>
        <v>0</v>
      </c>
      <c r="AS14" s="840">
        <f ca="1">+INDIRECT("[EMPINFO.xlsm]"&amp;$O$2&amp;"!k14")</f>
        <v>0</v>
      </c>
      <c r="AT14" s="226">
        <f ca="1">+INDIRECT("[EMPINFO.xlsm]"&amp;$O$2&amp;"!m14")</f>
        <v>0</v>
      </c>
      <c r="AU14" s="844">
        <f ca="1">+INDIRECT("[EMPINFO.xlsm]"&amp;$O$2&amp;"!n14")</f>
        <v>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t="e">
        <f t="shared" ca="1" si="20"/>
        <v>#N/A</v>
      </c>
      <c r="BC14" s="289" t="e">
        <f t="shared" ca="1" si="21"/>
        <v>#N/A</v>
      </c>
      <c r="BD14" s="255"/>
      <c r="BE14" s="206"/>
      <c r="BF14" s="32"/>
      <c r="BH14" s="32"/>
    </row>
    <row r="15" spans="1:62" ht="15.75" customHeight="1" thickBot="1" x14ac:dyDescent="0.3">
      <c r="A15" s="54"/>
      <c r="L15" s="101"/>
      <c r="M15" s="303"/>
      <c r="N15" s="211">
        <f t="shared" ca="1" si="0"/>
        <v>8.0009999999999994</v>
      </c>
      <c r="O15" s="213">
        <f>+DATA!A14</f>
        <v>46357</v>
      </c>
      <c r="P15" s="219">
        <f ca="1">+INDIRECT("[EMPINFO.xlsm]"&amp;$O$2&amp;"!G15")</f>
        <v>4</v>
      </c>
      <c r="Q15" s="215">
        <f ca="1">IF(AZ15="active",INDIRECT("[EMPINFO.xlsm]"&amp;$O$2&amp;"!H15"),0)</f>
        <v>0</v>
      </c>
      <c r="R15" s="239">
        <f t="shared" ca="1" si="22"/>
        <v>8.0009999999999994</v>
      </c>
      <c r="S15" s="216">
        <f t="shared" ca="1" si="1"/>
        <v>0</v>
      </c>
      <c r="T15" s="220">
        <f t="shared" ca="1" si="2"/>
        <v>0</v>
      </c>
      <c r="U15" s="218">
        <f t="shared" ca="1" si="3"/>
        <v>0</v>
      </c>
      <c r="V15" s="220">
        <f ca="1">+decoth*dechrrt</f>
        <v>0</v>
      </c>
      <c r="W15" s="202">
        <f ca="1">IF(AZ15&lt;&gt;"active",0,(IF(Timer="PT_casual",(bonusdec/1040*(BA10:BA15)),(bonusdec*(SUM(AO10:AO15)/SUM(AX10:AX15))*(SUM(Q10:Q15)/240)))))</f>
        <v>0</v>
      </c>
      <c r="X15" s="218">
        <f t="shared" ca="1" si="4"/>
        <v>0</v>
      </c>
      <c r="Y15" s="803">
        <f t="shared" ca="1" si="5"/>
        <v>0</v>
      </c>
      <c r="Z15" s="218">
        <f t="shared" ca="1" si="6"/>
        <v>0</v>
      </c>
      <c r="AA15" s="803">
        <f t="shared" ca="1" si="7"/>
        <v>0</v>
      </c>
      <c r="AB15" s="218">
        <f ca="1">+INDIRECT("[EMPINFO.xlsm]"&amp;$O$2&amp;"!s15")</f>
        <v>0</v>
      </c>
      <c r="AC15" s="292">
        <v>1.5</v>
      </c>
      <c r="AD15" s="218">
        <f t="shared" ca="1" si="8"/>
        <v>0</v>
      </c>
      <c r="AE15" s="220">
        <f t="shared" ca="1" si="9"/>
        <v>0</v>
      </c>
      <c r="AF15" s="218">
        <f t="shared" ca="1" si="10"/>
        <v>0</v>
      </c>
      <c r="AG15" s="803">
        <f t="shared" ca="1" si="11"/>
        <v>0</v>
      </c>
      <c r="AH15" s="218">
        <f t="shared" ca="1" si="12"/>
        <v>0</v>
      </c>
      <c r="AI15" s="803">
        <f t="shared" ca="1" si="13"/>
        <v>0</v>
      </c>
      <c r="AJ15" s="218">
        <f t="shared" ca="1" si="14"/>
        <v>0</v>
      </c>
      <c r="AK15" s="803">
        <f t="shared" ca="1" si="15"/>
        <v>0</v>
      </c>
      <c r="AL15" s="218">
        <f t="shared" ca="1" si="23"/>
        <v>0</v>
      </c>
      <c r="AM15" s="290">
        <f t="shared" ca="1" si="16"/>
        <v>0</v>
      </c>
      <c r="AN15" s="291" t="str">
        <f t="shared" ca="1" si="17"/>
        <v>PT_CASUAL</v>
      </c>
      <c r="AO15" s="223">
        <f ca="1">+INDIRECT("[EMPINFO.xlsm]"&amp;$O$2&amp;"!t15")</f>
        <v>31</v>
      </c>
      <c r="AP15" s="226">
        <f ca="1">+INDIRECT("[EMPINFO.xlsm]"&amp;$O$2&amp;"!o15")</f>
        <v>0</v>
      </c>
      <c r="AQ15" s="840">
        <f ca="1">+INDIRECT("[EMPINFO.xlsm]"&amp;$O$2&amp;"!p15")</f>
        <v>0</v>
      </c>
      <c r="AR15" s="226">
        <f ca="1">+INDIRECT("[EMPINFO.xlsm]"&amp;$O$2&amp;"!j15")</f>
        <v>0</v>
      </c>
      <c r="AS15" s="840">
        <f ca="1">+INDIRECT("[EMPINFO.xlsm]"&amp;$O$2&amp;"!k15")</f>
        <v>0</v>
      </c>
      <c r="AT15" s="226">
        <f ca="1">+INDIRECT("[EMPINFO.xlsm]"&amp;$O$2&amp;"!m15")</f>
        <v>0</v>
      </c>
      <c r="AU15" s="844">
        <f ca="1">+INDIRECT("[EMPINFO.xlsm]"&amp;$O$2&amp;"!n15")</f>
        <v>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t="e">
        <f t="shared" ca="1" si="20"/>
        <v>#N/A</v>
      </c>
      <c r="BC15" s="289" t="e">
        <f t="shared" ca="1" si="21"/>
        <v>#N/A</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0</v>
      </c>
      <c r="T16" s="221">
        <f t="shared" ca="1" si="24"/>
        <v>449.97623999999996</v>
      </c>
      <c r="U16" s="217">
        <f t="shared" ca="1" si="24"/>
        <v>0</v>
      </c>
      <c r="V16" s="221">
        <f t="shared" ca="1" si="24"/>
        <v>0</v>
      </c>
      <c r="W16" s="217">
        <f t="shared" ca="1" si="24"/>
        <v>13.857752307692309</v>
      </c>
      <c r="X16" s="217">
        <f t="shared" ca="1" si="24"/>
        <v>0</v>
      </c>
      <c r="Y16" s="804">
        <f t="shared" ca="1" si="24"/>
        <v>0</v>
      </c>
      <c r="Z16" s="217">
        <f t="shared" ca="1" si="24"/>
        <v>463.83399230769226</v>
      </c>
      <c r="AA16" s="804">
        <f t="shared" ca="1" si="24"/>
        <v>44</v>
      </c>
      <c r="AB16" s="217">
        <f ca="1">+INDIRECT("[EMPINFO.xlsm]"&amp;$O$2&amp;"!S16")</f>
        <v>0</v>
      </c>
      <c r="AC16" s="221" t="s">
        <v>150</v>
      </c>
      <c r="AD16" s="217">
        <f ca="1">SUM(AD4:AD15)</f>
        <v>0</v>
      </c>
      <c r="AE16" s="221">
        <f ca="1">SUM(AE4:AE15)</f>
        <v>0</v>
      </c>
      <c r="AF16" s="217">
        <f ca="1">SUM(AF4:AF15)</f>
        <v>44</v>
      </c>
      <c r="AG16" s="221"/>
      <c r="AH16" s="217">
        <f ca="1">SUM(AH4:AH15)</f>
        <v>0</v>
      </c>
      <c r="AI16" s="803">
        <f ca="1">SUM(AI4:AI15)</f>
        <v>0</v>
      </c>
      <c r="AJ16" s="217">
        <f t="shared" ca="1" si="14"/>
        <v>0</v>
      </c>
      <c r="AK16" s="835">
        <f ca="1">SUM(AK4:AK15)</f>
        <v>0</v>
      </c>
      <c r="AL16" s="217">
        <f ca="1">+SUM(AL4:AL15)</f>
        <v>463.83399230769226</v>
      </c>
      <c r="AM16" s="298"/>
      <c r="AN16" s="297"/>
      <c r="AO16" s="224">
        <f ca="1">+INDIRECT("[EMPINFO.xlsm]"&amp;$O$2&amp;"!T16")</f>
        <v>365</v>
      </c>
      <c r="AP16" s="299">
        <f>+[1]RGaldes!O16</f>
        <v>0</v>
      </c>
      <c r="AQ16" s="841">
        <f ca="1">+INDIRECT("[EMPINFO.xlsm]"&amp;$O$2&amp;"!p16")</f>
        <v>0</v>
      </c>
      <c r="AR16" s="299"/>
      <c r="AS16" s="841">
        <f ca="1">+INDIRECT("[EMPINFO.xlsm]"&amp;$O$2&amp;"!k16")</f>
        <v>0</v>
      </c>
      <c r="AT16" s="299">
        <f ca="1">+INDIRECT("[EMPINFO.xlsm]"&amp;$O$2&amp;"!m16")</f>
        <v>0</v>
      </c>
      <c r="AU16" s="841">
        <f ca="1">+INDIRECT("[EMPINFO.xlsm]"&amp;$O$2&amp;"!n16")</f>
        <v>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TRUNC(IF(OR(Timer="PT", Timer="PT_casual"),0,Z16),0)</f>
        <v>0</v>
      </c>
      <c r="I17" s="456"/>
      <c r="K17" s="317" t="s">
        <v>151</v>
      </c>
      <c r="L17" s="101"/>
      <c r="M17" s="256">
        <v>7.6</v>
      </c>
      <c r="N17" s="257" t="s">
        <v>152</v>
      </c>
      <c r="O17" s="258">
        <f ca="1">+Med_Tot</f>
        <v>463.83399230769226</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0</v>
      </c>
      <c r="O19" s="894" t="str">
        <f>Surname&amp;" "&amp;Name</f>
        <v>Falzon Andae</v>
      </c>
      <c r="P19" s="374" t="str">
        <f>+IDCard</f>
        <v>229506L</v>
      </c>
      <c r="Q19" s="375" t="str">
        <f>+designation</f>
        <v>10. Trainee  Dental Assistant</v>
      </c>
      <c r="R19" s="376" t="s">
        <v>156</v>
      </c>
      <c r="S19" s="377">
        <f ca="1">+S20+S23+S22+S24+S25+S26+S21</f>
        <v>103.45292999999999</v>
      </c>
      <c r="T19" s="378">
        <f>+FS4_Status</f>
        <v>0</v>
      </c>
      <c r="U19" s="572" t="str">
        <f ca="1">INDEX(INDAT,MATCH(O21,(INDIRECT(("months"),TRUE)),0),26)</f>
        <v>PT_CASUAL</v>
      </c>
      <c r="V19" s="379">
        <f ca="1">INDEX(INDAT,MATCH(O21,(INDIRECT(("months"),TRUE)),0),25)</f>
        <v>0</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 ca="1">TRUNC(IF(OR(Timer="PT", Timer="PT_Casual"),Med_Tot,0),0)</f>
        <v>463</v>
      </c>
      <c r="I20" s="460"/>
      <c r="J20" s="318" t="s">
        <v>160</v>
      </c>
      <c r="K20" s="910"/>
      <c r="L20" s="911"/>
      <c r="N20" s="387">
        <f ca="1">IF(AND(OR((INDEX(PYRL_Summary,MATCH(O21,months,0),28))="PT",( INDEX(PYRL_Summary,MATCH(O21,months,0),28))="PT_casual" ),(N22-N21&gt;=1)),1,0)</f>
        <v>1</v>
      </c>
      <c r="O20" s="895"/>
      <c r="P20" s="416" t="s">
        <v>161</v>
      </c>
      <c r="Q20" s="380">
        <f ca="1">INDEX(PYRL_Summary,MATCH(O21,months,0),5)</f>
        <v>0</v>
      </c>
      <c r="R20" s="381" t="s">
        <v>94</v>
      </c>
      <c r="S20" s="382">
        <f ca="1">INDEX(PYRL_Summary,MATCH(O21,months,0),7)</f>
        <v>0</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12.93 HRS</v>
      </c>
      <c r="S21" s="367">
        <f ca="1">INDEX(PYRL_Summary,MATCH(O21,months,0),41)*janhrrt</f>
        <v>103.45292999999999</v>
      </c>
      <c r="T21" s="372">
        <f ca="1">+U21+V21</f>
        <v>0</v>
      </c>
      <c r="U21" s="372">
        <f ca="1">INDEX(PYRL_Summary,MATCH(O21,months,0),22)</f>
        <v>0</v>
      </c>
      <c r="V21" s="373">
        <f ca="1">INDEX(PYRL_Summary,MATCH(O21,months,0),23)</f>
        <v>0</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0</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463</v>
      </c>
      <c r="I23" s="466"/>
      <c r="J23" s="318" t="s">
        <v>169</v>
      </c>
      <c r="K23" s="916"/>
      <c r="L23" s="917"/>
      <c r="N23" s="420"/>
      <c r="O23" s="344">
        <f>+ID</f>
        <v>2025007</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10</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 xml:space="preserve"> </v>
      </c>
      <c r="R25" s="100">
        <f>IF((INDEX(PYRL_Summary,MATCH(O21,months,0),13)&gt;=0.01),(INDEX(PYRL_Summary,MATCH(O21,months,0),13)),0)</f>
        <v>0</v>
      </c>
      <c r="S25" s="102">
        <f>+P25+R25</f>
        <v>0</v>
      </c>
      <c r="T25" s="889" t="str">
        <f>+IBAN</f>
        <v>MT17VALL22013000000050017709140</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93.452929999999995</v>
      </c>
      <c r="V26" s="418"/>
      <c r="X26" s="575"/>
    </row>
    <row r="27" spans="1:56" ht="24" customHeight="1" thickBot="1" x14ac:dyDescent="0.3">
      <c r="A27" s="54"/>
      <c r="B27" s="73" t="s">
        <v>52</v>
      </c>
      <c r="G27" s="73" t="s">
        <v>53</v>
      </c>
      <c r="H27" s="8">
        <f>IF(OR(Timer="PT", Timer="pt_casual"),0,AA16)</f>
        <v>0</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173862589</v>
      </c>
      <c r="U27" s="545"/>
      <c r="V27" s="546"/>
      <c r="W27" s="73" t="s">
        <v>183</v>
      </c>
      <c r="Y27" s="436">
        <v>173862589</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0</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 ca="1">IF(OR( Timer="pt", Timer="pt_casual"),AA16,0)</f>
        <v>44</v>
      </c>
      <c r="L29" s="101"/>
      <c r="N29" s="403">
        <f ca="1">IF(OR(INDEX(PYRL_Summary,MATCH(O31,months,0),28)="pt",INDEX(PYRL_Summary,MATCH(O31,months,0),28)="pt_casual"),0,IF(N32-N31&gt;=1,1,0))</f>
        <v>0</v>
      </c>
      <c r="O29" s="908" t="str">
        <f>Surname&amp;" "&amp;Name</f>
        <v>Falzon Andae</v>
      </c>
      <c r="P29" s="394" t="str">
        <f>+IDCard</f>
        <v>229506L</v>
      </c>
      <c r="Q29" s="395" t="str">
        <f>+designation</f>
        <v>10. Trainee  Dental Assistant</v>
      </c>
      <c r="R29" s="396" t="s">
        <v>156</v>
      </c>
      <c r="S29" s="397">
        <f ca="1">+S30+S33+S32+S34+S35+S36+S31</f>
        <v>346.52330999999998</v>
      </c>
      <c r="T29" s="431">
        <f>+FS4_Status</f>
        <v>0</v>
      </c>
      <c r="U29" s="573" t="str">
        <f ca="1">INDEX(INDAT,MATCH(O31,(INDIRECT(("months"),TRUE)),0),26)</f>
        <v>PT_CASUAL</v>
      </c>
      <c r="V29" s="432">
        <f ca="1">INDEX(INDAT,MATCH(O31,(INDIRECT(("months"),TRUE)),0),25)</f>
        <v>0</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1</v>
      </c>
      <c r="O30" s="909"/>
      <c r="P30" s="415" t="s">
        <v>161</v>
      </c>
      <c r="Q30" s="414">
        <f ca="1">INDEX(PYRL_Summary,MATCH(O31,months,0),5)</f>
        <v>0</v>
      </c>
      <c r="R30" s="398" t="s">
        <v>94</v>
      </c>
      <c r="S30" s="399">
        <f ca="1">INDEX(PYRL_Summary,MATCH(O31,months,0),7)</f>
        <v>0</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44</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43.31 HRS</v>
      </c>
      <c r="S31" s="193">
        <f ca="1">INDEX(PYRL_Summary,MATCH(O31,months,0),41)*febhrrt</f>
        <v>346.52330999999998</v>
      </c>
      <c r="T31" s="357">
        <f ca="1">+U31+V31</f>
        <v>0</v>
      </c>
      <c r="U31" s="358">
        <f ca="1">INDEX(PYRL_Summary,MATCH(O31,months,0),22)</f>
        <v>0</v>
      </c>
      <c r="V31" s="359">
        <f ca="1">INDEX(PYRL_Summary,MATCH(O31,months,0),23)</f>
        <v>0</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0</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2025007</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34</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 xml:space="preserve"> </v>
      </c>
      <c r="R35" s="100">
        <f ca="1">IF((INDEX(PYRL_Summary,MATCH(O31,months,0),13)&gt;=0.01),(INDEX(PYRL_Summary,MATCH(O31,months,0),13)),0)</f>
        <v>0</v>
      </c>
      <c r="S35" s="102">
        <f ca="1">+P35+R35</f>
        <v>0</v>
      </c>
      <c r="T35" s="889" t="str">
        <f>+IBAN</f>
        <v>MT17VALL22013000000050017709140</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312.52330999999998</v>
      </c>
      <c r="V36" s="418"/>
    </row>
    <row r="37" spans="1:37" ht="25.5" customHeight="1" thickBot="1" x14ac:dyDescent="0.3">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 xml:space="preserve">DO NOT INPUT HERE. USE HIGHLIGHTED </v>
      </c>
      <c r="U37" s="545"/>
      <c r="V37" s="546"/>
      <c r="W37" s="73" t="s">
        <v>183</v>
      </c>
      <c r="Y37" s="436"/>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0</v>
      </c>
      <c r="R38" s="410" t="s">
        <v>188</v>
      </c>
      <c r="S38" s="411">
        <f ca="1">INDEX(PYRL_Summary,MATCH(O31,months,0),33)</f>
        <v>0</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0</v>
      </c>
      <c r="O39" s="894" t="str">
        <f>Surname&amp;" "&amp;Name</f>
        <v>Falzon Andae</v>
      </c>
      <c r="P39" s="374" t="str">
        <f>+IDCard</f>
        <v>229506L</v>
      </c>
      <c r="Q39" s="375" t="str">
        <f>+designation</f>
        <v>10. Trainee  Dental Assistant</v>
      </c>
      <c r="R39" s="376" t="s">
        <v>156</v>
      </c>
      <c r="S39" s="377">
        <f ca="1">+S40+S43+S42+S44+S45+S46+S41</f>
        <v>6.5519600000000002</v>
      </c>
      <c r="T39" s="378">
        <f>+FS4_Status</f>
        <v>0</v>
      </c>
      <c r="U39" s="572" t="str">
        <f ca="1">INDEX(INDAT,MATCH(O41,(INDIRECT(("months"),TRUE)),0),26)</f>
        <v>PT_CASUAL</v>
      </c>
      <c r="V39" s="379">
        <f ca="1">INDEX(INDAT,MATCH(O41,(INDIRECT(("months"),TRUE)),0),25)</f>
        <v>0</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1</v>
      </c>
      <c r="O40" s="895"/>
      <c r="P40" s="416" t="s">
        <v>161</v>
      </c>
      <c r="Q40" s="380">
        <f ca="1">INDEX(PYRL_Summary,MATCH(O41,months,0),5)</f>
        <v>0</v>
      </c>
      <c r="R40" s="381" t="s">
        <v>94</v>
      </c>
      <c r="S40" s="382">
        <f ca="1">INDEX(PYRL_Summary,MATCH(O41,months,0),7)</f>
        <v>0</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0</v>
      </c>
      <c r="U41" s="372">
        <f ca="1">INDEX(PYRL_Summary,MATCH(O41,months,0),22)</f>
        <v>0</v>
      </c>
      <c r="V41" s="373">
        <f ca="1">INDEX(PYRL_Summary,MATCH(O41,months,0),23)</f>
        <v>0</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0</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2025007</v>
      </c>
      <c r="P43" s="365" t="s">
        <v>172</v>
      </c>
      <c r="Q43" s="365"/>
      <c r="R43" s="366"/>
      <c r="S43" s="367">
        <f ca="1">INDEX(PYRL_Summary,MATCH(O41,months,0),11)</f>
        <v>6.5519600000000002</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0</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 xml:space="preserve"> </v>
      </c>
      <c r="R45" s="100">
        <f ca="1">IF((INDEX(PYRL_Summary,MATCH(O41,months,0),13)&gt;=0.01),(INDEX(PYRL_Summary,MATCH(O41,months,0),13)),0)</f>
        <v>0</v>
      </c>
      <c r="S45" s="102">
        <f ca="1">+P45+R45</f>
        <v>0</v>
      </c>
      <c r="T45" s="889" t="str">
        <f>+IBAN</f>
        <v>MT17VALL22013000000050017709140</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6.5519600000000002</v>
      </c>
      <c r="V46" s="418"/>
    </row>
    <row r="47" spans="1:37" ht="25.5" customHeight="1" thickBot="1" x14ac:dyDescent="0.4">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Transaction ID is: 175304958</v>
      </c>
      <c r="U47" s="545"/>
      <c r="V47" s="546"/>
      <c r="W47" s="73" t="s">
        <v>183</v>
      </c>
      <c r="Y47" s="574" t="s">
        <v>649</v>
      </c>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0</v>
      </c>
      <c r="R48" s="392" t="s">
        <v>188</v>
      </c>
      <c r="S48" s="393">
        <f ca="1">INDEX(PYRL_Summary,MATCH(O41,months,0),33)</f>
        <v>0</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0</v>
      </c>
      <c r="O49" s="908" t="str">
        <f>Surname&amp;" "&amp;Name</f>
        <v>Falzon Andae</v>
      </c>
      <c r="P49" s="394" t="str">
        <f>+IDCard</f>
        <v>229506L</v>
      </c>
      <c r="Q49" s="395" t="str">
        <f>+designation</f>
        <v>10. Trainee  Dental Assistant</v>
      </c>
      <c r="R49" s="396" t="s">
        <v>156</v>
      </c>
      <c r="S49" s="397">
        <f ca="1">+S50+S53+S52+S54+S55+S56+S51</f>
        <v>0</v>
      </c>
      <c r="T49" s="431">
        <f>+FS4_Status</f>
        <v>0</v>
      </c>
      <c r="U49" s="573" t="str">
        <f ca="1">INDEX(INDAT,MATCH(O51,(INDIRECT(("months"),TRUE)),0),26)</f>
        <v>PT_CASUAL</v>
      </c>
      <c r="V49" s="432">
        <f ca="1">INDEX(INDAT,MATCH(O51,(INDIRECT(("months"),TRUE)),0),25)</f>
        <v>0</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1</v>
      </c>
      <c r="O50" s="909"/>
      <c r="P50" s="415" t="s">
        <v>161</v>
      </c>
      <c r="Q50" s="414">
        <f ca="1">INDEX(PYRL_Summary,MATCH(O51,months,0),5)</f>
        <v>0</v>
      </c>
      <c r="R50" s="398" t="s">
        <v>94</v>
      </c>
      <c r="S50" s="399">
        <f ca="1">INDEX(PYRL_Summary,MATCH(O51,months,0),7)</f>
        <v>0</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0</v>
      </c>
      <c r="U51" s="358">
        <f ca="1">INDEX(PYRL_Summary,MATCH(O51,months,0),22)</f>
        <v>0</v>
      </c>
      <c r="V51" s="359">
        <f ca="1">INDEX(PYRL_Summary,MATCH(O51,months,0),23)</f>
        <v>0</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0</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2025007</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 xml:space="preserve"> </v>
      </c>
      <c r="R55" s="100">
        <f ca="1">IF((INDEX(PYRL_Summary,MATCH(O51,months,0),13)&gt;=0.01),(INDEX(PYRL_Summary,MATCH(O51,months,0),13)),0)</f>
        <v>0</v>
      </c>
      <c r="S55" s="102">
        <f ca="1">+P55+R55</f>
        <v>0</v>
      </c>
      <c r="T55" s="889" t="str">
        <f>+IBAN</f>
        <v>MT17VALL22013000000050017709140</v>
      </c>
      <c r="U55" s="890"/>
      <c r="V55" s="891"/>
    </row>
    <row r="56" spans="1:37" ht="16.5" customHeight="1" thickBot="1" x14ac:dyDescent="0.3">
      <c r="E56" s="116" t="s">
        <v>215</v>
      </c>
      <c r="F56" s="115" t="str">
        <f>INDEX([1]!empdata,MATCH(ID,[1]!empid,0),17)</f>
        <v>MT17VALL22013000000050017709140</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0</v>
      </c>
      <c r="V56" s="418"/>
    </row>
    <row r="57" spans="1:37" ht="26.25" customHeight="1" thickBot="1" x14ac:dyDescent="0.3">
      <c r="E57" s="116" t="s">
        <v>216</v>
      </c>
      <c r="F57" s="340" t="str">
        <f>INDEX([1]!empdata,MATCH(ID,[1]!empid,0),12)</f>
        <v>afalzon986@gmail.com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38910</v>
      </c>
      <c r="G58" s="56"/>
      <c r="H58" s="63"/>
      <c r="N58" s="406">
        <f ca="1">INDEX(PYRL_Summary,MATCH(O51,months,0),4)</f>
        <v>4</v>
      </c>
      <c r="O58" s="407" t="s">
        <v>187</v>
      </c>
      <c r="P58" s="408">
        <f>+O41</f>
        <v>46082</v>
      </c>
      <c r="Q58" s="409">
        <f ca="1">INDEX(PYRL_Summary,MATCH(P58,months,0),31)</f>
        <v>0</v>
      </c>
      <c r="R58" s="410" t="s">
        <v>188</v>
      </c>
      <c r="S58" s="411">
        <f ca="1">INDEX(PYRL_Summary,MATCH(O51,months,0),33)</f>
        <v>0</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45840</v>
      </c>
      <c r="G59" s="56"/>
      <c r="H59" s="63"/>
      <c r="N59" s="386">
        <f ca="1">IF(OR(INDEX(PYRL_Summary,MATCH(O61,months,0),28)="pt",INDEX(PYRL_Summary,MATCH(O61,months,0),28)="pt_casual"),0,IF(N62-N61&gt;=1,1,0))</f>
        <v>0</v>
      </c>
      <c r="O59" s="894" t="str">
        <f>Surname&amp;" "&amp;Name</f>
        <v>Falzon Andae</v>
      </c>
      <c r="P59" s="374" t="str">
        <f>+IDCard</f>
        <v>229506L</v>
      </c>
      <c r="Q59" s="375" t="str">
        <f>+designation</f>
        <v>10. Trainee  Dental Assistant</v>
      </c>
      <c r="R59" s="376" t="s">
        <v>156</v>
      </c>
      <c r="S59" s="377">
        <f ca="1">+S60+S63+S62+S64+S65+S66+S61</f>
        <v>0</v>
      </c>
      <c r="T59" s="378">
        <f>+FS4_Status</f>
        <v>0</v>
      </c>
      <c r="U59" s="572" t="str">
        <f ca="1">INDEX(INDAT,MATCH(O61,(INDIRECT(("months"),TRUE)),0),26)</f>
        <v>PT_CASUAL</v>
      </c>
      <c r="V59" s="379">
        <f ca="1">INDEX(INDAT,MATCH(O61,(INDIRECT(("months"),TRUE)),0),25)</f>
        <v>0</v>
      </c>
      <c r="W59" s="422">
        <f>+$O$8</f>
        <v>46143</v>
      </c>
      <c r="X59" s="423"/>
      <c r="Y59" s="423"/>
      <c r="Z59" s="73"/>
      <c r="AA59" s="73"/>
    </row>
    <row r="60" spans="1:37" ht="20.25" customHeight="1" thickBot="1" x14ac:dyDescent="0.3">
      <c r="E60" s="116" t="s">
        <v>219</v>
      </c>
      <c r="F60" s="115" t="str">
        <f>INDEX([1]!empdata,MATCH(ID,[1]!empid,0),8)</f>
        <v>10. Trainee  Dental Assistant</v>
      </c>
      <c r="G60" s="56"/>
      <c r="H60" s="63"/>
      <c r="N60" s="387">
        <f ca="1">IF(AND(OR((INDEX(PYRL_Summary,MATCH(O61,months,0),28))="PT",( INDEX(PYRL_Summary,MATCH(O61,months,0),28))="PT_casual" ),(N62-N61&gt;=1)),1,0)</f>
        <v>1</v>
      </c>
      <c r="O60" s="895"/>
      <c r="P60" s="416" t="s">
        <v>161</v>
      </c>
      <c r="Q60" s="380">
        <f ca="1">INDEX(PYRL_Summary,MATCH(O61,months,0),5)</f>
        <v>0</v>
      </c>
      <c r="R60" s="381" t="s">
        <v>94</v>
      </c>
      <c r="S60" s="382">
        <f ca="1">INDEX(PYRL_Summary,MATCH(O61,months,0),7)</f>
        <v>0</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PT_CASUAL</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0</v>
      </c>
      <c r="U61" s="372">
        <f ca="1">INDEX(PYRL_Summary,MATCH(O61,months,0),22)</f>
        <v>0</v>
      </c>
      <c r="V61" s="373">
        <f ca="1">INDEX(PYRL_Summary,MATCH(O61,months,0),23)</f>
        <v>0</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f>INDEX([1]!empdata,MATCH(ID,[1]!empid,0),15)</f>
        <v>0</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0</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2025007</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0</v>
      </c>
      <c r="X64" s="577"/>
    </row>
    <row r="65" spans="5:37" ht="15.75" customHeight="1" thickBot="1" x14ac:dyDescent="0.3">
      <c r="E65" s="925" t="s">
        <v>224</v>
      </c>
      <c r="F65" s="926"/>
      <c r="G65" s="103">
        <f ca="1">+Med_Tot</f>
        <v>463.83399230769226</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 xml:space="preserve"> </v>
      </c>
      <c r="R65" s="100">
        <f ca="1">IF((INDEX(PYRL_Summary,MATCH(O61,months,0),13)&gt;=0.01),(INDEX(PYRL_Summary,MATCH(O61,months,0),13)),0)</f>
        <v>0</v>
      </c>
      <c r="S65" s="102">
        <f ca="1">+P65+R65</f>
        <v>0</v>
      </c>
      <c r="T65" s="889" t="str">
        <f>+IBAN</f>
        <v>MT17VALL22013000000050017709140</v>
      </c>
      <c r="U65" s="890"/>
      <c r="V65" s="891"/>
    </row>
    <row r="66" spans="5:37" ht="16.5" customHeight="1" thickBot="1" x14ac:dyDescent="0.3">
      <c r="E66" s="952" t="s">
        <v>226</v>
      </c>
      <c r="F66" s="953"/>
      <c r="G66" s="112">
        <f ca="1">+PREVFS3+Med_Tot</f>
        <v>463.83399230769226</v>
      </c>
      <c r="H66" s="114" t="e">
        <f ca="1">IF(grossyearly&lt;F68,1,IF(grossyearly&lt;F69,2,IF(grossyearly&lt;F70,3,IF(grossyearly&lt;F71,4,5))))</f>
        <v>#N/A</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0</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0max1</v>
      </c>
      <c r="F68" s="66" t="e">
        <f>+VLOOKUP(E68,SStable,4,)</f>
        <v>#N/A</v>
      </c>
      <c r="G68" s="109" t="e">
        <f>+VLOOKUP(E68,SStable,5,)</f>
        <v>#N/A</v>
      </c>
      <c r="H68" s="104" t="e">
        <f>+VLOOKUP(E68,SStable,6,)</f>
        <v>#N/A</v>
      </c>
      <c r="N68" s="388">
        <f ca="1">INDEX(PYRL_Summary,MATCH(O61,months,0),4)</f>
        <v>4</v>
      </c>
      <c r="O68" s="389" t="s">
        <v>187</v>
      </c>
      <c r="P68" s="390">
        <f>+O51</f>
        <v>46113</v>
      </c>
      <c r="Q68" s="391">
        <f ca="1">INDEX(PYRL_Summary,MATCH(P68,months,0),31)</f>
        <v>0</v>
      </c>
      <c r="R68" s="392" t="s">
        <v>188</v>
      </c>
      <c r="S68" s="393">
        <f ca="1">INDEX(PYRL_Summary,MATCH(O61,months,0),33)</f>
        <v>0</v>
      </c>
      <c r="T68" s="425" t="str">
        <f>+Clinic_add</f>
        <v>7,  Mediatrix, Sanctuary Str. Zabbar ZBR1010
8, Mediatrix, Guze Duca Str., Qormi QRM9088</v>
      </c>
      <c r="U68" s="426"/>
      <c r="V68" s="427" t="s">
        <v>189</v>
      </c>
    </row>
    <row r="69" spans="5:37" ht="27" customHeight="1" thickBot="1" x14ac:dyDescent="0.3">
      <c r="E69" s="80" t="str">
        <f>CONCATENATE(FS4_Status,"max",2)</f>
        <v>0max2</v>
      </c>
      <c r="F69" s="66" t="e">
        <f>+VLOOKUP(E69,SStable,4,)</f>
        <v>#N/A</v>
      </c>
      <c r="G69" s="109" t="e">
        <f>+VLOOKUP(E69,SStable,5,)</f>
        <v>#N/A</v>
      </c>
      <c r="H69" s="104" t="e">
        <f>+VLOOKUP(E69,SStable,6,)</f>
        <v>#N/A</v>
      </c>
      <c r="N69" s="403">
        <f ca="1">IF(OR(INDEX(PYRL_Summary,MATCH(O71,months,0),28)="pt",INDEX(PYRL_Summary,MATCH(O71,months,0),28)="pt_casual"),0,IF(N72-N71&gt;=1,1,0))</f>
        <v>0</v>
      </c>
      <c r="O69" s="908" t="str">
        <f>Surname&amp;" "&amp;Name</f>
        <v>Falzon Andae</v>
      </c>
      <c r="P69" s="394" t="str">
        <f>+IDCard</f>
        <v>229506L</v>
      </c>
      <c r="Q69" s="395" t="str">
        <f>+designation</f>
        <v>10. Trainee  Dental Assistant</v>
      </c>
      <c r="R69" s="396" t="s">
        <v>156</v>
      </c>
      <c r="S69" s="397">
        <f ca="1">+S70+S73+S72+S74+S75+S76+S71</f>
        <v>7.3057923076923075</v>
      </c>
      <c r="T69" s="431">
        <f>+FS4_Status</f>
        <v>0</v>
      </c>
      <c r="U69" s="573" t="str">
        <f ca="1">INDEX(INDAT,MATCH(O71,(INDIRECT(("months"),TRUE)),0),26)</f>
        <v>PT_CASUAL</v>
      </c>
      <c r="V69" s="432">
        <f ca="1">INDEX(INDAT,MATCH(O71,(INDIRECT(("months"),TRUE)),0),25)</f>
        <v>0</v>
      </c>
      <c r="W69" s="412">
        <f>+$O$9</f>
        <v>46174</v>
      </c>
      <c r="X69" s="424"/>
      <c r="Y69" s="424"/>
      <c r="Z69" s="73"/>
      <c r="AA69" s="73"/>
    </row>
    <row r="70" spans="5:37" ht="20.25" customHeight="1" thickBot="1" x14ac:dyDescent="0.3">
      <c r="E70" s="80" t="str">
        <f>CONCATENATE(FS4_Status,"max",3)</f>
        <v>0max3</v>
      </c>
      <c r="F70" s="66" t="e">
        <f>+VLOOKUP(E70,SStable,4,)</f>
        <v>#N/A</v>
      </c>
      <c r="G70" s="109" t="e">
        <f>+VLOOKUP(E70,SStable,5,)</f>
        <v>#N/A</v>
      </c>
      <c r="H70" s="104" t="e">
        <f>+VLOOKUP(E70,SStable,6,)</f>
        <v>#N/A</v>
      </c>
      <c r="N70" s="404">
        <f ca="1">IF(AND(OR((INDEX(PYRL_Summary,MATCH(O71,months,0),28))="PT",( INDEX(PYRL_Summary,MATCH(O71,months,0),28))="PT_casual" ),(N72-N71&gt;=1)),1,0)</f>
        <v>1</v>
      </c>
      <c r="O70" s="909"/>
      <c r="P70" s="415" t="s">
        <v>161</v>
      </c>
      <c r="Q70" s="414">
        <f ca="1">INDEX(PYRL_Summary,MATCH(O71,months,0),5)</f>
        <v>0</v>
      </c>
      <c r="R70" s="398" t="s">
        <v>94</v>
      </c>
      <c r="S70" s="399">
        <f ca="1">INDEX(PYRL_Summary,MATCH(O71,months,0),7)</f>
        <v>0</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0max4</v>
      </c>
      <c r="F71" s="66" t="e">
        <f>+VLOOKUP(E71,SStable,4,)</f>
        <v>#N/A</v>
      </c>
      <c r="G71" s="109" t="e">
        <f>+VLOOKUP(E71,SStable,5,)</f>
        <v>#N/A</v>
      </c>
      <c r="H71" s="104" t="e">
        <f>+VLOOKUP(E71,SStable,6,)</f>
        <v>#N/A</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0</v>
      </c>
      <c r="U71" s="358">
        <f ca="1">INDEX(PYRL_Summary,MATCH(O71,months,0),22)</f>
        <v>0</v>
      </c>
      <c r="V71" s="359">
        <f ca="1">INDEX(PYRL_Summary,MATCH(O71,months,0),23)</f>
        <v>0</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0max5</v>
      </c>
      <c r="F72" s="66" t="s">
        <v>230</v>
      </c>
      <c r="G72" s="109" t="e">
        <f>+VLOOKUP(E72,SStable,5,)</f>
        <v>#N/A</v>
      </c>
      <c r="H72" s="104" t="e">
        <f>+VLOOKUP(E72,SStable,6,)</f>
        <v>#N/A</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0</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2025007</v>
      </c>
      <c r="P73" s="195" t="s">
        <v>172</v>
      </c>
      <c r="Q73" s="195"/>
      <c r="R73" s="194"/>
      <c r="S73" s="193">
        <f ca="1">INDEX(PYRL_Summary,MATCH(O71,months,0),11)</f>
        <v>7.3057923076923075</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0</v>
      </c>
      <c r="X74" s="577"/>
    </row>
    <row r="75" spans="5:37" ht="15.75" customHeight="1" thickBot="1" x14ac:dyDescent="0.3">
      <c r="E75" s="293"/>
      <c r="F75" s="294" t="s">
        <v>130</v>
      </c>
      <c r="G75" s="295" t="e">
        <f ca="1">IF(AND(Timer="pt",grossyearly&lt;10000),+ptrate,IF(grossyearly&lt;$F$68,$G$68,IF(grossyearly&lt;$F$69,$G$69,IF(grossyearly&lt;$F$70,$G$70,IF(grossyearly&lt;$F$71,$G$71,$G$72)))))</f>
        <v>#N/A</v>
      </c>
      <c r="H75" s="296" t="e">
        <f ca="1">IF(grossyearly&lt;$F$68,$H$68,IF(grossyearly&lt;$F$69,$H$69,IF(grossyearly&lt;$F$70,$H$70,IF(grossyearly&lt;$F$71,$H$71,$H$72))))</f>
        <v>#N/A</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 xml:space="preserve"> </v>
      </c>
      <c r="R75" s="100">
        <f ca="1">IF((INDEX(PYRL_Summary,MATCH(O71,months,0),13)&gt;=0.01),(INDEX(PYRL_Summary,MATCH(O71,months,0),13)),0)</f>
        <v>0</v>
      </c>
      <c r="S75" s="102">
        <f ca="1">+P75+R75</f>
        <v>0</v>
      </c>
      <c r="T75" s="889" t="str">
        <f>+IBAN</f>
        <v>MT17VALL22013000000050017709140</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7.3057923076923075</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0</v>
      </c>
      <c r="R78" s="410" t="s">
        <v>188</v>
      </c>
      <c r="S78" s="411">
        <f ca="1">INDEX(PYRL_Summary,MATCH(O71,months,0),33)</f>
        <v>0</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0</v>
      </c>
      <c r="O79" s="894" t="str">
        <f>Surname&amp;" "&amp;Name</f>
        <v>Falzon Andae</v>
      </c>
      <c r="P79" s="374" t="str">
        <f>+IDCard</f>
        <v>229506L</v>
      </c>
      <c r="Q79" s="375" t="str">
        <f>+designation</f>
        <v>10. Trainee  Dental Assistant</v>
      </c>
      <c r="R79" s="376" t="s">
        <v>156</v>
      </c>
      <c r="S79" s="377">
        <f ca="1">+S80+S83+S82+S84+S85+S86+S81</f>
        <v>0</v>
      </c>
      <c r="T79" s="378">
        <f>+FS4_Status</f>
        <v>0</v>
      </c>
      <c r="U79" s="572" t="str">
        <f ca="1">INDEX(INDAT,MATCH(O81,(INDIRECT(("months"),TRUE)),0),26)</f>
        <v>PT_CASUAL</v>
      </c>
      <c r="V79" s="379">
        <f ca="1">INDEX(INDAT,MATCH(O81,(INDIRECT(("months"),TRUE)),0),25)</f>
        <v>0</v>
      </c>
      <c r="W79" s="422">
        <f>+$O$10</f>
        <v>46204</v>
      </c>
      <c r="X79" s="423"/>
      <c r="Y79" s="423"/>
      <c r="Z79" s="73"/>
      <c r="AA79" s="73"/>
    </row>
    <row r="80" spans="5:37" ht="20.25" customHeight="1" thickBot="1" x14ac:dyDescent="0.3">
      <c r="N80" s="387">
        <f ca="1">IF(AND(OR((INDEX(PYRL_Summary,MATCH(O81,months,0),28))="PT",( INDEX(PYRL_Summary,MATCH(O81,months,0),28))="PT_casual" ),(N82-N81&gt;=1)),1,0)</f>
        <v>1</v>
      </c>
      <c r="O80" s="895"/>
      <c r="P80" s="416" t="s">
        <v>161</v>
      </c>
      <c r="Q80" s="380">
        <f ca="1">INDEX(PYRL_Summary,MATCH(O81,months,0),5)</f>
        <v>0</v>
      </c>
      <c r="R80" s="381" t="s">
        <v>94</v>
      </c>
      <c r="S80" s="382">
        <f ca="1">INDEX(PYRL_Summary,MATCH(O81,months,0),7)</f>
        <v>0</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0</v>
      </c>
      <c r="U81" s="372">
        <f ca="1">INDEX(PYRL_Summary,MATCH(O81,months,0),22)</f>
        <v>0</v>
      </c>
      <c r="V81" s="373">
        <f ca="1">INDEX(PYRL_Summary,MATCH(O81,months,0),23)</f>
        <v>0</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0</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2025007</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 xml:space="preserve"> </v>
      </c>
      <c r="R85" s="100">
        <f ca="1">IF((INDEX(PYRL_Summary,MATCH(O81,months,0),13)&gt;=0.01),(INDEX(PYRL_Summary,MATCH(O81,months,0),13)),0)</f>
        <v>0</v>
      </c>
      <c r="S85" s="102">
        <f ca="1">+P85+R85</f>
        <v>0</v>
      </c>
      <c r="T85" s="889" t="str">
        <f>+IBAN</f>
        <v>MT17VALL22013000000050017709140</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0</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0</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0</v>
      </c>
      <c r="O89" s="908" t="str">
        <f>Surname&amp;" "&amp;Name</f>
        <v>Falzon Andae</v>
      </c>
      <c r="P89" s="394" t="str">
        <f>+IDCard</f>
        <v>229506L</v>
      </c>
      <c r="Q89" s="395" t="str">
        <f>+designation</f>
        <v>10. Trainee  Dental Assistant</v>
      </c>
      <c r="R89" s="396" t="s">
        <v>156</v>
      </c>
      <c r="S89" s="397">
        <f ca="1">+S90+S93+S92+S94+S95+S96+S91</f>
        <v>0</v>
      </c>
      <c r="T89" s="431">
        <f>+FS4_Status</f>
        <v>0</v>
      </c>
      <c r="U89" s="573" t="str">
        <f ca="1">INDEX(INDAT,MATCH(O91,(INDIRECT(("months"),TRUE)),0),26)</f>
        <v>PT_CASUAL</v>
      </c>
      <c r="V89" s="432">
        <f ca="1">INDEX(INDAT,MATCH(O91,(INDIRECT(("months"),TRUE)),0),25)</f>
        <v>0</v>
      </c>
      <c r="W89" s="412">
        <f>+$O$11</f>
        <v>46235</v>
      </c>
      <c r="X89" s="424"/>
      <c r="Y89" s="424"/>
      <c r="Z89" s="73"/>
      <c r="AA89" s="73"/>
    </row>
    <row r="90" spans="14:37" ht="20.25" customHeight="1" thickBot="1" x14ac:dyDescent="0.3">
      <c r="N90" s="404">
        <f ca="1">IF(AND(OR((INDEX(PYRL_Summary,MATCH(O91,months,0),28))="PT",( INDEX(PYRL_Summary,MATCH(O91,months,0),28))="PT_casual" ),(N92-N91&gt;=1)),1,0)</f>
        <v>1</v>
      </c>
      <c r="O90" s="909"/>
      <c r="P90" s="415" t="s">
        <v>161</v>
      </c>
      <c r="Q90" s="414">
        <f ca="1">INDEX(PYRL_Summary,MATCH(O91,months,0),5)</f>
        <v>0</v>
      </c>
      <c r="R90" s="398" t="s">
        <v>94</v>
      </c>
      <c r="S90" s="399">
        <f ca="1">INDEX(PYRL_Summary,MATCH(O91,months,0),7)</f>
        <v>0</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0</v>
      </c>
      <c r="U91" s="358">
        <f ca="1">INDEX(PYRL_Summary,MATCH(O91,months,0),22)</f>
        <v>0</v>
      </c>
      <c r="V91" s="359">
        <f ca="1">INDEX(PYRL_Summary,MATCH(O91,months,0),23)</f>
        <v>0</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0</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2025007</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 xml:space="preserve"> </v>
      </c>
      <c r="R95" s="100">
        <f ca="1">IF((INDEX(PYRL_Summary,MATCH(O91,months,0),13)&gt;=0.01),(INDEX(PYRL_Summary,MATCH(O91,months,0),13)),0)</f>
        <v>0</v>
      </c>
      <c r="S95" s="102">
        <f ca="1">+P95+R95</f>
        <v>0</v>
      </c>
      <c r="T95" s="889" t="str">
        <f>+IBAN</f>
        <v>MT17VALL22013000000050017709140</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0</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0</v>
      </c>
      <c r="R98" s="410" t="s">
        <v>188</v>
      </c>
      <c r="S98" s="411">
        <f ca="1">INDEX(PYRL_Summary,MATCH(O91,months,0),33)</f>
        <v>0</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0</v>
      </c>
      <c r="O99" s="894" t="str">
        <f>Surname&amp;" "&amp;Name</f>
        <v>Falzon Andae</v>
      </c>
      <c r="P99" s="374" t="str">
        <f>+IDCard</f>
        <v>229506L</v>
      </c>
      <c r="Q99" s="375" t="str">
        <f>+designation</f>
        <v>10. Trainee  Dental Assistant</v>
      </c>
      <c r="R99" s="376" t="s">
        <v>156</v>
      </c>
      <c r="S99" s="377">
        <f ca="1">+S100+S103+S102+S104+S105+S106+S101</f>
        <v>0</v>
      </c>
      <c r="T99" s="378">
        <f>+FS4_Status</f>
        <v>0</v>
      </c>
      <c r="U99" s="572" t="str">
        <f ca="1">INDEX(INDAT,MATCH(O101,(INDIRECT(("months"),TRUE)),0),26)</f>
        <v>PT_CASUAL</v>
      </c>
      <c r="V99" s="379">
        <f ca="1">INDEX(INDAT,MATCH(O101,(INDIRECT(("months"),TRUE)),0),25)</f>
        <v>0</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1</v>
      </c>
      <c r="O100" s="895"/>
      <c r="P100" s="416" t="s">
        <v>161</v>
      </c>
      <c r="Q100" s="380">
        <f ca="1">INDEX(PYRL_Summary,MATCH(O101,months,0),5)</f>
        <v>0</v>
      </c>
      <c r="R100" s="381" t="s">
        <v>94</v>
      </c>
      <c r="S100" s="382">
        <f ca="1">INDEX(PYRL_Summary,MATCH(O101,months,0),7)</f>
        <v>0</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0</v>
      </c>
      <c r="U101" s="372">
        <f ca="1">INDEX(PYRL_Summary,MATCH(O101,months,0),22)</f>
        <v>0</v>
      </c>
      <c r="V101" s="373">
        <f ca="1">INDEX(PYRL_Summary,MATCH(O101,months,0),23)</f>
        <v>0</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0</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2025007</v>
      </c>
      <c r="P103" s="365" t="s">
        <v>172</v>
      </c>
      <c r="Q103" s="365"/>
      <c r="R103" s="366"/>
      <c r="S103" s="367">
        <f ca="1">INDEX(PYRL_Summary,MATCH(O101,months,0),11)</f>
        <v>0</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0</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 xml:space="preserve"> </v>
      </c>
      <c r="R105" s="100">
        <f ca="1">IF((INDEX(PYRL_Summary,MATCH(O101,months,0),13)&gt;=0.01),(INDEX(PYRL_Summary,MATCH(O101,months,0),13)),0)</f>
        <v>0</v>
      </c>
      <c r="S105" s="102">
        <f ca="1">+P105+R105</f>
        <v>0</v>
      </c>
      <c r="T105" s="889" t="str">
        <f>+IBAN</f>
        <v>MT17VALL22013000000050017709140</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0</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0</v>
      </c>
      <c r="R108" s="392" t="s">
        <v>188</v>
      </c>
      <c r="S108" s="393">
        <f ca="1">INDEX(PYRL_Summary,MATCH(O101,months,0),33)</f>
        <v>0</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0</v>
      </c>
      <c r="O109" s="908" t="str">
        <f>Surname&amp;" "&amp;Name</f>
        <v>Falzon Andae</v>
      </c>
      <c r="P109" s="394" t="str">
        <f>+IDCard</f>
        <v>229506L</v>
      </c>
      <c r="Q109" s="395" t="str">
        <f>+designation</f>
        <v>10. Trainee  Dental Assistant</v>
      </c>
      <c r="R109" s="396" t="s">
        <v>156</v>
      </c>
      <c r="S109" s="397">
        <f ca="1">+S110+S113+S112+S114+S115+S116+S111</f>
        <v>0</v>
      </c>
      <c r="T109" s="431">
        <f>+FS4_Status</f>
        <v>0</v>
      </c>
      <c r="U109" s="573" t="str">
        <f ca="1">INDEX(INDAT,MATCH(W109,(INDIRECT(("months"),TRUE)),0),26)</f>
        <v>PT_CASUAL</v>
      </c>
      <c r="V109" s="432">
        <f ca="1">INDEX(INDAT,MATCH(W109,(INDIRECT(("months"),TRUE)),0),25)</f>
        <v>0</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1</v>
      </c>
      <c r="O110" s="909"/>
      <c r="P110" s="415" t="s">
        <v>161</v>
      </c>
      <c r="Q110" s="414">
        <f ca="1">INDEX(PYRL_Summary,MATCH(W109,months,0),5)</f>
        <v>0</v>
      </c>
      <c r="R110" s="398" t="s">
        <v>94</v>
      </c>
      <c r="S110" s="399">
        <f ca="1">INDEX(PYRL_Summary,MATCH(W109,months,0),7)</f>
        <v>0</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0</v>
      </c>
      <c r="U111" s="358">
        <f ca="1">INDEX(PYRL_Summary,MATCH(W109,months,0),22)</f>
        <v>0</v>
      </c>
      <c r="V111" s="359">
        <f ca="1">INDEX(PYRL_Summary,MATCH(W109,months,0),23)</f>
        <v>0</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0</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2025007</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 xml:space="preserve"> </v>
      </c>
      <c r="R115" s="100">
        <f ca="1">IF((INDEX(PYRL_Summary,MATCH(W109,months,0),13)&gt;=0.01),(INDEX(PYRL_Summary,MATCH(W109,months,0),13)),0)</f>
        <v>0</v>
      </c>
      <c r="S115" s="102">
        <f ca="1">+P115+R115</f>
        <v>0</v>
      </c>
      <c r="T115" s="889" t="str">
        <f>+IBAN</f>
        <v>MT17VALL22013000000050017709140</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0</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0</v>
      </c>
      <c r="R118" s="410" t="s">
        <v>188</v>
      </c>
      <c r="S118" s="411">
        <f ca="1">INDEX(PYRL_Summary,MATCH(W109,months,0),33)</f>
        <v>0</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0</v>
      </c>
      <c r="O119" s="894" t="str">
        <f>Surname&amp;" "&amp;Name</f>
        <v>Falzon Andae</v>
      </c>
      <c r="P119" s="374" t="str">
        <f>+IDCard</f>
        <v>229506L</v>
      </c>
      <c r="Q119" s="375" t="str">
        <f>+designation</f>
        <v>10. Trainee  Dental Assistant</v>
      </c>
      <c r="R119" s="376" t="s">
        <v>156</v>
      </c>
      <c r="S119" s="377">
        <f ca="1">+S120+S123+S122+S124+S125+S126+S121</f>
        <v>0</v>
      </c>
      <c r="T119" s="378">
        <f>+FS4_Status</f>
        <v>0</v>
      </c>
      <c r="U119" s="572" t="str">
        <f ca="1">INDEX(INDAT,MATCH(W119,(INDIRECT(("months"),TRUE)),0),26)</f>
        <v>PT_CASUAL</v>
      </c>
      <c r="V119" s="379">
        <f ca="1">INDEX(INDAT,MATCH(W119,(INDIRECT(("months"),TRUE)),0),25)</f>
        <v>0</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1</v>
      </c>
      <c r="O120" s="895"/>
      <c r="P120" s="416" t="s">
        <v>161</v>
      </c>
      <c r="Q120" s="380">
        <f ca="1">INDEX(PYRL_Summary,MATCH(W119,months,0),5)</f>
        <v>0</v>
      </c>
      <c r="R120" s="381" t="s">
        <v>94</v>
      </c>
      <c r="S120" s="382">
        <f ca="1">INDEX(PYRL_Summary,MATCH(W119,months,0),7)</f>
        <v>0</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0</v>
      </c>
      <c r="U121" s="372">
        <f ca="1">INDEX(PYRL_Summary,MATCH(W119,months,0),22)</f>
        <v>0</v>
      </c>
      <c r="V121" s="373">
        <f ca="1">INDEX(PYRL_Summary,MATCH(W119,months,0),23)</f>
        <v>0</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0</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2025007</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 xml:space="preserve"> </v>
      </c>
      <c r="R125" s="100">
        <f ca="1">IF((INDEX(PYRL_Summary,MATCH(W119,months,0),13)&gt;=0.01),(INDEX(PYRL_Summary,MATCH(W119,months,0),13)),0)</f>
        <v>0</v>
      </c>
      <c r="S125" s="102">
        <f ca="1">+P125+R125</f>
        <v>0</v>
      </c>
      <c r="T125" s="889" t="str">
        <f>+IBAN</f>
        <v>MT17VALL22013000000050017709140</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0</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0</v>
      </c>
      <c r="R128" s="392" t="s">
        <v>188</v>
      </c>
      <c r="S128" s="393">
        <f ca="1">INDEX(PYRL_Summary,MATCH(W119,months,0),33)</f>
        <v>0</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0</v>
      </c>
      <c r="O129" s="908" t="str">
        <f>Surname&amp;" "&amp;Name</f>
        <v>Falzon Andae</v>
      </c>
      <c r="P129" s="394" t="str">
        <f>+IDCard</f>
        <v>229506L</v>
      </c>
      <c r="Q129" s="395" t="str">
        <f>+designation</f>
        <v>10. Trainee  Dental Assistant</v>
      </c>
      <c r="R129" s="396" t="s">
        <v>156</v>
      </c>
      <c r="S129" s="397">
        <f ca="1">+S130+S133+S132+S134+S135+S136+S131</f>
        <v>0</v>
      </c>
      <c r="T129" s="431">
        <f>+FS4_Status</f>
        <v>0</v>
      </c>
      <c r="U129" s="573" t="str">
        <f ca="1">INDEX(INDAT,MATCH(W129,(INDIRECT(("months"),TRUE)),0),26)</f>
        <v>PT_CASUAL</v>
      </c>
      <c r="V129" s="432">
        <f ca="1">INDEX(INDAT,MATCH(W129,(INDIRECT(("months"),TRUE)),0),25)</f>
        <v>0</v>
      </c>
      <c r="W129" s="412">
        <f>+$O$131</f>
        <v>46357</v>
      </c>
      <c r="X129" s="424"/>
      <c r="Y129" s="424"/>
      <c r="Z129" s="73"/>
      <c r="AA129" s="73"/>
    </row>
    <row r="130" spans="14:37" ht="20.25" customHeight="1" thickBot="1" x14ac:dyDescent="0.3">
      <c r="N130" s="404"/>
      <c r="O130" s="909"/>
      <c r="P130" s="415" t="s">
        <v>161</v>
      </c>
      <c r="Q130" s="414">
        <f ca="1">INDEX(PYRL_Summary,MATCH(W129,months,0),5)</f>
        <v>0</v>
      </c>
      <c r="R130" s="398" t="s">
        <v>94</v>
      </c>
      <c r="S130" s="399">
        <f ca="1">INDEX(PYRL_Summary,MATCH(W129,months,0),7)</f>
        <v>0</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0</v>
      </c>
      <c r="U131" s="358">
        <f ca="1">INDEX(PYRL_Summary,MATCH(W129,months,0),22)</f>
        <v>0</v>
      </c>
      <c r="V131" s="359">
        <f ca="1">INDEX(PYRL_Summary,MATCH(W129,months,0),23)</f>
        <v>0</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0</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2025007</v>
      </c>
      <c r="P133" s="195" t="s">
        <v>172</v>
      </c>
      <c r="Q133" s="195"/>
      <c r="R133" s="194"/>
      <c r="S133" s="193">
        <f ca="1">INDEX(PYRL_Summary,MATCH(W129,months,0),11)</f>
        <v>0</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 xml:space="preserve"> </v>
      </c>
      <c r="R135" s="100">
        <f ca="1">IF((INDEX(PYRL_Summary,MATCH(W129,months,0),13)&gt;=0.01),(INDEX(PYRL_Summary,MATCH(W129,months,0),13)),0)</f>
        <v>0</v>
      </c>
      <c r="S135" s="102">
        <f ca="1">+P135+R135</f>
        <v>0</v>
      </c>
      <c r="T135" s="889" t="str">
        <f>+IBAN</f>
        <v>MT17VALL22013000000050017709140</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0</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0</v>
      </c>
      <c r="R138" s="410" t="s">
        <v>188</v>
      </c>
      <c r="S138" s="411">
        <f ca="1">INDEX(PYRL_Summary,MATCH(W129,months,0),33)</f>
        <v>0</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115" priority="29">
      <formula>$P25=0</formula>
    </cfRule>
  </conditionalFormatting>
  <conditionalFormatting sqref="Q25:R25">
    <cfRule type="expression" dxfId="114" priority="28">
      <formula>$R25=0</formula>
    </cfRule>
  </conditionalFormatting>
  <conditionalFormatting sqref="S25">
    <cfRule type="expression" dxfId="113" priority="27">
      <formula>$S25=0</formula>
    </cfRule>
  </conditionalFormatting>
  <conditionalFormatting sqref="S26">
    <cfRule type="expression" dxfId="112" priority="25">
      <formula>$S$46&gt;0.01</formula>
    </cfRule>
    <cfRule type="expression" dxfId="111" priority="26">
      <formula>$S$46=0</formula>
    </cfRule>
  </conditionalFormatting>
  <conditionalFormatting sqref="T23 T33 T43 T53 T63 T73 T83 T93 T103 T113 T123 T133">
    <cfRule type="expression" dxfId="110" priority="24" stopIfTrue="1">
      <formula>"$R$23=0"""</formula>
    </cfRule>
  </conditionalFormatting>
  <conditionalFormatting sqref="O26:Q26">
    <cfRule type="expression" dxfId="109" priority="23">
      <formula>$Q$26=0</formula>
    </cfRule>
  </conditionalFormatting>
  <conditionalFormatting sqref="V23">
    <cfRule type="expression" dxfId="108" priority="22">
      <formula>$V$23=0</formula>
    </cfRule>
  </conditionalFormatting>
  <conditionalFormatting sqref="O35:P35">
    <cfRule type="expression" dxfId="107" priority="21">
      <formula>$P35=0</formula>
    </cfRule>
  </conditionalFormatting>
  <conditionalFormatting sqref="Q35:R35">
    <cfRule type="expression" dxfId="106" priority="20">
      <formula>$R35=0</formula>
    </cfRule>
  </conditionalFormatting>
  <conditionalFormatting sqref="S35">
    <cfRule type="expression" dxfId="105" priority="19">
      <formula>$S35=0</formula>
    </cfRule>
  </conditionalFormatting>
  <conditionalFormatting sqref="S36">
    <cfRule type="expression" dxfId="104" priority="17">
      <formula>$S$46&gt;0.01</formula>
    </cfRule>
    <cfRule type="expression" dxfId="103" priority="18">
      <formula>$S$46=0</formula>
    </cfRule>
  </conditionalFormatting>
  <conditionalFormatting sqref="O36:Q36">
    <cfRule type="expression" dxfId="102" priority="16">
      <formula>$Q$26=0</formula>
    </cfRule>
  </conditionalFormatting>
  <conditionalFormatting sqref="V33">
    <cfRule type="expression" dxfId="101" priority="15">
      <formula>$V$23=0</formula>
    </cfRule>
  </conditionalFormatting>
  <conditionalFormatting sqref="O45:P45 O65:P65 O85:P85 O105:P105 O125:P125">
    <cfRule type="expression" dxfId="100" priority="14">
      <formula>$P45=0</formula>
    </cfRule>
  </conditionalFormatting>
  <conditionalFormatting sqref="Q45:R45 Q65:R65 Q85:R85 Q105:R105 Q125:R125">
    <cfRule type="expression" dxfId="99" priority="13">
      <formula>$R45=0</formula>
    </cfRule>
  </conditionalFormatting>
  <conditionalFormatting sqref="S45 S65 S85 S105 S125">
    <cfRule type="expression" dxfId="98" priority="12">
      <formula>$S45=0</formula>
    </cfRule>
  </conditionalFormatting>
  <conditionalFormatting sqref="S46 S66 S86 S106 S126">
    <cfRule type="expression" dxfId="97" priority="10">
      <formula>$S$46&gt;0.01</formula>
    </cfRule>
    <cfRule type="expression" dxfId="96" priority="11">
      <formula>$S$46=0</formula>
    </cfRule>
  </conditionalFormatting>
  <conditionalFormatting sqref="O46:Q46 O66:Q66 O86:Q86 O106:Q106 O126:Q126">
    <cfRule type="expression" dxfId="95" priority="9">
      <formula>$Q$26=0</formula>
    </cfRule>
  </conditionalFormatting>
  <conditionalFormatting sqref="V43 V63 V83 V103 V123">
    <cfRule type="expression" dxfId="94" priority="8">
      <formula>$V$23=0</formula>
    </cfRule>
  </conditionalFormatting>
  <conditionalFormatting sqref="O55:P55 O75:P75 O95:P95 O115:P115 O135:P135">
    <cfRule type="expression" dxfId="93" priority="7">
      <formula>$P55=0</formula>
    </cfRule>
  </conditionalFormatting>
  <conditionalFormatting sqref="Q55:R55 Q75:R75 Q95:R95 Q115:R115 Q135:R135">
    <cfRule type="expression" dxfId="92" priority="6">
      <formula>$R55=0</formula>
    </cfRule>
  </conditionalFormatting>
  <conditionalFormatting sqref="S55 S75 S95 S115 S135">
    <cfRule type="expression" dxfId="91" priority="5">
      <formula>$S55=0</formula>
    </cfRule>
  </conditionalFormatting>
  <conditionalFormatting sqref="S56 S76 S96 S116 S136">
    <cfRule type="expression" dxfId="90" priority="3">
      <formula>$S$46&gt;0.01</formula>
    </cfRule>
    <cfRule type="expression" dxfId="89" priority="4">
      <formula>$S$46=0</formula>
    </cfRule>
  </conditionalFormatting>
  <conditionalFormatting sqref="O56:Q56 O76:Q76 O96:Q96 O116:Q116 O136:Q136">
    <cfRule type="expression" dxfId="88" priority="2">
      <formula>$Q$26=0</formula>
    </cfRule>
  </conditionalFormatting>
  <conditionalFormatting sqref="V53 V73 V93 V113 V133">
    <cfRule type="expression" dxfId="87" priority="1">
      <formula>$V$23=0</formula>
    </cfRule>
  </conditionalFormatting>
  <hyperlinks>
    <hyperlink ref="F57" r:id="rId1" display="drchrisgauci@gmail.com" xr:uid="{00000000-0004-0000-2100-000000000000}"/>
  </hyperlinks>
  <printOptions horizontalCentered="1"/>
  <pageMargins left="0.25" right="0.25" top="0.25" bottom="0.25" header="0.3" footer="0.3"/>
  <pageSetup paperSize="9"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15873"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15874"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15875"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15876"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15877"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15878"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15879"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15880"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15881"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15882"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15883"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15884"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15885"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0">
    <tabColor rgb="FFED7D31"/>
    <pageSetUpPr fitToPage="1"/>
  </sheetPr>
  <dimension ref="A1:BJ149"/>
  <sheetViews>
    <sheetView topLeftCell="J16" workbookViewId="0">
      <selection activeCell="Y37" sqref="Y37"/>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ZMifsud</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2025011</v>
      </c>
      <c r="O2" s="810" t="str">
        <f>CONCATENATE(LEFT(Name,1),Surname)</f>
        <v>ZMifsud</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7.5</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59</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7.6310000000000002</v>
      </c>
      <c r="O4" s="213">
        <f>+DATA!A3</f>
        <v>46023</v>
      </c>
      <c r="P4" s="219">
        <f ca="1">+INDIRECT("[EMPINFO.xlsm]"&amp;$O$2&amp;"!G4")</f>
        <v>4</v>
      </c>
      <c r="Q4" s="215">
        <f ca="1">IF(AZ4="active",INDIRECT("[EMPINFO.xlsm]"&amp;$O$2&amp;"!H4"),0)</f>
        <v>0</v>
      </c>
      <c r="R4" s="239">
        <f ca="1">IF(AZ4&lt;&gt;"active",0,N3+COLA)</f>
        <v>7.6310000000000002</v>
      </c>
      <c r="S4" s="216">
        <f t="shared" ref="S4:S15" ca="1" si="1">+Q4*R4*4.33333333333333*AO4/AX4</f>
        <v>0</v>
      </c>
      <c r="T4" s="220">
        <f t="shared" ref="T4:T15" ca="1" si="2">+BA4*R4</f>
        <v>161.01410000000001</v>
      </c>
      <c r="U4" s="218">
        <f t="shared" ref="U4:U15" ca="1" si="3">-AY4*R4</f>
        <v>0</v>
      </c>
      <c r="V4" s="220">
        <f ca="1">+janoth*janhrrt</f>
        <v>0</v>
      </c>
      <c r="W4" s="201"/>
      <c r="X4" s="218">
        <f t="shared" ref="X4:X15" si="4">IF((AT3=0),AV3,(AV3-(AV3/(Q3*P3)*AT3)))</f>
        <v>0</v>
      </c>
      <c r="Y4" s="803">
        <f t="shared" ref="Y4:Y15" si="5">IF((AT3=0),AW3,(AW3-(AW3/(Q3*P3)*AT3*1.5)))</f>
        <v>0</v>
      </c>
      <c r="Z4" s="218">
        <f t="shared" ref="Z4:Z15" ca="1" si="6">+SUM(S4:Y4)</f>
        <v>161.01410000000001</v>
      </c>
      <c r="AA4" s="803">
        <f t="shared" ref="AA4:AA15" ca="1" si="7">IF(OR(AN4="PT",AN4="PT_Casual"),TRUNC((Z4*PT_Rate),0),(TRUNC((Z4*BB4)-(BC4/12),0)))</f>
        <v>16</v>
      </c>
      <c r="AB4" s="218">
        <f ca="1">+INDIRECT("[EMPINFO.xlsm]"&amp;$O$2&amp;"!s4")</f>
        <v>0</v>
      </c>
      <c r="AC4" s="292">
        <v>1.5</v>
      </c>
      <c r="AD4" s="218">
        <f t="shared" ref="AD4:AD15" ca="1" si="8">+AB4*(R4*AC4)</f>
        <v>0</v>
      </c>
      <c r="AE4" s="220">
        <f t="shared" ref="AE4:AE15" ca="1" si="9">+TRUNC((AD4*0.15),0)</f>
        <v>0</v>
      </c>
      <c r="AF4" s="218">
        <f t="shared" ref="AF4:AF15" ca="1" si="10">+AA4+AE4</f>
        <v>16</v>
      </c>
      <c r="AG4" s="803">
        <f t="shared" ref="AG4:AG15" ca="1" si="11">+R4*Q4</f>
        <v>0</v>
      </c>
      <c r="AH4" s="218">
        <f t="shared" ref="AH4:AH15" ca="1" si="12">ROUND(IF(AN4="",0,IF(OR(AN4="PT",AN4="PT_Casual"),0,IF(AM4="B",ROUND(SSCBemployermultiplier*P4,2),IF(AM4="c",SOCSECCRATE*AG4*P4,IF(AM4="D",ROUND(socsecrateD*P4,2)))))),2)</f>
        <v>0</v>
      </c>
      <c r="AI4" s="803">
        <f t="shared" ref="AI4:AI15" ca="1" si="13">ROUND(IF(AN4="",0,IF(OR(AN4="PT",AN4="PT_Casual"),0,IF(AM4="B",ROUND(SSCBemployermultiplier*P4,2),IF(AM4="c",SOCSECCRATE*AG4*P4,IF(AM4="D",ROUND(socsecrateD*P4,2)))))),2)</f>
        <v>0</v>
      </c>
      <c r="AJ4" s="218">
        <f t="shared" ref="AJ4:AJ16" ca="1" si="14">+AH4+AI4</f>
        <v>0</v>
      </c>
      <c r="AK4" s="803">
        <f t="shared" ref="AK4:AK15" ca="1" si="15">ROUND(IF(AN4="",0,IF(OR(AN4="PT",AN4="PT_Casual"),0,IF(AM4="B",SSCBmlfmultiplier*P4,IF(AM4="c",SSCCmlfmultiplier*P4*AG4,IF(AM4="D",SSCDmlfmultiplier*P4))))),2)</f>
        <v>0</v>
      </c>
      <c r="AL4" s="218">
        <f ca="1">+Z4+AH4+AK4</f>
        <v>161.01410000000001</v>
      </c>
      <c r="AM4" s="290">
        <f t="shared" ref="AM4:AM15" ca="1" si="16">IF(AZ4="Active",IF(OR(AN4="PT",AN4="PT_Casual"),0,(IF(AG4&lt;SSCcatBMAX,"B",(IF(AG4&lt;SSCcatCMAX,"C","D"))))),0)</f>
        <v>0</v>
      </c>
      <c r="AN4" s="291" t="str">
        <f t="shared" ref="AN4:AN15" ca="1" si="17">IF(AZ4="active",+Timer,"")</f>
        <v>PT_CASUAL</v>
      </c>
      <c r="AO4" s="223">
        <f ca="1">+INDIRECT("[EMPINFO.xlsm]"&amp;$O$2&amp;"!t4")</f>
        <v>31</v>
      </c>
      <c r="AP4" s="226">
        <f ca="1">+INDIRECT("[EMPINFO.xlsm]"&amp;$O$2&amp;"!o4")</f>
        <v>0</v>
      </c>
      <c r="AQ4" s="840">
        <f ca="1">+INDIRECT("[EMPINFO.xlsm]"&amp;$O$2&amp;"!p4")</f>
        <v>0</v>
      </c>
      <c r="AR4" s="226">
        <f ca="1">+INDIRECT("[EMPINFO.xlsm]"&amp;$O$2&amp;"!j4")</f>
        <v>0</v>
      </c>
      <c r="AS4" s="840">
        <f ca="1">+INDIRECT("[EMPINFO.xlsm]"&amp;$O$2&amp;"!k4")</f>
        <v>0</v>
      </c>
      <c r="AT4" s="226">
        <f ca="1">+INDIRECT("[EMPINFO.xlsm]"&amp;$O$2&amp;"!m4")</f>
        <v>0</v>
      </c>
      <c r="AU4" s="844">
        <f ca="1">+INDIRECT("[EMPINFO.xlsm]"&amp;$O$2&amp;"!n4")</f>
        <v>0</v>
      </c>
      <c r="AV4" s="244">
        <f t="shared" ref="AV4:AV15" si="18">+AV3</f>
        <v>0</v>
      </c>
      <c r="AW4" s="244">
        <f t="shared" ref="AW4:AW15" si="19">+AW3</f>
        <v>0</v>
      </c>
      <c r="AX4" s="840">
        <f ca="1">+INDIRECT("[EMPINFO.xlsm]"&amp;$O$2&amp;"!u4")</f>
        <v>31</v>
      </c>
      <c r="AY4" s="215">
        <f ca="1">+INDIRECT("[EMPINFO.xlsm]"&amp;$O$2&amp;"!v4")</f>
        <v>0</v>
      </c>
      <c r="AZ4" s="797" t="str">
        <f ca="1">+INDIRECT("[EMPINFO.xlsm]"&amp;$O$2&amp;"!x4")</f>
        <v>ACTIVE</v>
      </c>
      <c r="BA4" s="844">
        <f ca="1">+INDIRECT("[EMPINFO.xlsm]"&amp;$O$2&amp;"!w4")</f>
        <v>21.1</v>
      </c>
      <c r="BB4" s="288" t="e">
        <f t="shared" ref="BB4:BB15" ca="1" si="20">IF(AND(Timer="pt",(Z4*12)&lt;10000),+ptrate,IF((Z4*12)&lt;$F$68,$G$68,IF((Z4*12)&lt;$F$69,$G$69,IF((Z4*12)&lt;$F$70,$G$70,IF((Z4*12)&lt;$F$71,$G$71,$G$72)))))</f>
        <v>#N/A</v>
      </c>
      <c r="BC4" s="289" t="e">
        <f t="shared" ref="BC4:BC15" ca="1" si="21">IF((Z4*12)&lt;$F$68,$H$68,IF((Z4*12)&lt;$F$69,$H$69,IF((Z4*12)&lt;$F$70,$H$70,IF((Z4*12)&lt;$F$71,$H$71,$H$72))))</f>
        <v>#N/A</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7.6310000000000002</v>
      </c>
      <c r="O5" s="213">
        <f>+DATA!A4</f>
        <v>46054</v>
      </c>
      <c r="P5" s="219">
        <f ca="1">+INDIRECT("[EMPINFO.xlsm]"&amp;$O$2&amp;"!G5")</f>
        <v>4</v>
      </c>
      <c r="Q5" s="215">
        <f ca="1">IF(AZ5="active",INDIRECT("[EMPINFO.xlsm]"&amp;$O$2&amp;"!H5"),0)</f>
        <v>0</v>
      </c>
      <c r="R5" s="239">
        <f t="shared" ref="R5:R15" ca="1" si="22">+R4</f>
        <v>7.6310000000000002</v>
      </c>
      <c r="S5" s="216">
        <f t="shared" ca="1" si="1"/>
        <v>0</v>
      </c>
      <c r="T5" s="220">
        <f t="shared" ca="1" si="2"/>
        <v>136.82383000000002</v>
      </c>
      <c r="U5" s="218">
        <f t="shared" ca="1" si="3"/>
        <v>0</v>
      </c>
      <c r="V5" s="220">
        <f ca="1">+feboth*febhrrt</f>
        <v>0</v>
      </c>
      <c r="W5" s="201"/>
      <c r="X5" s="218">
        <f t="shared" ca="1" si="4"/>
        <v>0</v>
      </c>
      <c r="Y5" s="803">
        <f t="shared" ca="1" si="5"/>
        <v>0</v>
      </c>
      <c r="Z5" s="218">
        <f t="shared" ca="1" si="6"/>
        <v>136.82383000000002</v>
      </c>
      <c r="AA5" s="803">
        <f t="shared" ca="1" si="7"/>
        <v>13</v>
      </c>
      <c r="AB5" s="218">
        <f ca="1">+INDIRECT("[EMPINFO.xlsm]"&amp;$O$2&amp;"!s5")</f>
        <v>0</v>
      </c>
      <c r="AC5" s="292">
        <v>1.5</v>
      </c>
      <c r="AD5" s="218">
        <f t="shared" ca="1" si="8"/>
        <v>0</v>
      </c>
      <c r="AE5" s="220">
        <f t="shared" ca="1" si="9"/>
        <v>0</v>
      </c>
      <c r="AF5" s="218">
        <f t="shared" ca="1" si="10"/>
        <v>13</v>
      </c>
      <c r="AG5" s="803">
        <f t="shared" ca="1" si="11"/>
        <v>0</v>
      </c>
      <c r="AH5" s="218">
        <f t="shared" ca="1" si="12"/>
        <v>0</v>
      </c>
      <c r="AI5" s="803">
        <f t="shared" ca="1" si="13"/>
        <v>0</v>
      </c>
      <c r="AJ5" s="218">
        <f t="shared" ca="1" si="14"/>
        <v>0</v>
      </c>
      <c r="AK5" s="803">
        <f t="shared" ca="1" si="15"/>
        <v>0</v>
      </c>
      <c r="AL5" s="218">
        <f t="shared" ref="AL5:AL15" ca="1" si="23">+Z5+AI5+AK5</f>
        <v>136.82383000000002</v>
      </c>
      <c r="AM5" s="290">
        <f t="shared" ca="1" si="16"/>
        <v>0</v>
      </c>
      <c r="AN5" s="291" t="str">
        <f t="shared" ca="1" si="17"/>
        <v>PT_CASUAL</v>
      </c>
      <c r="AO5" s="223">
        <f ca="1">+INDIRECT("[EMPINFO.xlsm]"&amp;$O$2&amp;"!t5")</f>
        <v>28</v>
      </c>
      <c r="AP5" s="226">
        <f ca="1">+INDIRECT("[EMPINFO.xlsm]"&amp;$O$2&amp;"!o5")</f>
        <v>0</v>
      </c>
      <c r="AQ5" s="840">
        <f ca="1">+INDIRECT("[EMPINFO.xlsm]"&amp;$O$2&amp;"!p5")</f>
        <v>0</v>
      </c>
      <c r="AR5" s="226">
        <f ca="1">+INDIRECT("[EMPINFO.xlsm]"&amp;$O$2&amp;"!j5")</f>
        <v>0</v>
      </c>
      <c r="AS5" s="840">
        <f ca="1">+INDIRECT("[EMPINFO.xlsm]"&amp;$O$2&amp;"!k5")</f>
        <v>0</v>
      </c>
      <c r="AT5" s="226">
        <f ca="1">+INDIRECT("[EMPINFO.xlsm]"&amp;$O$2&amp;"!m5")</f>
        <v>0</v>
      </c>
      <c r="AU5" s="844">
        <f ca="1">+INDIRECT("[EMPINFO.xlsm]"&amp;$O$2&amp;"!n5")</f>
        <v>0</v>
      </c>
      <c r="AV5" s="244">
        <f t="shared" si="18"/>
        <v>0</v>
      </c>
      <c r="AW5" s="244">
        <f t="shared" si="19"/>
        <v>0</v>
      </c>
      <c r="AX5" s="840">
        <f ca="1">+INDIRECT("[EMPINFO.xlsm]"&amp;$O$2&amp;"!u5")</f>
        <v>28</v>
      </c>
      <c r="AY5" s="215">
        <f ca="1">+INDIRECT("[EMPINFO.xlsm]"&amp;$O$2&amp;"!v5")</f>
        <v>0</v>
      </c>
      <c r="AZ5" s="797" t="str">
        <f ca="1">+INDIRECT("[EMPINFO.xlsm]"&amp;$O$2&amp;"!x5")</f>
        <v>ACTIVE</v>
      </c>
      <c r="BA5" s="844">
        <f ca="1">+INDIRECT("[EMPINFO.xlsm]"&amp;$O$2&amp;"!w5")</f>
        <v>17.93</v>
      </c>
      <c r="BB5" s="288" t="e">
        <f t="shared" ca="1" si="20"/>
        <v>#N/A</v>
      </c>
      <c r="BC5" s="289" t="e">
        <f t="shared" ca="1" si="21"/>
        <v>#N/A</v>
      </c>
      <c r="BD5" s="255"/>
      <c r="BE5" s="205"/>
      <c r="BG5" s="27"/>
      <c r="BH5" s="28"/>
    </row>
    <row r="6" spans="1:62" ht="15.75" customHeight="1" thickBot="1" x14ac:dyDescent="0.3">
      <c r="A6" s="54"/>
      <c r="B6" s="2" t="s">
        <v>135</v>
      </c>
      <c r="C6" s="921" t="str">
        <f>INDEX([1]!empdata,MATCH(ID,[1]!empid,0),3)</f>
        <v>Mifsud</v>
      </c>
      <c r="D6" s="922"/>
      <c r="E6" s="922"/>
      <c r="F6" s="886"/>
      <c r="I6" s="312" t="s">
        <v>136</v>
      </c>
      <c r="L6" s="101"/>
      <c r="M6" s="303"/>
      <c r="N6" s="211">
        <f t="shared" ca="1" si="0"/>
        <v>7.6310000000000002</v>
      </c>
      <c r="O6" s="213">
        <f>+DATA!A5</f>
        <v>46082</v>
      </c>
      <c r="P6" s="219">
        <f ca="1">+INDIRECT("[EMPINFO.xlsm]"&amp;$O$2&amp;"!G6")</f>
        <v>5</v>
      </c>
      <c r="Q6" s="215">
        <f ca="1">IF(AZ6="active",INDIRECT("[EMPINFO.xlsm]"&amp;$O$2&amp;"!H6"),0)</f>
        <v>0</v>
      </c>
      <c r="R6" s="239">
        <f t="shared" ca="1" si="22"/>
        <v>7.6310000000000002</v>
      </c>
      <c r="S6" s="216">
        <f t="shared" ca="1" si="1"/>
        <v>0</v>
      </c>
      <c r="T6" s="220">
        <f t="shared" ca="1" si="2"/>
        <v>0</v>
      </c>
      <c r="U6" s="218">
        <f t="shared" ca="1" si="3"/>
        <v>0</v>
      </c>
      <c r="V6" s="220">
        <f ca="1">+maroth*marhrrt</f>
        <v>0</v>
      </c>
      <c r="W6" s="202">
        <f ca="1">+IF(AZ6&lt;&gt;"active",0,(IF(Timer="PT_casual",(bonusmar/1040*(BA6+BA5+BA4)),(bonusmar/182*(AO6+AO5+AO4+AO3)*(Q6+Q5+Q4)/120))))</f>
        <v>4.5469949999999999</v>
      </c>
      <c r="X6" s="218">
        <f t="shared" ca="1" si="4"/>
        <v>0</v>
      </c>
      <c r="Y6" s="803">
        <f t="shared" ca="1" si="5"/>
        <v>0</v>
      </c>
      <c r="Z6" s="218">
        <f t="shared" ca="1" si="6"/>
        <v>4.5469949999999999</v>
      </c>
      <c r="AA6" s="803">
        <f t="shared" ca="1" si="7"/>
        <v>0</v>
      </c>
      <c r="AB6" s="218">
        <f ca="1">+INDIRECT("[EMPINFO.xlsm]"&amp;$O$2&amp;"!s6")</f>
        <v>0</v>
      </c>
      <c r="AC6" s="292">
        <v>1.5</v>
      </c>
      <c r="AD6" s="218">
        <f t="shared" ca="1" si="8"/>
        <v>0</v>
      </c>
      <c r="AE6" s="220">
        <f t="shared" ca="1" si="9"/>
        <v>0</v>
      </c>
      <c r="AF6" s="218">
        <f t="shared" ca="1" si="10"/>
        <v>0</v>
      </c>
      <c r="AG6" s="803">
        <f t="shared" ca="1" si="11"/>
        <v>0</v>
      </c>
      <c r="AH6" s="218">
        <f t="shared" ca="1" si="12"/>
        <v>0</v>
      </c>
      <c r="AI6" s="803">
        <f t="shared" ca="1" si="13"/>
        <v>0</v>
      </c>
      <c r="AJ6" s="218">
        <f t="shared" ca="1" si="14"/>
        <v>0</v>
      </c>
      <c r="AK6" s="803">
        <f t="shared" ca="1" si="15"/>
        <v>0</v>
      </c>
      <c r="AL6" s="218">
        <f t="shared" ca="1" si="23"/>
        <v>4.5469949999999999</v>
      </c>
      <c r="AM6" s="290">
        <f t="shared" ca="1" si="16"/>
        <v>0</v>
      </c>
      <c r="AN6" s="291" t="str">
        <f t="shared" ca="1" si="17"/>
        <v>PT_CASUAL</v>
      </c>
      <c r="AO6" s="223">
        <f ca="1">+INDIRECT("[EMPINFO.xlsm]"&amp;$O$2&amp;"!t6")</f>
        <v>31</v>
      </c>
      <c r="AP6" s="226">
        <f ca="1">+INDIRECT("[EMPINFO.xlsm]"&amp;$O$2&amp;"!o6")</f>
        <v>0</v>
      </c>
      <c r="AQ6" s="840">
        <f ca="1">+INDIRECT("[EMPINFO.xlsm]"&amp;$O$2&amp;"!p6")</f>
        <v>0</v>
      </c>
      <c r="AR6" s="226">
        <f ca="1">+INDIRECT("[EMPINFO.xlsm]"&amp;$O$2&amp;"!j6")</f>
        <v>0</v>
      </c>
      <c r="AS6" s="840">
        <f ca="1">+INDIRECT("[EMPINFO.xlsm]"&amp;$O$2&amp;"!k6")</f>
        <v>0</v>
      </c>
      <c r="AT6" s="226">
        <f ca="1">+INDIRECT("[EMPINFO.xlsm]"&amp;$O$2&amp;"!m6")</f>
        <v>0</v>
      </c>
      <c r="AU6" s="844">
        <f ca="1">+INDIRECT("[EMPINFO.xlsm]"&amp;$O$2&amp;"!n6")</f>
        <v>0</v>
      </c>
      <c r="AV6" s="244">
        <f t="shared" si="18"/>
        <v>0</v>
      </c>
      <c r="AW6" s="244">
        <f t="shared" si="19"/>
        <v>0</v>
      </c>
      <c r="AX6" s="840">
        <f ca="1">+INDIRECT("[EMPINFO.xlsm]"&amp;$O$2&amp;"!u6")</f>
        <v>31</v>
      </c>
      <c r="AY6" s="215">
        <f ca="1">+INDIRECT("[EMPINFO.xlsm]"&amp;$O$2&amp;"!v6")</f>
        <v>0</v>
      </c>
      <c r="AZ6" s="797" t="str">
        <f ca="1">+INDIRECT("[EMPINFO.xlsm]"&amp;$O$2&amp;"!x6")</f>
        <v>ACTIVE</v>
      </c>
      <c r="BA6" s="844">
        <f ca="1">+INDIRECT("[EMPINFO.xlsm]"&amp;$O$2&amp;"!w6")</f>
        <v>0</v>
      </c>
      <c r="BB6" s="288" t="e">
        <f t="shared" ca="1" si="20"/>
        <v>#N/A</v>
      </c>
      <c r="BC6" s="289" t="e">
        <f t="shared" ca="1" si="21"/>
        <v>#N/A</v>
      </c>
      <c r="BD6" s="255"/>
      <c r="BE6" s="206"/>
    </row>
    <row r="7" spans="1:62" ht="15.75" customHeight="1" thickBot="1" x14ac:dyDescent="0.3">
      <c r="A7" s="54"/>
      <c r="B7" s="3" t="s">
        <v>137</v>
      </c>
      <c r="C7" s="921" t="str">
        <f>INDEX([1]!empdata,MATCH(ID,[1]!empid,0),4)</f>
        <v>Zaira</v>
      </c>
      <c r="D7" s="922"/>
      <c r="E7" s="922"/>
      <c r="F7" s="886"/>
      <c r="H7" s="312" t="s">
        <v>138</v>
      </c>
      <c r="I7" s="927" t="str">
        <f>INDEX([1]!empdata,MATCH(ID,[1]!empid,0),6)</f>
        <v>138207L</v>
      </c>
      <c r="J7" s="859"/>
      <c r="K7" s="857"/>
      <c r="L7" s="101"/>
      <c r="M7" s="303"/>
      <c r="N7" s="211">
        <f t="shared" ca="1" si="0"/>
        <v>7.6310000000000002</v>
      </c>
      <c r="O7" s="213">
        <f>+DATA!A6</f>
        <v>46113</v>
      </c>
      <c r="P7" s="219">
        <f ca="1">+INDIRECT("[EMPINFO.xlsm]"&amp;$O$2&amp;"!G7")</f>
        <v>4</v>
      </c>
      <c r="Q7" s="215">
        <f ca="1">IF(AZ7="active",INDIRECT("[EMPINFO.xlsm]"&amp;$O$2&amp;"!H7"),0)</f>
        <v>0</v>
      </c>
      <c r="R7" s="239">
        <f t="shared" ca="1" si="22"/>
        <v>7.6310000000000002</v>
      </c>
      <c r="S7" s="216">
        <f t="shared" ca="1" si="1"/>
        <v>0</v>
      </c>
      <c r="T7" s="220">
        <f t="shared" ca="1" si="2"/>
        <v>0</v>
      </c>
      <c r="U7" s="218">
        <f t="shared" ca="1" si="3"/>
        <v>0</v>
      </c>
      <c r="V7" s="220">
        <f ca="1">+aproth*aprhrrt</f>
        <v>0</v>
      </c>
      <c r="W7" s="201"/>
      <c r="X7" s="218">
        <f t="shared" ca="1" si="4"/>
        <v>0</v>
      </c>
      <c r="Y7" s="803">
        <f t="shared" ca="1" si="5"/>
        <v>0</v>
      </c>
      <c r="Z7" s="218">
        <f t="shared" ca="1" si="6"/>
        <v>0</v>
      </c>
      <c r="AA7" s="803">
        <f t="shared" ca="1" si="7"/>
        <v>0</v>
      </c>
      <c r="AB7" s="218">
        <f ca="1">+INDIRECT("[EMPINFO.xlsm]"&amp;$O$2&amp;"!s7")</f>
        <v>0</v>
      </c>
      <c r="AC7" s="292">
        <v>1.5</v>
      </c>
      <c r="AD7" s="218">
        <f t="shared" ca="1" si="8"/>
        <v>0</v>
      </c>
      <c r="AE7" s="220">
        <f t="shared" ca="1" si="9"/>
        <v>0</v>
      </c>
      <c r="AF7" s="218">
        <f t="shared" ca="1" si="10"/>
        <v>0</v>
      </c>
      <c r="AG7" s="803">
        <f t="shared" ca="1" si="11"/>
        <v>0</v>
      </c>
      <c r="AH7" s="218">
        <f t="shared" ca="1" si="12"/>
        <v>0</v>
      </c>
      <c r="AI7" s="803">
        <f t="shared" ca="1" si="13"/>
        <v>0</v>
      </c>
      <c r="AJ7" s="218">
        <f t="shared" ca="1" si="14"/>
        <v>0</v>
      </c>
      <c r="AK7" s="803">
        <f t="shared" ca="1" si="15"/>
        <v>0</v>
      </c>
      <c r="AL7" s="218">
        <f t="shared" ca="1" si="23"/>
        <v>0</v>
      </c>
      <c r="AM7" s="290">
        <f t="shared" ca="1" si="16"/>
        <v>0</v>
      </c>
      <c r="AN7" s="291" t="str">
        <f t="shared" ca="1" si="17"/>
        <v>PT_CASUAL</v>
      </c>
      <c r="AO7" s="223">
        <f ca="1">+INDIRECT("[EMPINFO.xlsm]"&amp;$O$2&amp;"!t7")</f>
        <v>30</v>
      </c>
      <c r="AP7" s="226">
        <f ca="1">+INDIRECT("[EMPINFO.xlsm]"&amp;$O$2&amp;"!o7")</f>
        <v>0</v>
      </c>
      <c r="AQ7" s="840">
        <f ca="1">+INDIRECT("[EMPINFO.xlsm]"&amp;$O$2&amp;"!p7")</f>
        <v>0</v>
      </c>
      <c r="AR7" s="226">
        <f ca="1">+INDIRECT("[EMPINFO.xlsm]"&amp;$O$2&amp;"!j7")</f>
        <v>0</v>
      </c>
      <c r="AS7" s="840">
        <f ca="1">+INDIRECT("[EMPINFO.xlsm]"&amp;$O$2&amp;"!k7")</f>
        <v>0</v>
      </c>
      <c r="AT7" s="226">
        <f ca="1">+INDIRECT("[EMPINFO.xlsm]"&amp;$O$2&amp;"!m7")</f>
        <v>0</v>
      </c>
      <c r="AU7" s="844">
        <f ca="1">+INDIRECT("[EMPINFO.xlsm]"&amp;$O$2&amp;"!n7")</f>
        <v>0</v>
      </c>
      <c r="AV7" s="244">
        <f t="shared" si="18"/>
        <v>0</v>
      </c>
      <c r="AW7" s="244">
        <f t="shared" si="19"/>
        <v>0</v>
      </c>
      <c r="AX7" s="840">
        <f ca="1">+INDIRECT("[EMPINFO.xlsm]"&amp;$O$2&amp;"!u7")</f>
        <v>30</v>
      </c>
      <c r="AY7" s="215">
        <f ca="1">+INDIRECT("[EMPINFO.xlsm]"&amp;$O$2&amp;"!v7")</f>
        <v>0</v>
      </c>
      <c r="AZ7" s="797" t="str">
        <f ca="1">+INDIRECT("[EMPINFO.xlsm]"&amp;$O$2&amp;"!x7")</f>
        <v>ACTIVE</v>
      </c>
      <c r="BA7" s="844">
        <f ca="1">+INDIRECT("[EMPINFO.xlsm]"&amp;$O$2&amp;"!w7")</f>
        <v>0</v>
      </c>
      <c r="BB7" s="288" t="e">
        <f t="shared" ca="1" si="20"/>
        <v>#N/A</v>
      </c>
      <c r="BC7" s="289" t="e">
        <f t="shared" ca="1" si="21"/>
        <v>#N/A</v>
      </c>
      <c r="BD7" s="255"/>
      <c r="BE7" s="206"/>
    </row>
    <row r="8" spans="1:62" ht="15.75" customHeight="1" thickBot="1" x14ac:dyDescent="0.3">
      <c r="A8" s="54"/>
      <c r="B8" s="3" t="s">
        <v>139</v>
      </c>
      <c r="C8" s="921" t="str">
        <f>INDEX([1]!empdata,MATCH(ID,[1]!empid,0),18)</f>
        <v>53, Flat 2</v>
      </c>
      <c r="D8" s="922"/>
      <c r="E8" s="922"/>
      <c r="F8" s="886"/>
      <c r="I8" s="312" t="s">
        <v>140</v>
      </c>
      <c r="L8" s="101"/>
      <c r="M8" s="303"/>
      <c r="N8" s="211">
        <f t="shared" ca="1" si="0"/>
        <v>7.6310000000000002</v>
      </c>
      <c r="O8" s="213">
        <f>+DATA!A7</f>
        <v>46143</v>
      </c>
      <c r="P8" s="219">
        <f ca="1">+INDIRECT("[EMPINFO.xlsm]"&amp;$O$2&amp;"!G8")</f>
        <v>4</v>
      </c>
      <c r="Q8" s="215">
        <f ca="1">IF(AZ8="active",INDIRECT("[EMPINFO.xlsm]"&amp;$O$2&amp;"!H8"),0)</f>
        <v>0</v>
      </c>
      <c r="R8" s="239">
        <f t="shared" ca="1" si="22"/>
        <v>7.6310000000000002</v>
      </c>
      <c r="S8" s="216">
        <f t="shared" ca="1" si="1"/>
        <v>0</v>
      </c>
      <c r="T8" s="220">
        <f t="shared" ca="1" si="2"/>
        <v>0</v>
      </c>
      <c r="U8" s="218">
        <f t="shared" ca="1" si="3"/>
        <v>0</v>
      </c>
      <c r="V8" s="220">
        <f ca="1">+mayoth*mayhrrt</f>
        <v>0</v>
      </c>
      <c r="W8" s="201"/>
      <c r="X8" s="218">
        <f t="shared" ca="1" si="4"/>
        <v>0</v>
      </c>
      <c r="Y8" s="803">
        <f t="shared" ca="1" si="5"/>
        <v>0</v>
      </c>
      <c r="Z8" s="218">
        <f t="shared" ca="1" si="6"/>
        <v>0</v>
      </c>
      <c r="AA8" s="803">
        <f t="shared" ca="1" si="7"/>
        <v>0</v>
      </c>
      <c r="AB8" s="218">
        <f ca="1">+INDIRECT("[EMPINFO.xlsm]"&amp;$O$2&amp;"!s8")</f>
        <v>0</v>
      </c>
      <c r="AC8" s="292">
        <v>1.5</v>
      </c>
      <c r="AD8" s="218">
        <f t="shared" ca="1" si="8"/>
        <v>0</v>
      </c>
      <c r="AE8" s="220">
        <f t="shared" ca="1" si="9"/>
        <v>0</v>
      </c>
      <c r="AF8" s="218">
        <f t="shared" ca="1" si="10"/>
        <v>0</v>
      </c>
      <c r="AG8" s="803">
        <f t="shared" ca="1" si="11"/>
        <v>0</v>
      </c>
      <c r="AH8" s="218">
        <f t="shared" ca="1" si="12"/>
        <v>0</v>
      </c>
      <c r="AI8" s="803">
        <f t="shared" ca="1" si="13"/>
        <v>0</v>
      </c>
      <c r="AJ8" s="218">
        <f t="shared" ca="1" si="14"/>
        <v>0</v>
      </c>
      <c r="AK8" s="803">
        <f t="shared" ca="1" si="15"/>
        <v>0</v>
      </c>
      <c r="AL8" s="218">
        <f t="shared" ca="1" si="23"/>
        <v>0</v>
      </c>
      <c r="AM8" s="290">
        <f t="shared" ca="1" si="16"/>
        <v>0</v>
      </c>
      <c r="AN8" s="291" t="str">
        <f t="shared" ca="1" si="17"/>
        <v>PT_CASUAL</v>
      </c>
      <c r="AO8" s="223">
        <f ca="1">+INDIRECT("[EMPINFO.xlsm]"&amp;$O$2&amp;"!t8")</f>
        <v>31</v>
      </c>
      <c r="AP8" s="226">
        <f ca="1">+INDIRECT("[EMPINFO.xlsm]"&amp;$O$2&amp;"!o8")</f>
        <v>0</v>
      </c>
      <c r="AQ8" s="840">
        <f ca="1">+INDIRECT("[EMPINFO.xlsm]"&amp;$O$2&amp;"!p8")</f>
        <v>0</v>
      </c>
      <c r="AR8" s="226">
        <f ca="1">+INDIRECT("[EMPINFO.xlsm]"&amp;$O$2&amp;"!j8")</f>
        <v>0</v>
      </c>
      <c r="AS8" s="840">
        <f ca="1">+INDIRECT("[EMPINFO.xlsm]"&amp;$O$2&amp;"!k8")</f>
        <v>0</v>
      </c>
      <c r="AT8" s="226">
        <f ca="1">+INDIRECT("[EMPINFO.xlsm]"&amp;$O$2&amp;"!m8")</f>
        <v>0</v>
      </c>
      <c r="AU8" s="844">
        <f ca="1">+INDIRECT("[EMPINFO.xlsm]"&amp;$O$2&amp;"!n8")</f>
        <v>0</v>
      </c>
      <c r="AV8" s="244">
        <f t="shared" si="18"/>
        <v>0</v>
      </c>
      <c r="AW8" s="244">
        <f t="shared" si="19"/>
        <v>0</v>
      </c>
      <c r="AX8" s="840">
        <f ca="1">+INDIRECT("[EMPINFO.xlsm]"&amp;$O$2&amp;"!u8")</f>
        <v>31</v>
      </c>
      <c r="AY8" s="215">
        <f ca="1">+INDIRECT("[EMPINFO.xlsm]"&amp;$O$2&amp;"!v8")</f>
        <v>0</v>
      </c>
      <c r="AZ8" s="797" t="str">
        <f ca="1">+INDIRECT("[EMPINFO.xlsm]"&amp;$O$2&amp;"!x8")</f>
        <v>ACTIVE</v>
      </c>
      <c r="BA8" s="844">
        <f ca="1">+INDIRECT("[EMPINFO.xlsm]"&amp;$O$2&amp;"!w8")</f>
        <v>0</v>
      </c>
      <c r="BB8" s="288" t="e">
        <f t="shared" ca="1" si="20"/>
        <v>#N/A</v>
      </c>
      <c r="BC8" s="289" t="e">
        <f t="shared" ca="1" si="21"/>
        <v>#N/A</v>
      </c>
      <c r="BD8" s="255"/>
      <c r="BE8" s="206"/>
    </row>
    <row r="9" spans="1:62" ht="15.75" customHeight="1" thickBot="1" x14ac:dyDescent="0.3">
      <c r="A9" s="54"/>
      <c r="B9" s="4" t="s">
        <v>141</v>
      </c>
      <c r="C9" s="921" t="str">
        <f>INDEX([1]!empdata,MATCH(ID,[1]!empid,0),19)</f>
        <v>Triq il-Gross</v>
      </c>
      <c r="D9" s="922"/>
      <c r="E9" s="922"/>
      <c r="F9" s="886"/>
      <c r="H9" s="312" t="s">
        <v>20</v>
      </c>
      <c r="I9" s="927">
        <f>INDEX([1]!empdata,MATCH(ID,[1]!empid,0),14)</f>
        <v>0</v>
      </c>
      <c r="J9" s="859"/>
      <c r="K9" s="857"/>
      <c r="L9" s="101"/>
      <c r="M9" s="303"/>
      <c r="N9" s="211">
        <f t="shared" ca="1" si="0"/>
        <v>7.6310000000000002</v>
      </c>
      <c r="O9" s="213">
        <f>+DATA!A8</f>
        <v>46174</v>
      </c>
      <c r="P9" s="219">
        <f ca="1">+INDIRECT("[EMPINFO.xlsm]"&amp;$O$2&amp;"!G9")</f>
        <v>5</v>
      </c>
      <c r="Q9" s="215">
        <f ca="1">IF(AZ9="active",INDIRECT("[EMPINFO.xlsm]"&amp;$O$2&amp;"!H9"),0)</f>
        <v>0</v>
      </c>
      <c r="R9" s="239">
        <f t="shared" ca="1" si="22"/>
        <v>7.6310000000000002</v>
      </c>
      <c r="S9" s="216">
        <f t="shared" ca="1" si="1"/>
        <v>0</v>
      </c>
      <c r="T9" s="220">
        <f t="shared" ca="1" si="2"/>
        <v>0</v>
      </c>
      <c r="U9" s="218">
        <f t="shared" ca="1" si="3"/>
        <v>0</v>
      </c>
      <c r="V9" s="220">
        <f ca="1">+junoth*junhrrt</f>
        <v>0</v>
      </c>
      <c r="W9" s="202">
        <f ca="1">IF(AZ9&lt;&gt;"active",0,(IF(Timer="PT_casual",(BONUSJUN/1040*(BA9+BA8+BA7+BA6+BA5+BA4)),(BONUSJUN*(SUM(AO4:AO9)/SUM(AX4:AX9))*(SUM(Q4:Q9)/240)))))</f>
        <v>5.0701471153846152</v>
      </c>
      <c r="X9" s="218">
        <f t="shared" ca="1" si="4"/>
        <v>0</v>
      </c>
      <c r="Y9" s="803">
        <f t="shared" ca="1" si="5"/>
        <v>0</v>
      </c>
      <c r="Z9" s="218">
        <f t="shared" ca="1" si="6"/>
        <v>5.0701471153846152</v>
      </c>
      <c r="AA9" s="803">
        <f t="shared" ca="1" si="7"/>
        <v>0</v>
      </c>
      <c r="AB9" s="218">
        <f ca="1">+INDIRECT("[EMPINFO.xlsm]"&amp;$O$2&amp;"!s9")</f>
        <v>0</v>
      </c>
      <c r="AC9" s="292">
        <v>1.5</v>
      </c>
      <c r="AD9" s="218">
        <f t="shared" ca="1" si="8"/>
        <v>0</v>
      </c>
      <c r="AE9" s="220">
        <f t="shared" ca="1" si="9"/>
        <v>0</v>
      </c>
      <c r="AF9" s="218">
        <f t="shared" ca="1" si="10"/>
        <v>0</v>
      </c>
      <c r="AG9" s="803">
        <f t="shared" ca="1" si="11"/>
        <v>0</v>
      </c>
      <c r="AH9" s="218">
        <f t="shared" ca="1" si="12"/>
        <v>0</v>
      </c>
      <c r="AI9" s="803">
        <f t="shared" ca="1" si="13"/>
        <v>0</v>
      </c>
      <c r="AJ9" s="218">
        <f t="shared" ca="1" si="14"/>
        <v>0</v>
      </c>
      <c r="AK9" s="803">
        <f t="shared" ca="1" si="15"/>
        <v>0</v>
      </c>
      <c r="AL9" s="218">
        <f t="shared" ca="1" si="23"/>
        <v>5.0701471153846152</v>
      </c>
      <c r="AM9" s="290">
        <f t="shared" ca="1" si="16"/>
        <v>0</v>
      </c>
      <c r="AN9" s="291" t="str">
        <f t="shared" ca="1" si="17"/>
        <v>PT_CASUAL</v>
      </c>
      <c r="AO9" s="223">
        <f ca="1">+INDIRECT("[EMPINFO.xlsm]"&amp;$O$2&amp;"!t9")</f>
        <v>30</v>
      </c>
      <c r="AP9" s="226">
        <f ca="1">+INDIRECT("[EMPINFO.xlsm]"&amp;$O$2&amp;"!o9")</f>
        <v>0</v>
      </c>
      <c r="AQ9" s="840">
        <f ca="1">+INDIRECT("[EMPINFO.xlsm]"&amp;$O$2&amp;"!p9")</f>
        <v>0</v>
      </c>
      <c r="AR9" s="226">
        <f ca="1">+INDIRECT("[EMPINFO.xlsm]"&amp;$O$2&amp;"!j9")</f>
        <v>0</v>
      </c>
      <c r="AS9" s="840">
        <f ca="1">+INDIRECT("[EMPINFO.xlsm]"&amp;$O$2&amp;"!k9")</f>
        <v>0</v>
      </c>
      <c r="AT9" s="226">
        <f ca="1">+INDIRECT("[EMPINFO.xlsm]"&amp;$O$2&amp;"!m9")</f>
        <v>0</v>
      </c>
      <c r="AU9" s="844">
        <f ca="1">+INDIRECT("[EMPINFO.xlsm]"&amp;$O$2&amp;"!n9")</f>
        <v>0</v>
      </c>
      <c r="AV9" s="244">
        <f t="shared" si="18"/>
        <v>0</v>
      </c>
      <c r="AW9" s="244">
        <f t="shared" si="19"/>
        <v>0</v>
      </c>
      <c r="AX9" s="840">
        <f ca="1">+INDIRECT("[EMPINFO.xlsm]"&amp;$O$2&amp;"!u9")</f>
        <v>30</v>
      </c>
      <c r="AY9" s="215">
        <f ca="1">+INDIRECT("[EMPINFO.xlsm]"&amp;$O$2&amp;"!v9")</f>
        <v>0</v>
      </c>
      <c r="AZ9" s="797" t="str">
        <f ca="1">+INDIRECT("[EMPINFO.xlsm]"&amp;$O$2&amp;"!x9")</f>
        <v>ACTIVE</v>
      </c>
      <c r="BA9" s="844">
        <f ca="1">+INDIRECT("[EMPINFO.xlsm]"&amp;$O$2&amp;"!w9")</f>
        <v>0</v>
      </c>
      <c r="BB9" s="288" t="e">
        <f t="shared" ca="1" si="20"/>
        <v>#N/A</v>
      </c>
      <c r="BC9" s="289" t="e">
        <f t="shared" ca="1" si="21"/>
        <v>#N/A</v>
      </c>
      <c r="BD9" s="255"/>
      <c r="BE9" s="206"/>
    </row>
    <row r="10" spans="1:62" ht="15.75" customHeight="1" thickBot="1" x14ac:dyDescent="0.3">
      <c r="A10" s="54"/>
      <c r="B10" s="5" t="s">
        <v>142</v>
      </c>
      <c r="C10" s="921" t="str">
        <f>INDEX([1]!empdata,MATCH(ID,[1]!empid,0),20)</f>
        <v>Marsascala</v>
      </c>
      <c r="D10" s="922"/>
      <c r="E10" s="922"/>
      <c r="F10" s="886"/>
      <c r="I10" s="312" t="s">
        <v>143</v>
      </c>
      <c r="L10" s="101"/>
      <c r="M10" s="303"/>
      <c r="N10" s="211">
        <f t="shared" ca="1" si="0"/>
        <v>7.6310000000000002</v>
      </c>
      <c r="O10" s="213">
        <f>+DATA!A9</f>
        <v>46204</v>
      </c>
      <c r="P10" s="219">
        <f ca="1">+INDIRECT("[EMPINFO.xlsm]"&amp;$O$2&amp;"!G10")</f>
        <v>4</v>
      </c>
      <c r="Q10" s="215">
        <f ca="1">IF(AZ10="active",INDIRECT("[EMPINFO.xlsm]"&amp;$O$2&amp;"!H10"),0)</f>
        <v>0</v>
      </c>
      <c r="R10" s="239">
        <f t="shared" ca="1" si="22"/>
        <v>7.6310000000000002</v>
      </c>
      <c r="S10" s="216">
        <f t="shared" ca="1" si="1"/>
        <v>0</v>
      </c>
      <c r="T10" s="220">
        <f t="shared" ca="1" si="2"/>
        <v>0</v>
      </c>
      <c r="U10" s="218">
        <f t="shared" ca="1" si="3"/>
        <v>0</v>
      </c>
      <c r="V10" s="220">
        <f ca="1">+juloth*julhrrt</f>
        <v>0</v>
      </c>
      <c r="W10" s="201"/>
      <c r="X10" s="218">
        <f t="shared" ca="1" si="4"/>
        <v>0</v>
      </c>
      <c r="Y10" s="803">
        <f t="shared" ca="1" si="5"/>
        <v>0</v>
      </c>
      <c r="Z10" s="218">
        <f t="shared" ca="1" si="6"/>
        <v>0</v>
      </c>
      <c r="AA10" s="803">
        <f t="shared" ca="1" si="7"/>
        <v>0</v>
      </c>
      <c r="AB10" s="218">
        <f ca="1">+INDIRECT("[EMPINFO.xlsm]"&amp;$O$2&amp;"!s10")</f>
        <v>0</v>
      </c>
      <c r="AC10" s="292">
        <v>1.5</v>
      </c>
      <c r="AD10" s="218">
        <f t="shared" ca="1" si="8"/>
        <v>0</v>
      </c>
      <c r="AE10" s="220">
        <f t="shared" ca="1" si="9"/>
        <v>0</v>
      </c>
      <c r="AF10" s="218">
        <f t="shared" ca="1" si="10"/>
        <v>0</v>
      </c>
      <c r="AG10" s="803">
        <f t="shared" ca="1" si="11"/>
        <v>0</v>
      </c>
      <c r="AH10" s="218">
        <f t="shared" ca="1" si="12"/>
        <v>0</v>
      </c>
      <c r="AI10" s="803">
        <f t="shared" ca="1" si="13"/>
        <v>0</v>
      </c>
      <c r="AJ10" s="218">
        <f t="shared" ca="1" si="14"/>
        <v>0</v>
      </c>
      <c r="AK10" s="803">
        <f t="shared" ca="1" si="15"/>
        <v>0</v>
      </c>
      <c r="AL10" s="218">
        <f t="shared" ca="1" si="23"/>
        <v>0</v>
      </c>
      <c r="AM10" s="290">
        <f t="shared" ca="1" si="16"/>
        <v>0</v>
      </c>
      <c r="AN10" s="291" t="str">
        <f t="shared" ca="1" si="17"/>
        <v>PT_CASUAL</v>
      </c>
      <c r="AO10" s="223">
        <f ca="1">+INDIRECT("[EMPINFO.xlsm]"&amp;$O$2&amp;"!t10")</f>
        <v>31</v>
      </c>
      <c r="AP10" s="226">
        <f ca="1">+INDIRECT("[EMPINFO.xlsm]"&amp;$O$2&amp;"!o10")</f>
        <v>0</v>
      </c>
      <c r="AQ10" s="840">
        <f ca="1">+INDIRECT("[EMPINFO.xlsm]"&amp;$O$2&amp;"!p10")</f>
        <v>0</v>
      </c>
      <c r="AR10" s="226">
        <f ca="1">+INDIRECT("[EMPINFO.xlsm]"&amp;$O$2&amp;"!j10")</f>
        <v>0</v>
      </c>
      <c r="AS10" s="840">
        <f ca="1">+INDIRECT("[EMPINFO.xlsm]"&amp;$O$2&amp;"!k10")</f>
        <v>0</v>
      </c>
      <c r="AT10" s="226">
        <f ca="1">+INDIRECT("[EMPINFO.xlsm]"&amp;$O$2&amp;"!m10")</f>
        <v>0</v>
      </c>
      <c r="AU10" s="844">
        <f ca="1">+INDIRECT("[EMPINFO.xlsm]"&amp;$O$2&amp;"!n10")</f>
        <v>0</v>
      </c>
      <c r="AV10" s="244">
        <f t="shared" si="18"/>
        <v>0</v>
      </c>
      <c r="AW10" s="244">
        <f t="shared" si="19"/>
        <v>0</v>
      </c>
      <c r="AX10" s="840">
        <f ca="1">+INDIRECT("[EMPINFO.xlsm]"&amp;$O$2&amp;"!u10")</f>
        <v>31</v>
      </c>
      <c r="AY10" s="215">
        <f ca="1">+INDIRECT("[EMPINFO.xlsm]"&amp;$O$2&amp;"!v10")</f>
        <v>0</v>
      </c>
      <c r="AZ10" s="797" t="str">
        <f ca="1">+INDIRECT("[EMPINFO.xlsm]"&amp;$O$2&amp;"!x10")</f>
        <v>ACTIVE</v>
      </c>
      <c r="BA10" s="844">
        <f ca="1">+INDIRECT("[EMPINFO.xlsm]"&amp;$O$2&amp;"!w10")</f>
        <v>0</v>
      </c>
      <c r="BB10" s="288" t="e">
        <f t="shared" ca="1" si="20"/>
        <v>#N/A</v>
      </c>
      <c r="BC10" s="289" t="e">
        <f t="shared" ca="1" si="21"/>
        <v>#N/A</v>
      </c>
      <c r="BD10" s="255"/>
      <c r="BE10" s="206"/>
      <c r="BF10" s="32"/>
      <c r="BH10" s="32"/>
      <c r="BI10" s="30"/>
      <c r="BJ10" s="31"/>
    </row>
    <row r="11" spans="1:62" ht="15.75" customHeight="1" thickBot="1" x14ac:dyDescent="0.3">
      <c r="A11" s="54"/>
      <c r="B11" s="6" t="s">
        <v>144</v>
      </c>
      <c r="C11" s="921" t="str">
        <f>INDEX([1]!empdata,MATCH(ID,[1]!empid,0),21)</f>
        <v>MSK2259</v>
      </c>
      <c r="D11" s="922"/>
      <c r="E11" s="922"/>
      <c r="F11" s="886"/>
      <c r="H11" s="312" t="s">
        <v>31</v>
      </c>
      <c r="I11" s="927">
        <f>INDEX([1]!empdata,MATCH(ID,[1]!empid,0),7)</f>
        <v>0</v>
      </c>
      <c r="J11" s="859"/>
      <c r="K11" s="857"/>
      <c r="L11" s="101"/>
      <c r="M11" s="303"/>
      <c r="N11" s="211">
        <f t="shared" ca="1" si="0"/>
        <v>7.6310000000000002</v>
      </c>
      <c r="O11" s="213">
        <f>+DATA!A10</f>
        <v>46235</v>
      </c>
      <c r="P11" s="219">
        <f ca="1">+INDIRECT("[EMPINFO.xlsm]"&amp;$O$2&amp;"!G11")</f>
        <v>5</v>
      </c>
      <c r="Q11" s="215">
        <f ca="1">IF(AZ11="active",INDIRECT("[EMPINFO.xlsm]"&amp;$O$2&amp;"!H11"),0)</f>
        <v>0</v>
      </c>
      <c r="R11" s="239">
        <f t="shared" ca="1" si="22"/>
        <v>7.6310000000000002</v>
      </c>
      <c r="S11" s="216">
        <f t="shared" ca="1" si="1"/>
        <v>0</v>
      </c>
      <c r="T11" s="220">
        <f t="shared" ca="1" si="2"/>
        <v>0</v>
      </c>
      <c r="U11" s="218">
        <f t="shared" ca="1" si="3"/>
        <v>0</v>
      </c>
      <c r="V11" s="220">
        <f ca="1">+augoth*aughrrt</f>
        <v>0</v>
      </c>
      <c r="W11" s="201"/>
      <c r="X11" s="218">
        <f t="shared" ca="1" si="4"/>
        <v>0</v>
      </c>
      <c r="Y11" s="803">
        <f t="shared" ca="1" si="5"/>
        <v>0</v>
      </c>
      <c r="Z11" s="218">
        <f t="shared" ca="1" si="6"/>
        <v>0</v>
      </c>
      <c r="AA11" s="803">
        <f t="shared" ca="1" si="7"/>
        <v>0</v>
      </c>
      <c r="AB11" s="218">
        <f ca="1">+INDIRECT("[EMPINFO.xlsm]"&amp;$O$2&amp;"!s11")</f>
        <v>0</v>
      </c>
      <c r="AC11" s="292">
        <v>1.5</v>
      </c>
      <c r="AD11" s="218">
        <f t="shared" ca="1" si="8"/>
        <v>0</v>
      </c>
      <c r="AE11" s="220">
        <f t="shared" ca="1" si="9"/>
        <v>0</v>
      </c>
      <c r="AF11" s="218">
        <f t="shared" ca="1" si="10"/>
        <v>0</v>
      </c>
      <c r="AG11" s="803">
        <f t="shared" ca="1" si="11"/>
        <v>0</v>
      </c>
      <c r="AH11" s="218">
        <f t="shared" ca="1" si="12"/>
        <v>0</v>
      </c>
      <c r="AI11" s="803">
        <f t="shared" ca="1" si="13"/>
        <v>0</v>
      </c>
      <c r="AJ11" s="218">
        <f t="shared" ca="1" si="14"/>
        <v>0</v>
      </c>
      <c r="AK11" s="803">
        <f t="shared" ca="1" si="15"/>
        <v>0</v>
      </c>
      <c r="AL11" s="218">
        <f t="shared" ca="1" si="23"/>
        <v>0</v>
      </c>
      <c r="AM11" s="290">
        <f t="shared" ca="1" si="16"/>
        <v>0</v>
      </c>
      <c r="AN11" s="291" t="str">
        <f t="shared" ca="1" si="17"/>
        <v>PT_CASUAL</v>
      </c>
      <c r="AO11" s="223">
        <f ca="1">+INDIRECT("[EMPINFO.xlsm]"&amp;$O$2&amp;"!t11")</f>
        <v>31</v>
      </c>
      <c r="AP11" s="226">
        <f ca="1">+INDIRECT("[EMPINFO.xlsm]"&amp;$O$2&amp;"!o11")</f>
        <v>0</v>
      </c>
      <c r="AQ11" s="840">
        <f ca="1">+INDIRECT("[EMPINFO.xlsm]"&amp;$O$2&amp;"!p11")</f>
        <v>0</v>
      </c>
      <c r="AR11" s="226">
        <f ca="1">+INDIRECT("[EMPINFO.xlsm]"&amp;$O$2&amp;"!j11")</f>
        <v>0</v>
      </c>
      <c r="AS11" s="840">
        <f ca="1">+INDIRECT("[EMPINFO.xlsm]"&amp;$O$2&amp;"!k11")</f>
        <v>0</v>
      </c>
      <c r="AT11" s="226">
        <f ca="1">+INDIRECT("[EMPINFO.xlsm]"&amp;$O$2&amp;"!m11")</f>
        <v>0</v>
      </c>
      <c r="AU11" s="844">
        <f ca="1">+INDIRECT("[EMPINFO.xlsm]"&amp;$O$2&amp;"!n11")</f>
        <v>0</v>
      </c>
      <c r="AV11" s="244">
        <f t="shared" si="18"/>
        <v>0</v>
      </c>
      <c r="AW11" s="244">
        <f t="shared" si="19"/>
        <v>0</v>
      </c>
      <c r="AX11" s="840">
        <f ca="1">+INDIRECT("[EMPINFO.xlsm]"&amp;$O$2&amp;"!u11")</f>
        <v>31</v>
      </c>
      <c r="AY11" s="215">
        <f ca="1">+INDIRECT("[EMPINFO.xlsm]"&amp;$O$2&amp;"!v11")</f>
        <v>0</v>
      </c>
      <c r="AZ11" s="797" t="str">
        <f ca="1">+INDIRECT("[EMPINFO.xlsm]"&amp;$O$2&amp;"!x11")</f>
        <v>ACTIVE</v>
      </c>
      <c r="BA11" s="844">
        <f ca="1">+INDIRECT("[EMPINFO.xlsm]"&amp;$O$2&amp;"!w11")</f>
        <v>0</v>
      </c>
      <c r="BB11" s="288" t="e">
        <f t="shared" ca="1" si="20"/>
        <v>#N/A</v>
      </c>
      <c r="BC11" s="289" t="e">
        <f t="shared" ca="1" si="21"/>
        <v>#N/A</v>
      </c>
      <c r="BD11" s="255"/>
      <c r="BE11" s="206"/>
      <c r="BF11" s="27"/>
      <c r="BH11" s="27"/>
    </row>
    <row r="12" spans="1:62" ht="17.45" customHeight="1" thickBot="1" x14ac:dyDescent="0.3">
      <c r="A12" s="313"/>
      <c r="B12" s="91" t="s">
        <v>14</v>
      </c>
      <c r="C12" s="945">
        <f>INDEX([1]!empdata,MATCH(ID,[1]!empid,0),10)</f>
        <v>77109529</v>
      </c>
      <c r="D12" s="946"/>
      <c r="E12" s="946"/>
      <c r="F12" s="947"/>
      <c r="G12" s="85"/>
      <c r="H12" s="85"/>
      <c r="I12" s="85"/>
      <c r="J12" s="85"/>
      <c r="K12" s="85"/>
      <c r="L12" s="314"/>
      <c r="M12" s="303"/>
      <c r="N12" s="211">
        <f t="shared" ca="1" si="0"/>
        <v>7.6310000000000002</v>
      </c>
      <c r="O12" s="213">
        <f>+DATA!A11</f>
        <v>46266</v>
      </c>
      <c r="P12" s="219">
        <f ca="1">+INDIRECT("[EMPINFO.xlsm]"&amp;$O$2&amp;"!G12")</f>
        <v>4</v>
      </c>
      <c r="Q12" s="215">
        <f ca="1">IF(AZ12="active",INDIRECT("[EMPINFO.xlsm]"&amp;$O$2&amp;"!H12"),0)</f>
        <v>0</v>
      </c>
      <c r="R12" s="239">
        <f t="shared" ca="1" si="22"/>
        <v>7.6310000000000002</v>
      </c>
      <c r="S12" s="216">
        <f t="shared" ca="1" si="1"/>
        <v>0</v>
      </c>
      <c r="T12" s="220">
        <f t="shared" ca="1" si="2"/>
        <v>0</v>
      </c>
      <c r="U12" s="218">
        <f t="shared" ca="1" si="3"/>
        <v>0</v>
      </c>
      <c r="V12" s="220">
        <f ca="1">+sepoth*sephrrt</f>
        <v>0</v>
      </c>
      <c r="W12" s="202">
        <f ca="1">IF(AZ12&lt;&gt;"active",0,(IF(Timer="PT_casual",(bonussep/1040*(BA7:BA12)),(bonussep*(SUM(AO7:AO12)/SUM(AX7:AX12))*(SUM(Q7:Q12)/240)))))</f>
        <v>0</v>
      </c>
      <c r="X12" s="218">
        <f t="shared" ca="1" si="4"/>
        <v>0</v>
      </c>
      <c r="Y12" s="803">
        <f t="shared" ca="1" si="5"/>
        <v>0</v>
      </c>
      <c r="Z12" s="218">
        <f t="shared" ca="1" si="6"/>
        <v>0</v>
      </c>
      <c r="AA12" s="803">
        <f t="shared" ca="1" si="7"/>
        <v>0</v>
      </c>
      <c r="AB12" s="218">
        <f ca="1">+INDIRECT("[EMPINFO.xlsm]"&amp;$O$2&amp;"!s12")</f>
        <v>0</v>
      </c>
      <c r="AC12" s="292">
        <v>1.5</v>
      </c>
      <c r="AD12" s="218">
        <f t="shared" ca="1" si="8"/>
        <v>0</v>
      </c>
      <c r="AE12" s="220">
        <f t="shared" ca="1" si="9"/>
        <v>0</v>
      </c>
      <c r="AF12" s="218">
        <f t="shared" ca="1" si="10"/>
        <v>0</v>
      </c>
      <c r="AG12" s="803">
        <f t="shared" ca="1" si="11"/>
        <v>0</v>
      </c>
      <c r="AH12" s="218">
        <f t="shared" ca="1" si="12"/>
        <v>0</v>
      </c>
      <c r="AI12" s="803">
        <f t="shared" ca="1" si="13"/>
        <v>0</v>
      </c>
      <c r="AJ12" s="218">
        <f t="shared" ca="1" si="14"/>
        <v>0</v>
      </c>
      <c r="AK12" s="803">
        <f t="shared" ca="1" si="15"/>
        <v>0</v>
      </c>
      <c r="AL12" s="218">
        <f t="shared" ca="1" si="23"/>
        <v>0</v>
      </c>
      <c r="AM12" s="290">
        <f t="shared" ca="1" si="16"/>
        <v>0</v>
      </c>
      <c r="AN12" s="291" t="str">
        <f t="shared" ca="1" si="17"/>
        <v>PT_CASUAL</v>
      </c>
      <c r="AO12" s="223">
        <f ca="1">+INDIRECT("[EMPINFO.xlsm]"&amp;$O$2&amp;"!t12")</f>
        <v>30</v>
      </c>
      <c r="AP12" s="226">
        <f ca="1">+INDIRECT("[EMPINFO.xlsm]"&amp;$O$2&amp;"!o12")</f>
        <v>0</v>
      </c>
      <c r="AQ12" s="840">
        <f ca="1">+INDIRECT("[EMPINFO.xlsm]"&amp;$O$2&amp;"!p12")</f>
        <v>0</v>
      </c>
      <c r="AR12" s="226">
        <f ca="1">+INDIRECT("[EMPINFO.xlsm]"&amp;$O$2&amp;"!j12")</f>
        <v>0</v>
      </c>
      <c r="AS12" s="840">
        <f ca="1">+INDIRECT("[EMPINFO.xlsm]"&amp;$O$2&amp;"!k12")</f>
        <v>0</v>
      </c>
      <c r="AT12" s="226">
        <f ca="1">+INDIRECT("[EMPINFO.xlsm]"&amp;$O$2&amp;"!m12")</f>
        <v>0</v>
      </c>
      <c r="AU12" s="844">
        <f ca="1">+INDIRECT("[EMPINFO.xlsm]"&amp;$O$2&amp;"!n12")</f>
        <v>0</v>
      </c>
      <c r="AV12" s="244">
        <f t="shared" si="18"/>
        <v>0</v>
      </c>
      <c r="AW12" s="244">
        <f t="shared" si="19"/>
        <v>0</v>
      </c>
      <c r="AX12" s="840">
        <f ca="1">+INDIRECT("[EMPINFO.xlsm]"&amp;$O$2&amp;"!u12")</f>
        <v>30</v>
      </c>
      <c r="AY12" s="215">
        <f ca="1">+INDIRECT("[EMPINFO.xlsm]"&amp;$O$2&amp;"!v12")</f>
        <v>0</v>
      </c>
      <c r="AZ12" s="797" t="str">
        <f ca="1">+INDIRECT("[EMPINFO.xlsm]"&amp;$O$2&amp;"!x12")</f>
        <v>ACTIVE</v>
      </c>
      <c r="BA12" s="844">
        <f ca="1">+INDIRECT("[EMPINFO.xlsm]"&amp;$O$2&amp;"!w12")</f>
        <v>0</v>
      </c>
      <c r="BB12" s="288" t="e">
        <f t="shared" ca="1" si="20"/>
        <v>#N/A</v>
      </c>
      <c r="BC12" s="289" t="e">
        <f t="shared" ca="1" si="21"/>
        <v>#N/A</v>
      </c>
      <c r="BD12" s="255"/>
      <c r="BE12" s="206"/>
    </row>
    <row r="13" spans="1:62" ht="15.75" customHeight="1" thickBot="1" x14ac:dyDescent="0.3">
      <c r="A13" s="54"/>
      <c r="L13" s="101"/>
      <c r="M13" s="303"/>
      <c r="N13" s="211">
        <f t="shared" ca="1" si="0"/>
        <v>7.6310000000000002</v>
      </c>
      <c r="O13" s="213">
        <f>+DATA!A12</f>
        <v>46296</v>
      </c>
      <c r="P13" s="219">
        <f ca="1">+INDIRECT("[EMPINFO.xlsm]"&amp;$O$2&amp;"!G13")</f>
        <v>4</v>
      </c>
      <c r="Q13" s="215">
        <f ca="1">IF(AZ13="active",INDIRECT("[EMPINFO.xlsm]"&amp;$O$2&amp;"!H13"),0)</f>
        <v>0</v>
      </c>
      <c r="R13" s="239">
        <f t="shared" ca="1" si="22"/>
        <v>7.6310000000000002</v>
      </c>
      <c r="S13" s="216">
        <f t="shared" ca="1" si="1"/>
        <v>0</v>
      </c>
      <c r="T13" s="220">
        <f t="shared" ca="1" si="2"/>
        <v>0</v>
      </c>
      <c r="U13" s="218">
        <f t="shared" ca="1" si="3"/>
        <v>0</v>
      </c>
      <c r="V13" s="220">
        <f ca="1">+octoth*octhrrt</f>
        <v>0</v>
      </c>
      <c r="W13" s="201"/>
      <c r="X13" s="218">
        <f t="shared" ca="1" si="4"/>
        <v>0</v>
      </c>
      <c r="Y13" s="803">
        <f t="shared" ca="1" si="5"/>
        <v>0</v>
      </c>
      <c r="Z13" s="218">
        <f t="shared" ca="1" si="6"/>
        <v>0</v>
      </c>
      <c r="AA13" s="803">
        <f t="shared" ca="1" si="7"/>
        <v>0</v>
      </c>
      <c r="AB13" s="218">
        <f ca="1">+INDIRECT("[EMPINFO.xlsm]"&amp;$O$2&amp;"!s13")</f>
        <v>0</v>
      </c>
      <c r="AC13" s="292">
        <v>1.5</v>
      </c>
      <c r="AD13" s="218">
        <f t="shared" ca="1" si="8"/>
        <v>0</v>
      </c>
      <c r="AE13" s="220">
        <f t="shared" ca="1" si="9"/>
        <v>0</v>
      </c>
      <c r="AF13" s="218">
        <f t="shared" ca="1" si="10"/>
        <v>0</v>
      </c>
      <c r="AG13" s="803">
        <f t="shared" ca="1" si="11"/>
        <v>0</v>
      </c>
      <c r="AH13" s="218">
        <f t="shared" ca="1" si="12"/>
        <v>0</v>
      </c>
      <c r="AI13" s="803">
        <f t="shared" ca="1" si="13"/>
        <v>0</v>
      </c>
      <c r="AJ13" s="218">
        <f t="shared" ca="1" si="14"/>
        <v>0</v>
      </c>
      <c r="AK13" s="803">
        <f t="shared" ca="1" si="15"/>
        <v>0</v>
      </c>
      <c r="AL13" s="218">
        <f t="shared" ca="1" si="23"/>
        <v>0</v>
      </c>
      <c r="AM13" s="290">
        <f t="shared" ca="1" si="16"/>
        <v>0</v>
      </c>
      <c r="AN13" s="291" t="str">
        <f t="shared" ca="1" si="17"/>
        <v>PT_CASUAL</v>
      </c>
      <c r="AO13" s="223">
        <f ca="1">+INDIRECT("[EMPINFO.xlsm]"&amp;$O$2&amp;"!t13")</f>
        <v>31</v>
      </c>
      <c r="AP13" s="226">
        <f ca="1">+INDIRECT("[EMPINFO.xlsm]"&amp;$O$2&amp;"!o13")</f>
        <v>0</v>
      </c>
      <c r="AQ13" s="840">
        <f ca="1">+INDIRECT("[EMPINFO.xlsm]"&amp;$O$2&amp;"!p13")</f>
        <v>0</v>
      </c>
      <c r="AR13" s="226">
        <f ca="1">+INDIRECT("[EMPINFO.xlsm]"&amp;$O$2&amp;"!j13")</f>
        <v>0</v>
      </c>
      <c r="AS13" s="840">
        <f ca="1">+INDIRECT("[EMPINFO.xlsm]"&amp;$O$2&amp;"!k13")</f>
        <v>0</v>
      </c>
      <c r="AT13" s="226">
        <f ca="1">+INDIRECT("[EMPINFO.xlsm]"&amp;$O$2&amp;"!m13")</f>
        <v>0</v>
      </c>
      <c r="AU13" s="844">
        <f ca="1">+INDIRECT("[EMPINFO.xlsm]"&amp;$O$2&amp;"!n13")</f>
        <v>0</v>
      </c>
      <c r="AV13" s="244">
        <f t="shared" si="18"/>
        <v>0</v>
      </c>
      <c r="AW13" s="244">
        <f t="shared" si="19"/>
        <v>0</v>
      </c>
      <c r="AX13" s="840">
        <f ca="1">+INDIRECT("[EMPINFO.xlsm]"&amp;$O$2&amp;"!u13")</f>
        <v>31</v>
      </c>
      <c r="AY13" s="215">
        <f ca="1">+INDIRECT("[EMPINFO.xlsm]"&amp;$O$2&amp;"!v13")</f>
        <v>0</v>
      </c>
      <c r="AZ13" s="797" t="str">
        <f ca="1">+INDIRECT("[EMPINFO.xlsm]"&amp;$O$2&amp;"!x13")</f>
        <v>ACTIVE</v>
      </c>
      <c r="BA13" s="844">
        <f ca="1">+INDIRECT("[EMPINFO.xlsm]"&amp;$O$2&amp;"!w13")</f>
        <v>0</v>
      </c>
      <c r="BB13" s="288" t="e">
        <f t="shared" ca="1" si="20"/>
        <v>#N/A</v>
      </c>
      <c r="BC13" s="289" t="e">
        <f t="shared" ca="1" si="21"/>
        <v>#N/A</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7.6310000000000002</v>
      </c>
      <c r="O14" s="213">
        <f>+DATA!A13</f>
        <v>46327</v>
      </c>
      <c r="P14" s="219">
        <f ca="1">+INDIRECT("[EMPINFO.xlsm]"&amp;$O$2&amp;"!G14")</f>
        <v>5</v>
      </c>
      <c r="Q14" s="215">
        <f ca="1">IF(AZ14="active",INDIRECT("[EMPINFO.xlsm]"&amp;$O$2&amp;"!H14"),0)</f>
        <v>0</v>
      </c>
      <c r="R14" s="239">
        <f t="shared" ca="1" si="22"/>
        <v>7.6310000000000002</v>
      </c>
      <c r="S14" s="216">
        <f t="shared" ca="1" si="1"/>
        <v>0</v>
      </c>
      <c r="T14" s="220">
        <f t="shared" ca="1" si="2"/>
        <v>0</v>
      </c>
      <c r="U14" s="218">
        <f t="shared" ca="1" si="3"/>
        <v>0</v>
      </c>
      <c r="V14" s="220">
        <f ca="1">+novoth*novhrrt</f>
        <v>0</v>
      </c>
      <c r="W14" s="201"/>
      <c r="X14" s="218">
        <f t="shared" ca="1" si="4"/>
        <v>0</v>
      </c>
      <c r="Y14" s="803">
        <f t="shared" ca="1" si="5"/>
        <v>0</v>
      </c>
      <c r="Z14" s="218">
        <f t="shared" ca="1" si="6"/>
        <v>0</v>
      </c>
      <c r="AA14" s="803">
        <f t="shared" ca="1" si="7"/>
        <v>0</v>
      </c>
      <c r="AB14" s="218">
        <f ca="1">+INDIRECT("[EMPINFO.xlsm]"&amp;$O$2&amp;"!s14")</f>
        <v>0</v>
      </c>
      <c r="AC14" s="292">
        <v>1.5</v>
      </c>
      <c r="AD14" s="218">
        <f t="shared" ca="1" si="8"/>
        <v>0</v>
      </c>
      <c r="AE14" s="220">
        <f t="shared" ca="1" si="9"/>
        <v>0</v>
      </c>
      <c r="AF14" s="218">
        <f t="shared" ca="1" si="10"/>
        <v>0</v>
      </c>
      <c r="AG14" s="803">
        <f t="shared" ca="1" si="11"/>
        <v>0</v>
      </c>
      <c r="AH14" s="218">
        <f t="shared" ca="1" si="12"/>
        <v>0</v>
      </c>
      <c r="AI14" s="803">
        <f t="shared" ca="1" si="13"/>
        <v>0</v>
      </c>
      <c r="AJ14" s="218">
        <f t="shared" ca="1" si="14"/>
        <v>0</v>
      </c>
      <c r="AK14" s="803">
        <f t="shared" ca="1" si="15"/>
        <v>0</v>
      </c>
      <c r="AL14" s="218">
        <f t="shared" ca="1" si="23"/>
        <v>0</v>
      </c>
      <c r="AM14" s="290">
        <f t="shared" ca="1" si="16"/>
        <v>0</v>
      </c>
      <c r="AN14" s="291" t="str">
        <f t="shared" ca="1" si="17"/>
        <v>PT_CASUAL</v>
      </c>
      <c r="AO14" s="223">
        <f ca="1">+INDIRECT("[EMPINFO.xlsm]"&amp;$O$2&amp;"!t14")</f>
        <v>30</v>
      </c>
      <c r="AP14" s="226">
        <f ca="1">+INDIRECT("[EMPINFO.xlsm]"&amp;$O$2&amp;"!o14")</f>
        <v>0</v>
      </c>
      <c r="AQ14" s="840">
        <f ca="1">+INDIRECT("[EMPINFO.xlsm]"&amp;$O$2&amp;"!p14")</f>
        <v>0</v>
      </c>
      <c r="AR14" s="226">
        <f ca="1">+INDIRECT("[EMPINFO.xlsm]"&amp;$O$2&amp;"!j14")</f>
        <v>0</v>
      </c>
      <c r="AS14" s="840">
        <f ca="1">+INDIRECT("[EMPINFO.xlsm]"&amp;$O$2&amp;"!k14")</f>
        <v>0</v>
      </c>
      <c r="AT14" s="226">
        <f ca="1">+INDIRECT("[EMPINFO.xlsm]"&amp;$O$2&amp;"!m14")</f>
        <v>0</v>
      </c>
      <c r="AU14" s="844">
        <f ca="1">+INDIRECT("[EMPINFO.xlsm]"&amp;$O$2&amp;"!n14")</f>
        <v>0</v>
      </c>
      <c r="AV14" s="244">
        <f t="shared" si="18"/>
        <v>0</v>
      </c>
      <c r="AW14" s="244">
        <f t="shared" si="19"/>
        <v>0</v>
      </c>
      <c r="AX14" s="840">
        <f ca="1">+INDIRECT("[EMPINFO.xlsm]"&amp;$O$2&amp;"!u14")</f>
        <v>30</v>
      </c>
      <c r="AY14" s="215">
        <f ca="1">+INDIRECT("[EMPINFO.xlsm]"&amp;$O$2&amp;"!v14")</f>
        <v>0</v>
      </c>
      <c r="AZ14" s="797" t="str">
        <f ca="1">+INDIRECT("[EMPINFO.xlsm]"&amp;$O$2&amp;"!x14")</f>
        <v>ACTIVE</v>
      </c>
      <c r="BA14" s="844">
        <f ca="1">+INDIRECT("[EMPINFO.xlsm]"&amp;$O$2&amp;"!w14")</f>
        <v>0</v>
      </c>
      <c r="BB14" s="288" t="e">
        <f t="shared" ca="1" si="20"/>
        <v>#N/A</v>
      </c>
      <c r="BC14" s="289" t="e">
        <f t="shared" ca="1" si="21"/>
        <v>#N/A</v>
      </c>
      <c r="BD14" s="255"/>
      <c r="BE14" s="206"/>
      <c r="BF14" s="32"/>
      <c r="BH14" s="32"/>
    </row>
    <row r="15" spans="1:62" ht="15.75" customHeight="1" thickBot="1" x14ac:dyDescent="0.3">
      <c r="A15" s="54"/>
      <c r="L15" s="101"/>
      <c r="M15" s="303"/>
      <c r="N15" s="211">
        <f t="shared" ca="1" si="0"/>
        <v>7.6310000000000002</v>
      </c>
      <c r="O15" s="213">
        <f>+DATA!A14</f>
        <v>46357</v>
      </c>
      <c r="P15" s="219">
        <f ca="1">+INDIRECT("[EMPINFO.xlsm]"&amp;$O$2&amp;"!G15")</f>
        <v>4</v>
      </c>
      <c r="Q15" s="215">
        <f ca="1">IF(AZ15="active",INDIRECT("[EMPINFO.xlsm]"&amp;$O$2&amp;"!H15"),0)</f>
        <v>0</v>
      </c>
      <c r="R15" s="239">
        <f t="shared" ca="1" si="22"/>
        <v>7.6310000000000002</v>
      </c>
      <c r="S15" s="216">
        <f t="shared" ca="1" si="1"/>
        <v>0</v>
      </c>
      <c r="T15" s="220">
        <f t="shared" ca="1" si="2"/>
        <v>0</v>
      </c>
      <c r="U15" s="218">
        <f t="shared" ca="1" si="3"/>
        <v>0</v>
      </c>
      <c r="V15" s="220">
        <f ca="1">+decoth*dechrrt</f>
        <v>0</v>
      </c>
      <c r="W15" s="202">
        <f ca="1">IF(AZ15&lt;&gt;"active",0,(IF(Timer="PT_casual",(bonusdec/1040*(BA10:BA15)),(bonusdec*(SUM(AO10:AO15)/SUM(AX10:AX15))*(SUM(Q10:Q15)/240)))))</f>
        <v>0</v>
      </c>
      <c r="X15" s="218">
        <f t="shared" ca="1" si="4"/>
        <v>0</v>
      </c>
      <c r="Y15" s="803">
        <f t="shared" ca="1" si="5"/>
        <v>0</v>
      </c>
      <c r="Z15" s="218">
        <f t="shared" ca="1" si="6"/>
        <v>0</v>
      </c>
      <c r="AA15" s="803">
        <f t="shared" ca="1" si="7"/>
        <v>0</v>
      </c>
      <c r="AB15" s="218">
        <f ca="1">+INDIRECT("[EMPINFO.xlsm]"&amp;$O$2&amp;"!s15")</f>
        <v>0</v>
      </c>
      <c r="AC15" s="292">
        <v>1.5</v>
      </c>
      <c r="AD15" s="218">
        <f t="shared" ca="1" si="8"/>
        <v>0</v>
      </c>
      <c r="AE15" s="220">
        <f t="shared" ca="1" si="9"/>
        <v>0</v>
      </c>
      <c r="AF15" s="218">
        <f t="shared" ca="1" si="10"/>
        <v>0</v>
      </c>
      <c r="AG15" s="803">
        <f t="shared" ca="1" si="11"/>
        <v>0</v>
      </c>
      <c r="AH15" s="218">
        <f t="shared" ca="1" si="12"/>
        <v>0</v>
      </c>
      <c r="AI15" s="803">
        <f t="shared" ca="1" si="13"/>
        <v>0</v>
      </c>
      <c r="AJ15" s="218">
        <f t="shared" ca="1" si="14"/>
        <v>0</v>
      </c>
      <c r="AK15" s="803">
        <f t="shared" ca="1" si="15"/>
        <v>0</v>
      </c>
      <c r="AL15" s="218">
        <f t="shared" ca="1" si="23"/>
        <v>0</v>
      </c>
      <c r="AM15" s="290">
        <f t="shared" ca="1" si="16"/>
        <v>0</v>
      </c>
      <c r="AN15" s="291" t="str">
        <f t="shared" ca="1" si="17"/>
        <v>PT_CASUAL</v>
      </c>
      <c r="AO15" s="223">
        <f ca="1">+INDIRECT("[EMPINFO.xlsm]"&amp;$O$2&amp;"!t15")</f>
        <v>31</v>
      </c>
      <c r="AP15" s="226">
        <f ca="1">+INDIRECT("[EMPINFO.xlsm]"&amp;$O$2&amp;"!o15")</f>
        <v>0</v>
      </c>
      <c r="AQ15" s="840">
        <f ca="1">+INDIRECT("[EMPINFO.xlsm]"&amp;$O$2&amp;"!p15")</f>
        <v>0</v>
      </c>
      <c r="AR15" s="226">
        <f ca="1">+INDIRECT("[EMPINFO.xlsm]"&amp;$O$2&amp;"!j15")</f>
        <v>0</v>
      </c>
      <c r="AS15" s="840">
        <f ca="1">+INDIRECT("[EMPINFO.xlsm]"&amp;$O$2&amp;"!k15")</f>
        <v>0</v>
      </c>
      <c r="AT15" s="226">
        <f ca="1">+INDIRECT("[EMPINFO.xlsm]"&amp;$O$2&amp;"!m15")</f>
        <v>0</v>
      </c>
      <c r="AU15" s="844">
        <f ca="1">+INDIRECT("[EMPINFO.xlsm]"&amp;$O$2&amp;"!n15")</f>
        <v>0</v>
      </c>
      <c r="AV15" s="244">
        <f t="shared" si="18"/>
        <v>0</v>
      </c>
      <c r="AW15" s="244">
        <f t="shared" si="19"/>
        <v>0</v>
      </c>
      <c r="AX15" s="838">
        <f ca="1">+INDIRECT("[EMPINFO.xlsm]"&amp;$O$2&amp;"!u15")</f>
        <v>31</v>
      </c>
      <c r="AY15" s="215">
        <f ca="1">+INDIRECT("[EMPINFO.xlsm]"&amp;$O$2&amp;"!v15")</f>
        <v>0</v>
      </c>
      <c r="AZ15" s="797" t="str">
        <f ca="1">+INDIRECT("[EMPINFO.xlsm]"&amp;$O$2&amp;"!x15")</f>
        <v>ACTIVE</v>
      </c>
      <c r="BA15" s="844">
        <f ca="1">+INDIRECT("[EMPINFO.xlsm]"&amp;$O$2&amp;"!w15")</f>
        <v>0</v>
      </c>
      <c r="BB15" s="288" t="e">
        <f t="shared" ca="1" si="20"/>
        <v>#N/A</v>
      </c>
      <c r="BC15" s="289" t="e">
        <f t="shared" ca="1" si="21"/>
        <v>#N/A</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0</v>
      </c>
      <c r="T16" s="221">
        <f t="shared" ca="1" si="24"/>
        <v>297.83793000000003</v>
      </c>
      <c r="U16" s="217">
        <f t="shared" ca="1" si="24"/>
        <v>0</v>
      </c>
      <c r="V16" s="221">
        <f t="shared" ca="1" si="24"/>
        <v>0</v>
      </c>
      <c r="W16" s="217">
        <f t="shared" ca="1" si="24"/>
        <v>9.6171421153846151</v>
      </c>
      <c r="X16" s="217">
        <f t="shared" ca="1" si="24"/>
        <v>0</v>
      </c>
      <c r="Y16" s="804">
        <f t="shared" ca="1" si="24"/>
        <v>0</v>
      </c>
      <c r="Z16" s="217">
        <f t="shared" ca="1" si="24"/>
        <v>307.45507211538461</v>
      </c>
      <c r="AA16" s="804">
        <f t="shared" ca="1" si="24"/>
        <v>29</v>
      </c>
      <c r="AB16" s="217">
        <f ca="1">+INDIRECT("[EMPINFO.xlsm]"&amp;$O$2&amp;"!S16")</f>
        <v>0</v>
      </c>
      <c r="AC16" s="221" t="s">
        <v>150</v>
      </c>
      <c r="AD16" s="217">
        <f ca="1">SUM(AD4:AD15)</f>
        <v>0</v>
      </c>
      <c r="AE16" s="221">
        <f ca="1">SUM(AE4:AE15)</f>
        <v>0</v>
      </c>
      <c r="AF16" s="217">
        <f ca="1">SUM(AF4:AF15)</f>
        <v>29</v>
      </c>
      <c r="AG16" s="221"/>
      <c r="AH16" s="217">
        <f ca="1">SUM(AH4:AH15)</f>
        <v>0</v>
      </c>
      <c r="AI16" s="803">
        <f ca="1">SUM(AI4:AI15)</f>
        <v>0</v>
      </c>
      <c r="AJ16" s="217">
        <f t="shared" ca="1" si="14"/>
        <v>0</v>
      </c>
      <c r="AK16" s="835">
        <f ca="1">SUM(AK4:AK15)</f>
        <v>0</v>
      </c>
      <c r="AL16" s="217">
        <f ca="1">+SUM(AL4:AL15)</f>
        <v>307.45507211538461</v>
      </c>
      <c r="AM16" s="298"/>
      <c r="AN16" s="297"/>
      <c r="AO16" s="224">
        <f ca="1">+INDIRECT("[EMPINFO.xlsm]"&amp;$O$2&amp;"!T16")</f>
        <v>365</v>
      </c>
      <c r="AP16" s="299">
        <f>+[1]RGaldes!O16</f>
        <v>0</v>
      </c>
      <c r="AQ16" s="841">
        <f ca="1">+INDIRECT("[EMPINFO.xlsm]"&amp;$O$2&amp;"!p16")</f>
        <v>0</v>
      </c>
      <c r="AR16" s="299"/>
      <c r="AS16" s="841">
        <f ca="1">+INDIRECT("[EMPINFO.xlsm]"&amp;$O$2&amp;"!k16")</f>
        <v>0</v>
      </c>
      <c r="AT16" s="299">
        <f ca="1">+INDIRECT("[EMPINFO.xlsm]"&amp;$O$2&amp;"!m16")</f>
        <v>0</v>
      </c>
      <c r="AU16" s="841">
        <f ca="1">+INDIRECT("[EMPINFO.xlsm]"&amp;$O$2&amp;"!n16")</f>
        <v>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TRUNC(IF(OR(Timer="PT", Timer="PT_casual"),0,Z16),0)</f>
        <v>0</v>
      </c>
      <c r="I17" s="456"/>
      <c r="K17" s="317" t="s">
        <v>151</v>
      </c>
      <c r="L17" s="101"/>
      <c r="M17" s="256">
        <v>7.5</v>
      </c>
      <c r="N17" s="257" t="s">
        <v>152</v>
      </c>
      <c r="O17" s="258">
        <f ca="1">+Med_Tot</f>
        <v>307.45507211538461</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0</v>
      </c>
      <c r="O19" s="894" t="str">
        <f>Surname&amp;" "&amp;Name</f>
        <v>Mifsud Zaira</v>
      </c>
      <c r="P19" s="374" t="str">
        <f>+IDCard</f>
        <v>138207L</v>
      </c>
      <c r="Q19" s="375" t="str">
        <f>+designation</f>
        <v>10. Trainee  Dental Assistant</v>
      </c>
      <c r="R19" s="376" t="s">
        <v>156</v>
      </c>
      <c r="S19" s="377">
        <f ca="1">+S20+S23+S22+S24+S25+S26+S21</f>
        <v>161.01410000000001</v>
      </c>
      <c r="T19" s="378">
        <f>+FS4_Status</f>
        <v>0</v>
      </c>
      <c r="U19" s="572" t="str">
        <f ca="1">INDEX(INDAT,MATCH(O21,(INDIRECT(("months"),TRUE)),0),26)</f>
        <v>PT_CASUAL</v>
      </c>
      <c r="V19" s="379">
        <f ca="1">INDEX(INDAT,MATCH(O21,(INDIRECT(("months"),TRUE)),0),25)</f>
        <v>0</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 ca="1">TRUNC(IF(OR(Timer="PT", Timer="PT_Casual"),Med_Tot,0),0)</f>
        <v>307</v>
      </c>
      <c r="I20" s="460"/>
      <c r="J20" s="318" t="s">
        <v>160</v>
      </c>
      <c r="K20" s="910"/>
      <c r="L20" s="911"/>
      <c r="N20" s="387">
        <f ca="1">IF(AND(OR((INDEX(PYRL_Summary,MATCH(O21,months,0),28))="PT",( INDEX(PYRL_Summary,MATCH(O21,months,0),28))="PT_casual" ),(N22-N21&gt;=1)),1,0)</f>
        <v>1</v>
      </c>
      <c r="O20" s="895"/>
      <c r="P20" s="416" t="s">
        <v>161</v>
      </c>
      <c r="Q20" s="380">
        <f ca="1">INDEX(PYRL_Summary,MATCH(O21,months,0),5)</f>
        <v>0</v>
      </c>
      <c r="R20" s="381" t="s">
        <v>94</v>
      </c>
      <c r="S20" s="382">
        <f ca="1">INDEX(PYRL_Summary,MATCH(O21,months,0),7)</f>
        <v>0</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21.1 HRS</v>
      </c>
      <c r="S21" s="367">
        <f ca="1">INDEX(PYRL_Summary,MATCH(O21,months,0),41)*janhrrt</f>
        <v>161.01410000000001</v>
      </c>
      <c r="T21" s="372">
        <f ca="1">+U21+V21</f>
        <v>0</v>
      </c>
      <c r="U21" s="372">
        <f ca="1">INDEX(PYRL_Summary,MATCH(O21,months,0),22)</f>
        <v>0</v>
      </c>
      <c r="V21" s="373">
        <f ca="1">INDEX(PYRL_Summary,MATCH(O21,months,0),23)</f>
        <v>0</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0</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307</v>
      </c>
      <c r="I23" s="466"/>
      <c r="J23" s="318" t="s">
        <v>169</v>
      </c>
      <c r="K23" s="916"/>
      <c r="L23" s="917"/>
      <c r="N23" s="420"/>
      <c r="O23" s="344">
        <f>+ID</f>
        <v>2025011</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16</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 xml:space="preserve"> </v>
      </c>
      <c r="R25" s="100">
        <f>IF((INDEX(PYRL_Summary,MATCH(O21,months,0),13)&gt;=0.01),(INDEX(PYRL_Summary,MATCH(O21,months,0),13)),0)</f>
        <v>0</v>
      </c>
      <c r="S25" s="102">
        <f>+P25+R25</f>
        <v>0</v>
      </c>
      <c r="T25" s="889" t="str">
        <f>+IBAN</f>
        <v>MT66VALL22013000000050019180233</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145.01410000000001</v>
      </c>
      <c r="V26" s="418"/>
      <c r="X26" s="575"/>
    </row>
    <row r="27" spans="1:56" ht="24" customHeight="1" thickBot="1" x14ac:dyDescent="0.3">
      <c r="A27" s="54"/>
      <c r="B27" s="73" t="s">
        <v>52</v>
      </c>
      <c r="G27" s="73" t="s">
        <v>53</v>
      </c>
      <c r="H27" s="8">
        <f>IF(OR(Timer="PT", Timer="pt_casual"),0,AA16)</f>
        <v>0</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173862642</v>
      </c>
      <c r="U27" s="545"/>
      <c r="V27" s="546"/>
      <c r="W27" s="73" t="s">
        <v>183</v>
      </c>
      <c r="Y27" s="436">
        <v>173862642</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0</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 ca="1">IF(OR( Timer="pt", Timer="pt_casual"),AA16,0)</f>
        <v>29</v>
      </c>
      <c r="L29" s="101"/>
      <c r="N29" s="403">
        <f ca="1">IF(OR(INDEX(PYRL_Summary,MATCH(O31,months,0),28)="pt",INDEX(PYRL_Summary,MATCH(O31,months,0),28)="pt_casual"),0,IF(N32-N31&gt;=1,1,0))</f>
        <v>0</v>
      </c>
      <c r="O29" s="908" t="str">
        <f>Surname&amp;" "&amp;Name</f>
        <v>Mifsud Zaira</v>
      </c>
      <c r="P29" s="394" t="str">
        <f>+IDCard</f>
        <v>138207L</v>
      </c>
      <c r="Q29" s="395" t="str">
        <f>+designation</f>
        <v>10. Trainee  Dental Assistant</v>
      </c>
      <c r="R29" s="396" t="s">
        <v>156</v>
      </c>
      <c r="S29" s="397">
        <f ca="1">+S30+S33+S32+S34+S35+S36+S31</f>
        <v>136.82383000000002</v>
      </c>
      <c r="T29" s="431">
        <f>+FS4_Status</f>
        <v>0</v>
      </c>
      <c r="U29" s="573" t="str">
        <f ca="1">INDEX(INDAT,MATCH(O31,(INDIRECT(("months"),TRUE)),0),26)</f>
        <v>PT_CASUAL</v>
      </c>
      <c r="V29" s="432">
        <f ca="1">INDEX(INDAT,MATCH(O31,(INDIRECT(("months"),TRUE)),0),25)</f>
        <v>0</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1</v>
      </c>
      <c r="O30" s="909"/>
      <c r="P30" s="415" t="s">
        <v>161</v>
      </c>
      <c r="Q30" s="414">
        <f ca="1">INDEX(PYRL_Summary,MATCH(O31,months,0),5)</f>
        <v>0</v>
      </c>
      <c r="R30" s="398" t="s">
        <v>94</v>
      </c>
      <c r="S30" s="399">
        <f ca="1">INDEX(PYRL_Summary,MATCH(O31,months,0),7)</f>
        <v>0</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29</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17.93 HRS</v>
      </c>
      <c r="S31" s="193">
        <f ca="1">INDEX(PYRL_Summary,MATCH(O31,months,0),41)*febhrrt</f>
        <v>136.82383000000002</v>
      </c>
      <c r="T31" s="357">
        <f ca="1">+U31+V31</f>
        <v>0</v>
      </c>
      <c r="U31" s="358">
        <f ca="1">INDEX(PYRL_Summary,MATCH(O31,months,0),22)</f>
        <v>0</v>
      </c>
      <c r="V31" s="359">
        <f ca="1">INDEX(PYRL_Summary,MATCH(O31,months,0),23)</f>
        <v>0</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0</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2025011</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13</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 xml:space="preserve"> </v>
      </c>
      <c r="R35" s="100">
        <f ca="1">IF((INDEX(PYRL_Summary,MATCH(O31,months,0),13)&gt;=0.01),(INDEX(PYRL_Summary,MATCH(O31,months,0),13)),0)</f>
        <v>0</v>
      </c>
      <c r="S35" s="102">
        <f ca="1">+P35+R35</f>
        <v>0</v>
      </c>
      <c r="T35" s="889" t="str">
        <f>+IBAN</f>
        <v>MT66VALL22013000000050019180233</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123.82383000000002</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175305006</v>
      </c>
      <c r="U37" s="545"/>
      <c r="V37" s="546"/>
      <c r="W37" s="73" t="s">
        <v>183</v>
      </c>
      <c r="Y37" s="574" t="s">
        <v>650</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0</v>
      </c>
      <c r="R38" s="410" t="s">
        <v>188</v>
      </c>
      <c r="S38" s="411">
        <f ca="1">INDEX(PYRL_Summary,MATCH(O31,months,0),33)</f>
        <v>0</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0</v>
      </c>
      <c r="O39" s="894" t="str">
        <f>Surname&amp;" "&amp;Name</f>
        <v>Mifsud Zaira</v>
      </c>
      <c r="P39" s="374" t="str">
        <f>+IDCard</f>
        <v>138207L</v>
      </c>
      <c r="Q39" s="375" t="str">
        <f>+designation</f>
        <v>10. Trainee  Dental Assistant</v>
      </c>
      <c r="R39" s="376" t="s">
        <v>156</v>
      </c>
      <c r="S39" s="377">
        <f ca="1">+S40+S43+S42+S44+S45+S46+S41</f>
        <v>4.5469949999999999</v>
      </c>
      <c r="T39" s="378">
        <f>+FS4_Status</f>
        <v>0</v>
      </c>
      <c r="U39" s="572" t="str">
        <f ca="1">INDEX(INDAT,MATCH(O41,(INDIRECT(("months"),TRUE)),0),26)</f>
        <v>PT_CASUAL</v>
      </c>
      <c r="V39" s="379">
        <f ca="1">INDEX(INDAT,MATCH(O41,(INDIRECT(("months"),TRUE)),0),25)</f>
        <v>0</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1</v>
      </c>
      <c r="O40" s="895"/>
      <c r="P40" s="416" t="s">
        <v>161</v>
      </c>
      <c r="Q40" s="380">
        <f ca="1">INDEX(PYRL_Summary,MATCH(O41,months,0),5)</f>
        <v>0</v>
      </c>
      <c r="R40" s="381" t="s">
        <v>94</v>
      </c>
      <c r="S40" s="382">
        <f ca="1">INDEX(PYRL_Summary,MATCH(O41,months,0),7)</f>
        <v>0</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0</v>
      </c>
      <c r="U41" s="372">
        <f ca="1">INDEX(PYRL_Summary,MATCH(O41,months,0),22)</f>
        <v>0</v>
      </c>
      <c r="V41" s="373">
        <f ca="1">INDEX(PYRL_Summary,MATCH(O41,months,0),23)</f>
        <v>0</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0</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2025011</v>
      </c>
      <c r="P43" s="365" t="s">
        <v>172</v>
      </c>
      <c r="Q43" s="365"/>
      <c r="R43" s="366"/>
      <c r="S43" s="367">
        <f ca="1">INDEX(PYRL_Summary,MATCH(O41,months,0),11)</f>
        <v>4.5469949999999999</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0</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 xml:space="preserve"> </v>
      </c>
      <c r="R45" s="100">
        <f ca="1">IF((INDEX(PYRL_Summary,MATCH(O41,months,0),13)&gt;=0.01),(INDEX(PYRL_Summary,MATCH(O41,months,0),13)),0)</f>
        <v>0</v>
      </c>
      <c r="S45" s="102">
        <f ca="1">+P45+R45</f>
        <v>0</v>
      </c>
      <c r="T45" s="889" t="str">
        <f>+IBAN</f>
        <v>MT66VALL22013000000050019180233</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4.5469949999999999</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0</v>
      </c>
      <c r="R48" s="392" t="s">
        <v>188</v>
      </c>
      <c r="S48" s="393">
        <f ca="1">INDEX(PYRL_Summary,MATCH(O41,months,0),33)</f>
        <v>0</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0</v>
      </c>
      <c r="O49" s="908" t="str">
        <f>Surname&amp;" "&amp;Name</f>
        <v>Mifsud Zaira</v>
      </c>
      <c r="P49" s="394" t="str">
        <f>+IDCard</f>
        <v>138207L</v>
      </c>
      <c r="Q49" s="395" t="str">
        <f>+designation</f>
        <v>10. Trainee  Dental Assistant</v>
      </c>
      <c r="R49" s="396" t="s">
        <v>156</v>
      </c>
      <c r="S49" s="397">
        <f ca="1">+S50+S53+S52+S54+S55+S56+S51</f>
        <v>0</v>
      </c>
      <c r="T49" s="431">
        <f>+FS4_Status</f>
        <v>0</v>
      </c>
      <c r="U49" s="573" t="str">
        <f ca="1">INDEX(INDAT,MATCH(O51,(INDIRECT(("months"),TRUE)),0),26)</f>
        <v>PT_CASUAL</v>
      </c>
      <c r="V49" s="432">
        <f ca="1">INDEX(INDAT,MATCH(O51,(INDIRECT(("months"),TRUE)),0),25)</f>
        <v>0</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1</v>
      </c>
      <c r="O50" s="909"/>
      <c r="P50" s="415" t="s">
        <v>161</v>
      </c>
      <c r="Q50" s="414">
        <f ca="1">INDEX(PYRL_Summary,MATCH(O51,months,0),5)</f>
        <v>0</v>
      </c>
      <c r="R50" s="398" t="s">
        <v>94</v>
      </c>
      <c r="S50" s="399">
        <f ca="1">INDEX(PYRL_Summary,MATCH(O51,months,0),7)</f>
        <v>0</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0</v>
      </c>
      <c r="U51" s="358">
        <f ca="1">INDEX(PYRL_Summary,MATCH(O51,months,0),22)</f>
        <v>0</v>
      </c>
      <c r="V51" s="359">
        <f ca="1">INDEX(PYRL_Summary,MATCH(O51,months,0),23)</f>
        <v>0</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0</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2025011</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 xml:space="preserve"> </v>
      </c>
      <c r="R55" s="100">
        <f ca="1">IF((INDEX(PYRL_Summary,MATCH(O51,months,0),13)&gt;=0.01),(INDEX(PYRL_Summary,MATCH(O51,months,0),13)),0)</f>
        <v>0</v>
      </c>
      <c r="S55" s="102">
        <f ca="1">+P55+R55</f>
        <v>0</v>
      </c>
      <c r="T55" s="889" t="str">
        <f>+IBAN</f>
        <v>MT66VALL22013000000050019180233</v>
      </c>
      <c r="U55" s="890"/>
      <c r="V55" s="891"/>
    </row>
    <row r="56" spans="1:37" ht="16.5" customHeight="1" thickBot="1" x14ac:dyDescent="0.3">
      <c r="E56" s="116" t="s">
        <v>215</v>
      </c>
      <c r="F56" s="115" t="str">
        <f>INDEX([1]!empdata,MATCH(ID,[1]!empid,0),17)</f>
        <v>MT66VALL22013000000050019180233</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0</v>
      </c>
      <c r="V56" s="418"/>
    </row>
    <row r="57" spans="1:37" ht="26.25" customHeight="1" thickBot="1" x14ac:dyDescent="0.3">
      <c r="E57" s="116" t="s">
        <v>216</v>
      </c>
      <c r="F57" s="340" t="str">
        <f>INDEX([1]!empdata,MATCH(ID,[1]!empid,0),12)</f>
        <v>mifsudzaira@icloud.com</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39203</v>
      </c>
      <c r="G58" s="56"/>
      <c r="H58" s="63"/>
      <c r="N58" s="406">
        <f ca="1">INDEX(PYRL_Summary,MATCH(O51,months,0),4)</f>
        <v>4</v>
      </c>
      <c r="O58" s="407" t="s">
        <v>187</v>
      </c>
      <c r="P58" s="408">
        <f>+O41</f>
        <v>46082</v>
      </c>
      <c r="Q58" s="409">
        <f ca="1">INDEX(PYRL_Summary,MATCH(P58,months,0),31)</f>
        <v>0</v>
      </c>
      <c r="R58" s="410" t="s">
        <v>188</v>
      </c>
      <c r="S58" s="411">
        <f ca="1">INDEX(PYRL_Summary,MATCH(O51,months,0),33)</f>
        <v>0</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45964</v>
      </c>
      <c r="G59" s="56"/>
      <c r="H59" s="63"/>
      <c r="N59" s="386">
        <f ca="1">IF(OR(INDEX(PYRL_Summary,MATCH(O61,months,0),28)="pt",INDEX(PYRL_Summary,MATCH(O61,months,0),28)="pt_casual"),0,IF(N62-N61&gt;=1,1,0))</f>
        <v>0</v>
      </c>
      <c r="O59" s="894" t="str">
        <f>Surname&amp;" "&amp;Name</f>
        <v>Mifsud Zaira</v>
      </c>
      <c r="P59" s="374" t="str">
        <f>+IDCard</f>
        <v>138207L</v>
      </c>
      <c r="Q59" s="375" t="str">
        <f>+designation</f>
        <v>10. Trainee  Dental Assistant</v>
      </c>
      <c r="R59" s="376" t="s">
        <v>156</v>
      </c>
      <c r="S59" s="377">
        <f ca="1">+S60+S63+S62+S64+S65+S66+S61</f>
        <v>0</v>
      </c>
      <c r="T59" s="378">
        <f>+FS4_Status</f>
        <v>0</v>
      </c>
      <c r="U59" s="572" t="str">
        <f ca="1">INDEX(INDAT,MATCH(O61,(INDIRECT(("months"),TRUE)),0),26)</f>
        <v>PT_CASUAL</v>
      </c>
      <c r="V59" s="379">
        <f ca="1">INDEX(INDAT,MATCH(O61,(INDIRECT(("months"),TRUE)),0),25)</f>
        <v>0</v>
      </c>
      <c r="W59" s="422">
        <f>+$O$8</f>
        <v>46143</v>
      </c>
      <c r="X59" s="423"/>
      <c r="Y59" s="423"/>
      <c r="Z59" s="73"/>
      <c r="AA59" s="73"/>
    </row>
    <row r="60" spans="1:37" ht="20.25" customHeight="1" thickBot="1" x14ac:dyDescent="0.3">
      <c r="E60" s="116" t="s">
        <v>219</v>
      </c>
      <c r="F60" s="115" t="str">
        <f>INDEX([1]!empdata,MATCH(ID,[1]!empid,0),8)</f>
        <v>10. Trainee  Dental Assistant</v>
      </c>
      <c r="G60" s="56"/>
      <c r="H60" s="63"/>
      <c r="N60" s="387">
        <f ca="1">IF(AND(OR((INDEX(PYRL_Summary,MATCH(O61,months,0),28))="PT",( INDEX(PYRL_Summary,MATCH(O61,months,0),28))="PT_casual" ),(N62-N61&gt;=1)),1,0)</f>
        <v>1</v>
      </c>
      <c r="O60" s="895"/>
      <c r="P60" s="416" t="s">
        <v>161</v>
      </c>
      <c r="Q60" s="380">
        <f ca="1">INDEX(PYRL_Summary,MATCH(O61,months,0),5)</f>
        <v>0</v>
      </c>
      <c r="R60" s="381" t="s">
        <v>94</v>
      </c>
      <c r="S60" s="382">
        <f ca="1">INDEX(PYRL_Summary,MATCH(O61,months,0),7)</f>
        <v>0</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PT_CASUAL</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0</v>
      </c>
      <c r="U61" s="372">
        <f ca="1">INDEX(PYRL_Summary,MATCH(O61,months,0),22)</f>
        <v>0</v>
      </c>
      <c r="V61" s="373">
        <f ca="1">INDEX(PYRL_Summary,MATCH(O61,months,0),23)</f>
        <v>0</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f>INDEX([1]!empdata,MATCH(ID,[1]!empid,0),15)</f>
        <v>0</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0</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2025011</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0</v>
      </c>
      <c r="X64" s="577"/>
    </row>
    <row r="65" spans="5:37" ht="15.75" customHeight="1" thickBot="1" x14ac:dyDescent="0.3">
      <c r="E65" s="925" t="s">
        <v>224</v>
      </c>
      <c r="F65" s="926"/>
      <c r="G65" s="103">
        <f ca="1">+Med_Tot</f>
        <v>307.45507211538461</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 xml:space="preserve"> </v>
      </c>
      <c r="R65" s="100">
        <f ca="1">IF((INDEX(PYRL_Summary,MATCH(O61,months,0),13)&gt;=0.01),(INDEX(PYRL_Summary,MATCH(O61,months,0),13)),0)</f>
        <v>0</v>
      </c>
      <c r="S65" s="102">
        <f ca="1">+P65+R65</f>
        <v>0</v>
      </c>
      <c r="T65" s="889" t="str">
        <f>+IBAN</f>
        <v>MT66VALL22013000000050019180233</v>
      </c>
      <c r="U65" s="890"/>
      <c r="V65" s="891"/>
    </row>
    <row r="66" spans="5:37" ht="16.5" customHeight="1" thickBot="1" x14ac:dyDescent="0.3">
      <c r="E66" s="952" t="s">
        <v>226</v>
      </c>
      <c r="F66" s="953"/>
      <c r="G66" s="112">
        <f ca="1">+PREVFS3+Med_Tot</f>
        <v>307.45507211538461</v>
      </c>
      <c r="H66" s="114" t="e">
        <f ca="1">IF(grossyearly&lt;F68,1,IF(grossyearly&lt;F69,2,IF(grossyearly&lt;F70,3,IF(grossyearly&lt;F71,4,5))))</f>
        <v>#N/A</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0</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0max1</v>
      </c>
      <c r="F68" s="66" t="e">
        <f>+VLOOKUP(E68,SStable,4,)</f>
        <v>#N/A</v>
      </c>
      <c r="G68" s="109" t="e">
        <f>+VLOOKUP(E68,SStable,5,)</f>
        <v>#N/A</v>
      </c>
      <c r="H68" s="104" t="e">
        <f>+VLOOKUP(E68,SStable,6,)</f>
        <v>#N/A</v>
      </c>
      <c r="N68" s="388">
        <f ca="1">INDEX(PYRL_Summary,MATCH(O61,months,0),4)</f>
        <v>4</v>
      </c>
      <c r="O68" s="389" t="s">
        <v>187</v>
      </c>
      <c r="P68" s="390">
        <f>+O51</f>
        <v>46113</v>
      </c>
      <c r="Q68" s="391">
        <f ca="1">INDEX(PYRL_Summary,MATCH(P68,months,0),31)</f>
        <v>0</v>
      </c>
      <c r="R68" s="392" t="s">
        <v>188</v>
      </c>
      <c r="S68" s="393">
        <f ca="1">INDEX(PYRL_Summary,MATCH(O61,months,0),33)</f>
        <v>0</v>
      </c>
      <c r="T68" s="425" t="str">
        <f>+Clinic_add</f>
        <v>7,  Mediatrix, Sanctuary Str. Zabbar ZBR1010
8, Mediatrix, Guze Duca Str., Qormi QRM9088</v>
      </c>
      <c r="U68" s="426"/>
      <c r="V68" s="427" t="s">
        <v>189</v>
      </c>
    </row>
    <row r="69" spans="5:37" ht="27" customHeight="1" thickBot="1" x14ac:dyDescent="0.3">
      <c r="E69" s="80" t="str">
        <f>CONCATENATE(FS4_Status,"max",2)</f>
        <v>0max2</v>
      </c>
      <c r="F69" s="66" t="e">
        <f>+VLOOKUP(E69,SStable,4,)</f>
        <v>#N/A</v>
      </c>
      <c r="G69" s="109" t="e">
        <f>+VLOOKUP(E69,SStable,5,)</f>
        <v>#N/A</v>
      </c>
      <c r="H69" s="104" t="e">
        <f>+VLOOKUP(E69,SStable,6,)</f>
        <v>#N/A</v>
      </c>
      <c r="N69" s="403">
        <f ca="1">IF(OR(INDEX(PYRL_Summary,MATCH(O71,months,0),28)="pt",INDEX(PYRL_Summary,MATCH(O71,months,0),28)="pt_casual"),0,IF(N72-N71&gt;=1,1,0))</f>
        <v>0</v>
      </c>
      <c r="O69" s="908" t="str">
        <f>Surname&amp;" "&amp;Name</f>
        <v>Mifsud Zaira</v>
      </c>
      <c r="P69" s="394" t="str">
        <f>+IDCard</f>
        <v>138207L</v>
      </c>
      <c r="Q69" s="395" t="str">
        <f>+designation</f>
        <v>10. Trainee  Dental Assistant</v>
      </c>
      <c r="R69" s="396" t="s">
        <v>156</v>
      </c>
      <c r="S69" s="397">
        <f ca="1">+S70+S73+S72+S74+S75+S76+S71</f>
        <v>5.0701471153846152</v>
      </c>
      <c r="T69" s="431">
        <f>+FS4_Status</f>
        <v>0</v>
      </c>
      <c r="U69" s="573" t="str">
        <f ca="1">INDEX(INDAT,MATCH(O71,(INDIRECT(("months"),TRUE)),0),26)</f>
        <v>PT_CASUAL</v>
      </c>
      <c r="V69" s="432">
        <f ca="1">INDEX(INDAT,MATCH(O71,(INDIRECT(("months"),TRUE)),0),25)</f>
        <v>0</v>
      </c>
      <c r="W69" s="412">
        <f>+$O$9</f>
        <v>46174</v>
      </c>
      <c r="X69" s="424"/>
      <c r="Y69" s="424"/>
      <c r="Z69" s="73"/>
      <c r="AA69" s="73"/>
    </row>
    <row r="70" spans="5:37" ht="20.25" customHeight="1" thickBot="1" x14ac:dyDescent="0.3">
      <c r="E70" s="80" t="str">
        <f>CONCATENATE(FS4_Status,"max",3)</f>
        <v>0max3</v>
      </c>
      <c r="F70" s="66" t="e">
        <f>+VLOOKUP(E70,SStable,4,)</f>
        <v>#N/A</v>
      </c>
      <c r="G70" s="109" t="e">
        <f>+VLOOKUP(E70,SStable,5,)</f>
        <v>#N/A</v>
      </c>
      <c r="H70" s="104" t="e">
        <f>+VLOOKUP(E70,SStable,6,)</f>
        <v>#N/A</v>
      </c>
      <c r="N70" s="404">
        <f ca="1">IF(AND(OR((INDEX(PYRL_Summary,MATCH(O71,months,0),28))="PT",( INDEX(PYRL_Summary,MATCH(O71,months,0),28))="PT_casual" ),(N72-N71&gt;=1)),1,0)</f>
        <v>1</v>
      </c>
      <c r="O70" s="909"/>
      <c r="P70" s="415" t="s">
        <v>161</v>
      </c>
      <c r="Q70" s="414">
        <f ca="1">INDEX(PYRL_Summary,MATCH(O71,months,0),5)</f>
        <v>0</v>
      </c>
      <c r="R70" s="398" t="s">
        <v>94</v>
      </c>
      <c r="S70" s="399">
        <f ca="1">INDEX(PYRL_Summary,MATCH(O71,months,0),7)</f>
        <v>0</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0max4</v>
      </c>
      <c r="F71" s="66" t="e">
        <f>+VLOOKUP(E71,SStable,4,)</f>
        <v>#N/A</v>
      </c>
      <c r="G71" s="109" t="e">
        <f>+VLOOKUP(E71,SStable,5,)</f>
        <v>#N/A</v>
      </c>
      <c r="H71" s="104" t="e">
        <f>+VLOOKUP(E71,SStable,6,)</f>
        <v>#N/A</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0</v>
      </c>
      <c r="U71" s="358">
        <f ca="1">INDEX(PYRL_Summary,MATCH(O71,months,0),22)</f>
        <v>0</v>
      </c>
      <c r="V71" s="359">
        <f ca="1">INDEX(PYRL_Summary,MATCH(O71,months,0),23)</f>
        <v>0</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0max5</v>
      </c>
      <c r="F72" s="66" t="s">
        <v>230</v>
      </c>
      <c r="G72" s="109" t="e">
        <f>+VLOOKUP(E72,SStable,5,)</f>
        <v>#N/A</v>
      </c>
      <c r="H72" s="104" t="e">
        <f>+VLOOKUP(E72,SStable,6,)</f>
        <v>#N/A</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0</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2025011</v>
      </c>
      <c r="P73" s="195" t="s">
        <v>172</v>
      </c>
      <c r="Q73" s="195"/>
      <c r="R73" s="194"/>
      <c r="S73" s="193">
        <f ca="1">INDEX(PYRL_Summary,MATCH(O71,months,0),11)</f>
        <v>5.0701471153846152</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0</v>
      </c>
      <c r="X74" s="577"/>
    </row>
    <row r="75" spans="5:37" ht="15.75" customHeight="1" thickBot="1" x14ac:dyDescent="0.3">
      <c r="E75" s="293"/>
      <c r="F75" s="294" t="s">
        <v>130</v>
      </c>
      <c r="G75" s="295" t="e">
        <f ca="1">IF(AND(Timer="pt",grossyearly&lt;10000),+ptrate,IF(grossyearly&lt;$F$68,$G$68,IF(grossyearly&lt;$F$69,$G$69,IF(grossyearly&lt;$F$70,$G$70,IF(grossyearly&lt;$F$71,$G$71,$G$72)))))</f>
        <v>#N/A</v>
      </c>
      <c r="H75" s="296" t="e">
        <f ca="1">IF(grossyearly&lt;$F$68,$H$68,IF(grossyearly&lt;$F$69,$H$69,IF(grossyearly&lt;$F$70,$H$70,IF(grossyearly&lt;$F$71,$H$71,$H$72))))</f>
        <v>#N/A</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 xml:space="preserve"> </v>
      </c>
      <c r="R75" s="100">
        <f ca="1">IF((INDEX(PYRL_Summary,MATCH(O71,months,0),13)&gt;=0.01),(INDEX(PYRL_Summary,MATCH(O71,months,0),13)),0)</f>
        <v>0</v>
      </c>
      <c r="S75" s="102">
        <f ca="1">+P75+R75</f>
        <v>0</v>
      </c>
      <c r="T75" s="889" t="str">
        <f>+IBAN</f>
        <v>MT66VALL22013000000050019180233</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5.0701471153846152</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0</v>
      </c>
      <c r="R78" s="410" t="s">
        <v>188</v>
      </c>
      <c r="S78" s="411">
        <f ca="1">INDEX(PYRL_Summary,MATCH(O71,months,0),33)</f>
        <v>0</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0</v>
      </c>
      <c r="O79" s="894" t="str">
        <f>Surname&amp;" "&amp;Name</f>
        <v>Mifsud Zaira</v>
      </c>
      <c r="P79" s="374" t="str">
        <f>+IDCard</f>
        <v>138207L</v>
      </c>
      <c r="Q79" s="375" t="str">
        <f>+designation</f>
        <v>10. Trainee  Dental Assistant</v>
      </c>
      <c r="R79" s="376" t="s">
        <v>156</v>
      </c>
      <c r="S79" s="377">
        <f ca="1">+S80+S83+S82+S84+S85+S86+S81</f>
        <v>0</v>
      </c>
      <c r="T79" s="378">
        <f>+FS4_Status</f>
        <v>0</v>
      </c>
      <c r="U79" s="572" t="str">
        <f ca="1">INDEX(INDAT,MATCH(O81,(INDIRECT(("months"),TRUE)),0),26)</f>
        <v>PT_CASUAL</v>
      </c>
      <c r="V79" s="379">
        <f ca="1">INDEX(INDAT,MATCH(O81,(INDIRECT(("months"),TRUE)),0),25)</f>
        <v>0</v>
      </c>
      <c r="W79" s="422">
        <f>+$O$10</f>
        <v>46204</v>
      </c>
      <c r="X79" s="423"/>
      <c r="Y79" s="423"/>
      <c r="Z79" s="73"/>
      <c r="AA79" s="73"/>
    </row>
    <row r="80" spans="5:37" ht="20.25" customHeight="1" thickBot="1" x14ac:dyDescent="0.3">
      <c r="N80" s="387">
        <f ca="1">IF(AND(OR((INDEX(PYRL_Summary,MATCH(O81,months,0),28))="PT",( INDEX(PYRL_Summary,MATCH(O81,months,0),28))="PT_casual" ),(N82-N81&gt;=1)),1,0)</f>
        <v>1</v>
      </c>
      <c r="O80" s="895"/>
      <c r="P80" s="416" t="s">
        <v>161</v>
      </c>
      <c r="Q80" s="380">
        <f ca="1">INDEX(PYRL_Summary,MATCH(O81,months,0),5)</f>
        <v>0</v>
      </c>
      <c r="R80" s="381" t="s">
        <v>94</v>
      </c>
      <c r="S80" s="382">
        <f ca="1">INDEX(PYRL_Summary,MATCH(O81,months,0),7)</f>
        <v>0</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0</v>
      </c>
      <c r="U81" s="372">
        <f ca="1">INDEX(PYRL_Summary,MATCH(O81,months,0),22)</f>
        <v>0</v>
      </c>
      <c r="V81" s="373">
        <f ca="1">INDEX(PYRL_Summary,MATCH(O81,months,0),23)</f>
        <v>0</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0</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2025011</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 xml:space="preserve"> </v>
      </c>
      <c r="R85" s="100">
        <f ca="1">IF((INDEX(PYRL_Summary,MATCH(O81,months,0),13)&gt;=0.01),(INDEX(PYRL_Summary,MATCH(O81,months,0),13)),0)</f>
        <v>0</v>
      </c>
      <c r="S85" s="102">
        <f ca="1">+P85+R85</f>
        <v>0</v>
      </c>
      <c r="T85" s="889" t="str">
        <f>+IBAN</f>
        <v>MT66VALL22013000000050019180233</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0</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0</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0</v>
      </c>
      <c r="O89" s="908" t="str">
        <f>Surname&amp;" "&amp;Name</f>
        <v>Mifsud Zaira</v>
      </c>
      <c r="P89" s="394" t="str">
        <f>+IDCard</f>
        <v>138207L</v>
      </c>
      <c r="Q89" s="395" t="str">
        <f>+designation</f>
        <v>10. Trainee  Dental Assistant</v>
      </c>
      <c r="R89" s="396" t="s">
        <v>156</v>
      </c>
      <c r="S89" s="397">
        <f ca="1">+S90+S93+S92+S94+S95+S96+S91</f>
        <v>0</v>
      </c>
      <c r="T89" s="431">
        <f>+FS4_Status</f>
        <v>0</v>
      </c>
      <c r="U89" s="573" t="str">
        <f ca="1">INDEX(INDAT,MATCH(O91,(INDIRECT(("months"),TRUE)),0),26)</f>
        <v>PT_CASUAL</v>
      </c>
      <c r="V89" s="432">
        <f ca="1">INDEX(INDAT,MATCH(O91,(INDIRECT(("months"),TRUE)),0),25)</f>
        <v>0</v>
      </c>
      <c r="W89" s="412">
        <f>+$O$11</f>
        <v>46235</v>
      </c>
      <c r="X89" s="424"/>
      <c r="Y89" s="424"/>
      <c r="Z89" s="73"/>
      <c r="AA89" s="73"/>
    </row>
    <row r="90" spans="14:37" ht="20.25" customHeight="1" thickBot="1" x14ac:dyDescent="0.3">
      <c r="N90" s="404">
        <f ca="1">IF(AND(OR((INDEX(PYRL_Summary,MATCH(O91,months,0),28))="PT",( INDEX(PYRL_Summary,MATCH(O91,months,0),28))="PT_casual" ),(N92-N91&gt;=1)),1,0)</f>
        <v>1</v>
      </c>
      <c r="O90" s="909"/>
      <c r="P90" s="415" t="s">
        <v>161</v>
      </c>
      <c r="Q90" s="414">
        <f ca="1">INDEX(PYRL_Summary,MATCH(O91,months,0),5)</f>
        <v>0</v>
      </c>
      <c r="R90" s="398" t="s">
        <v>94</v>
      </c>
      <c r="S90" s="399">
        <f ca="1">INDEX(PYRL_Summary,MATCH(O91,months,0),7)</f>
        <v>0</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0</v>
      </c>
      <c r="U91" s="358">
        <f ca="1">INDEX(PYRL_Summary,MATCH(O91,months,0),22)</f>
        <v>0</v>
      </c>
      <c r="V91" s="359">
        <f ca="1">INDEX(PYRL_Summary,MATCH(O91,months,0),23)</f>
        <v>0</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0</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2025011</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 xml:space="preserve"> </v>
      </c>
      <c r="R95" s="100">
        <f ca="1">IF((INDEX(PYRL_Summary,MATCH(O91,months,0),13)&gt;=0.01),(INDEX(PYRL_Summary,MATCH(O91,months,0),13)),0)</f>
        <v>0</v>
      </c>
      <c r="S95" s="102">
        <f ca="1">+P95+R95</f>
        <v>0</v>
      </c>
      <c r="T95" s="889" t="str">
        <f>+IBAN</f>
        <v>MT66VALL22013000000050019180233</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0</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0</v>
      </c>
      <c r="R98" s="410" t="s">
        <v>188</v>
      </c>
      <c r="S98" s="411">
        <f ca="1">INDEX(PYRL_Summary,MATCH(O91,months,0),33)</f>
        <v>0</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0</v>
      </c>
      <c r="O99" s="894" t="str">
        <f>Surname&amp;" "&amp;Name</f>
        <v>Mifsud Zaira</v>
      </c>
      <c r="P99" s="374" t="str">
        <f>+IDCard</f>
        <v>138207L</v>
      </c>
      <c r="Q99" s="375" t="str">
        <f>+designation</f>
        <v>10. Trainee  Dental Assistant</v>
      </c>
      <c r="R99" s="376" t="s">
        <v>156</v>
      </c>
      <c r="S99" s="377">
        <f ca="1">+S100+S103+S102+S104+S105+S106+S101</f>
        <v>0</v>
      </c>
      <c r="T99" s="378">
        <f>+FS4_Status</f>
        <v>0</v>
      </c>
      <c r="U99" s="572" t="str">
        <f ca="1">INDEX(INDAT,MATCH(O101,(INDIRECT(("months"),TRUE)),0),26)</f>
        <v>PT_CASUAL</v>
      </c>
      <c r="V99" s="379">
        <f ca="1">INDEX(INDAT,MATCH(O101,(INDIRECT(("months"),TRUE)),0),25)</f>
        <v>0</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1</v>
      </c>
      <c r="O100" s="895"/>
      <c r="P100" s="416" t="s">
        <v>161</v>
      </c>
      <c r="Q100" s="380">
        <f ca="1">INDEX(PYRL_Summary,MATCH(O101,months,0),5)</f>
        <v>0</v>
      </c>
      <c r="R100" s="381" t="s">
        <v>94</v>
      </c>
      <c r="S100" s="382">
        <f ca="1">INDEX(PYRL_Summary,MATCH(O101,months,0),7)</f>
        <v>0</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0</v>
      </c>
      <c r="U101" s="372">
        <f ca="1">INDEX(PYRL_Summary,MATCH(O101,months,0),22)</f>
        <v>0</v>
      </c>
      <c r="V101" s="373">
        <f ca="1">INDEX(PYRL_Summary,MATCH(O101,months,0),23)</f>
        <v>0</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0</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2025011</v>
      </c>
      <c r="P103" s="365" t="s">
        <v>172</v>
      </c>
      <c r="Q103" s="365"/>
      <c r="R103" s="366"/>
      <c r="S103" s="367">
        <f ca="1">INDEX(PYRL_Summary,MATCH(O101,months,0),11)</f>
        <v>0</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0</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 xml:space="preserve"> </v>
      </c>
      <c r="R105" s="100">
        <f ca="1">IF((INDEX(PYRL_Summary,MATCH(O101,months,0),13)&gt;=0.01),(INDEX(PYRL_Summary,MATCH(O101,months,0),13)),0)</f>
        <v>0</v>
      </c>
      <c r="S105" s="102">
        <f ca="1">+P105+R105</f>
        <v>0</v>
      </c>
      <c r="T105" s="889" t="str">
        <f>+IBAN</f>
        <v>MT66VALL22013000000050019180233</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0</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0</v>
      </c>
      <c r="R108" s="392" t="s">
        <v>188</v>
      </c>
      <c r="S108" s="393">
        <f ca="1">INDEX(PYRL_Summary,MATCH(O101,months,0),33)</f>
        <v>0</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0</v>
      </c>
      <c r="O109" s="908" t="str">
        <f>Surname&amp;" "&amp;Name</f>
        <v>Mifsud Zaira</v>
      </c>
      <c r="P109" s="394" t="str">
        <f>+IDCard</f>
        <v>138207L</v>
      </c>
      <c r="Q109" s="395" t="str">
        <f>+designation</f>
        <v>10. Trainee  Dental Assistant</v>
      </c>
      <c r="R109" s="396" t="s">
        <v>156</v>
      </c>
      <c r="S109" s="397">
        <f ca="1">+S110+S113+S112+S114+S115+S116+S111</f>
        <v>0</v>
      </c>
      <c r="T109" s="431">
        <f>+FS4_Status</f>
        <v>0</v>
      </c>
      <c r="U109" s="573" t="str">
        <f ca="1">INDEX(INDAT,MATCH(W109,(INDIRECT(("months"),TRUE)),0),26)</f>
        <v>PT_CASUAL</v>
      </c>
      <c r="V109" s="432">
        <f ca="1">INDEX(INDAT,MATCH(W109,(INDIRECT(("months"),TRUE)),0),25)</f>
        <v>0</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1</v>
      </c>
      <c r="O110" s="909"/>
      <c r="P110" s="415" t="s">
        <v>161</v>
      </c>
      <c r="Q110" s="414">
        <f ca="1">INDEX(PYRL_Summary,MATCH(W109,months,0),5)</f>
        <v>0</v>
      </c>
      <c r="R110" s="398" t="s">
        <v>94</v>
      </c>
      <c r="S110" s="399">
        <f ca="1">INDEX(PYRL_Summary,MATCH(W109,months,0),7)</f>
        <v>0</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0</v>
      </c>
      <c r="U111" s="358">
        <f ca="1">INDEX(PYRL_Summary,MATCH(W109,months,0),22)</f>
        <v>0</v>
      </c>
      <c r="V111" s="359">
        <f ca="1">INDEX(PYRL_Summary,MATCH(W109,months,0),23)</f>
        <v>0</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0</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2025011</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 xml:space="preserve"> </v>
      </c>
      <c r="R115" s="100">
        <f ca="1">IF((INDEX(PYRL_Summary,MATCH(W109,months,0),13)&gt;=0.01),(INDEX(PYRL_Summary,MATCH(W109,months,0),13)),0)</f>
        <v>0</v>
      </c>
      <c r="S115" s="102">
        <f ca="1">+P115+R115</f>
        <v>0</v>
      </c>
      <c r="T115" s="889" t="str">
        <f>+IBAN</f>
        <v>MT66VALL22013000000050019180233</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0</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0</v>
      </c>
      <c r="R118" s="410" t="s">
        <v>188</v>
      </c>
      <c r="S118" s="411">
        <f ca="1">INDEX(PYRL_Summary,MATCH(W109,months,0),33)</f>
        <v>0</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0</v>
      </c>
      <c r="O119" s="894" t="str">
        <f>Surname&amp;" "&amp;Name</f>
        <v>Mifsud Zaira</v>
      </c>
      <c r="P119" s="374" t="str">
        <f>+IDCard</f>
        <v>138207L</v>
      </c>
      <c r="Q119" s="375" t="str">
        <f>+designation</f>
        <v>10. Trainee  Dental Assistant</v>
      </c>
      <c r="R119" s="376" t="s">
        <v>156</v>
      </c>
      <c r="S119" s="377">
        <f ca="1">+S120+S123+S122+S124+S125+S126+S121</f>
        <v>0</v>
      </c>
      <c r="T119" s="378">
        <f>+FS4_Status</f>
        <v>0</v>
      </c>
      <c r="U119" s="572" t="str">
        <f ca="1">INDEX(INDAT,MATCH(W119,(INDIRECT(("months"),TRUE)),0),26)</f>
        <v>PT_CASUAL</v>
      </c>
      <c r="V119" s="379">
        <f ca="1">INDEX(INDAT,MATCH(W119,(INDIRECT(("months"),TRUE)),0),25)</f>
        <v>0</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1</v>
      </c>
      <c r="O120" s="895"/>
      <c r="P120" s="416" t="s">
        <v>161</v>
      </c>
      <c r="Q120" s="380">
        <f ca="1">INDEX(PYRL_Summary,MATCH(W119,months,0),5)</f>
        <v>0</v>
      </c>
      <c r="R120" s="381" t="s">
        <v>94</v>
      </c>
      <c r="S120" s="382">
        <f ca="1">INDEX(PYRL_Summary,MATCH(W119,months,0),7)</f>
        <v>0</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0</v>
      </c>
      <c r="U121" s="372">
        <f ca="1">INDEX(PYRL_Summary,MATCH(W119,months,0),22)</f>
        <v>0</v>
      </c>
      <c r="V121" s="373">
        <f ca="1">INDEX(PYRL_Summary,MATCH(W119,months,0),23)</f>
        <v>0</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0</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2025011</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 xml:space="preserve"> </v>
      </c>
      <c r="R125" s="100">
        <f ca="1">IF((INDEX(PYRL_Summary,MATCH(W119,months,0),13)&gt;=0.01),(INDEX(PYRL_Summary,MATCH(W119,months,0),13)),0)</f>
        <v>0</v>
      </c>
      <c r="S125" s="102">
        <f ca="1">+P125+R125</f>
        <v>0</v>
      </c>
      <c r="T125" s="889" t="str">
        <f>+IBAN</f>
        <v>MT66VALL22013000000050019180233</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0</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0</v>
      </c>
      <c r="R128" s="392" t="s">
        <v>188</v>
      </c>
      <c r="S128" s="393">
        <f ca="1">INDEX(PYRL_Summary,MATCH(W119,months,0),33)</f>
        <v>0</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0</v>
      </c>
      <c r="O129" s="908" t="str">
        <f>Surname&amp;" "&amp;Name</f>
        <v>Mifsud Zaira</v>
      </c>
      <c r="P129" s="394" t="str">
        <f>+IDCard</f>
        <v>138207L</v>
      </c>
      <c r="Q129" s="395" t="str">
        <f>+designation</f>
        <v>10. Trainee  Dental Assistant</v>
      </c>
      <c r="R129" s="396" t="s">
        <v>156</v>
      </c>
      <c r="S129" s="397">
        <f ca="1">+S130+S133+S132+S134+S135+S136+S131</f>
        <v>0</v>
      </c>
      <c r="T129" s="431">
        <f>+FS4_Status</f>
        <v>0</v>
      </c>
      <c r="U129" s="573" t="str">
        <f ca="1">INDEX(INDAT,MATCH(W129,(INDIRECT(("months"),TRUE)),0),26)</f>
        <v>PT_CASUAL</v>
      </c>
      <c r="V129" s="432">
        <f ca="1">INDEX(INDAT,MATCH(W129,(INDIRECT(("months"),TRUE)),0),25)</f>
        <v>0</v>
      </c>
      <c r="W129" s="412">
        <f>+$O$131</f>
        <v>46357</v>
      </c>
      <c r="X129" s="424"/>
      <c r="Y129" s="424"/>
      <c r="Z129" s="73"/>
      <c r="AA129" s="73"/>
    </row>
    <row r="130" spans="14:37" ht="20.25" customHeight="1" thickBot="1" x14ac:dyDescent="0.3">
      <c r="N130" s="404"/>
      <c r="O130" s="909"/>
      <c r="P130" s="415" t="s">
        <v>161</v>
      </c>
      <c r="Q130" s="414">
        <f ca="1">INDEX(PYRL_Summary,MATCH(W129,months,0),5)</f>
        <v>0</v>
      </c>
      <c r="R130" s="398" t="s">
        <v>94</v>
      </c>
      <c r="S130" s="399">
        <f ca="1">INDEX(PYRL_Summary,MATCH(W129,months,0),7)</f>
        <v>0</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0</v>
      </c>
      <c r="U131" s="358">
        <f ca="1">INDEX(PYRL_Summary,MATCH(W129,months,0),22)</f>
        <v>0</v>
      </c>
      <c r="V131" s="359">
        <f ca="1">INDEX(PYRL_Summary,MATCH(W129,months,0),23)</f>
        <v>0</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0</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2025011</v>
      </c>
      <c r="P133" s="195" t="s">
        <v>172</v>
      </c>
      <c r="Q133" s="195"/>
      <c r="R133" s="194"/>
      <c r="S133" s="193">
        <f ca="1">INDEX(PYRL_Summary,MATCH(W129,months,0),11)</f>
        <v>0</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 xml:space="preserve"> </v>
      </c>
      <c r="R135" s="100">
        <f ca="1">IF((INDEX(PYRL_Summary,MATCH(W129,months,0),13)&gt;=0.01),(INDEX(PYRL_Summary,MATCH(W129,months,0),13)),0)</f>
        <v>0</v>
      </c>
      <c r="S135" s="102">
        <f ca="1">+P135+R135</f>
        <v>0</v>
      </c>
      <c r="T135" s="889" t="str">
        <f>+IBAN</f>
        <v>MT66VALL22013000000050019180233</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0</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0</v>
      </c>
      <c r="R138" s="410" t="s">
        <v>188</v>
      </c>
      <c r="S138" s="411">
        <f ca="1">INDEX(PYRL_Summary,MATCH(W129,months,0),33)</f>
        <v>0</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86" priority="29">
      <formula>$P25=0</formula>
    </cfRule>
  </conditionalFormatting>
  <conditionalFormatting sqref="Q25:R25">
    <cfRule type="expression" dxfId="85" priority="28">
      <formula>$R25=0</formula>
    </cfRule>
  </conditionalFormatting>
  <conditionalFormatting sqref="S25">
    <cfRule type="expression" dxfId="84" priority="27">
      <formula>$S25=0</formula>
    </cfRule>
  </conditionalFormatting>
  <conditionalFormatting sqref="S26">
    <cfRule type="expression" dxfId="83" priority="25">
      <formula>$S$46&gt;0.01</formula>
    </cfRule>
    <cfRule type="expression" dxfId="82" priority="26">
      <formula>$S$46=0</formula>
    </cfRule>
  </conditionalFormatting>
  <conditionalFormatting sqref="T23 T33 T43 T53 T63 T73 T83 T93 T103 T113 T123 T133">
    <cfRule type="expression" dxfId="81" priority="24" stopIfTrue="1">
      <formula>"$R$23=0"""</formula>
    </cfRule>
  </conditionalFormatting>
  <conditionalFormatting sqref="O26:Q26">
    <cfRule type="expression" dxfId="80" priority="23">
      <formula>$Q$26=0</formula>
    </cfRule>
  </conditionalFormatting>
  <conditionalFormatting sqref="V23">
    <cfRule type="expression" dxfId="79" priority="22">
      <formula>$V$23=0</formula>
    </cfRule>
  </conditionalFormatting>
  <conditionalFormatting sqref="O35:P35">
    <cfRule type="expression" dxfId="78" priority="21">
      <formula>$P35=0</formula>
    </cfRule>
  </conditionalFormatting>
  <conditionalFormatting sqref="Q35:R35">
    <cfRule type="expression" dxfId="77" priority="20">
      <formula>$R35=0</formula>
    </cfRule>
  </conditionalFormatting>
  <conditionalFormatting sqref="S35">
    <cfRule type="expression" dxfId="76" priority="19">
      <formula>$S35=0</formula>
    </cfRule>
  </conditionalFormatting>
  <conditionalFormatting sqref="S36">
    <cfRule type="expression" dxfId="75" priority="17">
      <formula>$S$46&gt;0.01</formula>
    </cfRule>
    <cfRule type="expression" dxfId="74" priority="18">
      <formula>$S$46=0</formula>
    </cfRule>
  </conditionalFormatting>
  <conditionalFormatting sqref="O36:Q36">
    <cfRule type="expression" dxfId="73" priority="16">
      <formula>$Q$26=0</formula>
    </cfRule>
  </conditionalFormatting>
  <conditionalFormatting sqref="V33">
    <cfRule type="expression" dxfId="72" priority="15">
      <formula>$V$23=0</formula>
    </cfRule>
  </conditionalFormatting>
  <conditionalFormatting sqref="O45:P45 O65:P65 O85:P85 O105:P105 O125:P125">
    <cfRule type="expression" dxfId="71" priority="14">
      <formula>$P45=0</formula>
    </cfRule>
  </conditionalFormatting>
  <conditionalFormatting sqref="Q45:R45 Q65:R65 Q85:R85 Q105:R105 Q125:R125">
    <cfRule type="expression" dxfId="70" priority="13">
      <formula>$R45=0</formula>
    </cfRule>
  </conditionalFormatting>
  <conditionalFormatting sqref="S45 S65 S85 S105 S125">
    <cfRule type="expression" dxfId="69" priority="12">
      <formula>$S45=0</formula>
    </cfRule>
  </conditionalFormatting>
  <conditionalFormatting sqref="S46 S66 S86 S106 S126">
    <cfRule type="expression" dxfId="68" priority="10">
      <formula>$S$46&gt;0.01</formula>
    </cfRule>
    <cfRule type="expression" dxfId="67" priority="11">
      <formula>$S$46=0</formula>
    </cfRule>
  </conditionalFormatting>
  <conditionalFormatting sqref="O46:Q46 O66:Q66 O86:Q86 O106:Q106 O126:Q126">
    <cfRule type="expression" dxfId="66" priority="9">
      <formula>$Q$26=0</formula>
    </cfRule>
  </conditionalFormatting>
  <conditionalFormatting sqref="V43 V63 V83 V103 V123">
    <cfRule type="expression" dxfId="65" priority="8">
      <formula>$V$23=0</formula>
    </cfRule>
  </conditionalFormatting>
  <conditionalFormatting sqref="O55:P55 O75:P75 O95:P95 O115:P115 O135:P135">
    <cfRule type="expression" dxfId="64" priority="7">
      <formula>$P55=0</formula>
    </cfRule>
  </conditionalFormatting>
  <conditionalFormatting sqref="Q55:R55 Q75:R75 Q95:R95 Q115:R115 Q135:R135">
    <cfRule type="expression" dxfId="63" priority="6">
      <formula>$R55=0</formula>
    </cfRule>
  </conditionalFormatting>
  <conditionalFormatting sqref="S55 S75 S95 S115 S135">
    <cfRule type="expression" dxfId="62" priority="5">
      <formula>$S55=0</formula>
    </cfRule>
  </conditionalFormatting>
  <conditionalFormatting sqref="S56 S76 S96 S116 S136">
    <cfRule type="expression" dxfId="61" priority="3">
      <formula>$S$46&gt;0.01</formula>
    </cfRule>
    <cfRule type="expression" dxfId="60" priority="4">
      <formula>$S$46=0</formula>
    </cfRule>
  </conditionalFormatting>
  <conditionalFormatting sqref="O56:Q56 O76:Q76 O96:Q96 O116:Q116 O136:Q136">
    <cfRule type="expression" dxfId="59" priority="2">
      <formula>$Q$26=0</formula>
    </cfRule>
  </conditionalFormatting>
  <conditionalFormatting sqref="V53 V73 V93 V113 V133">
    <cfRule type="expression" dxfId="58" priority="1">
      <formula>$V$23=0</formula>
    </cfRule>
  </conditionalFormatting>
  <hyperlinks>
    <hyperlink ref="F57" r:id="rId1" display="drchrisgauci@gmail.com" xr:uid="{00000000-0004-0000-2200-000000000000}"/>
  </hyperlinks>
  <printOptions horizontalCentered="1"/>
  <pageMargins left="0.25" right="0.25" top="0.25" bottom="0.25" header="0.3" footer="0.3"/>
  <pageSetup paperSize="9"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616897"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16898"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16899"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16900"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16901"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16902"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16903"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16904"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16905"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16906"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16907"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16908"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16909"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3">
    <tabColor rgb="FF04CCB9"/>
  </sheetPr>
  <dimension ref="A1"/>
  <sheetViews>
    <sheetView workbookViewId="0"/>
  </sheetViews>
  <sheetFormatPr defaultRowHeight="15" x14ac:dyDescent="0.25"/>
  <sheetData>
    <row r="1" spans="1:1" x14ac:dyDescent="0.25">
      <c r="A1" s="44" t="s">
        <v>258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17">
    <tabColor rgb="FFED7D31"/>
    <pageSetUpPr fitToPage="1"/>
  </sheetPr>
  <dimension ref="A1:BJ149"/>
  <sheetViews>
    <sheetView topLeftCell="L22" workbookViewId="0">
      <selection activeCell="V29" sqref="N29:V38"/>
    </sheetView>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15.5703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5.140625"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MEllul</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s="323" customFormat="1" ht="43.5" customHeight="1" thickBot="1" x14ac:dyDescent="0.35">
      <c r="A2" s="806"/>
      <c r="B2" s="942" t="s">
        <v>89</v>
      </c>
      <c r="C2" s="807"/>
      <c r="D2" s="90" t="s">
        <v>1</v>
      </c>
      <c r="E2" s="807"/>
      <c r="F2" s="807"/>
      <c r="G2" s="807"/>
      <c r="H2" s="807"/>
      <c r="L2" s="808"/>
      <c r="M2" s="301" t="s">
        <v>90</v>
      </c>
      <c r="N2" s="809">
        <v>2024002</v>
      </c>
      <c r="O2" s="810" t="str">
        <f>CONCATENATE(LEFT(Name,1),Surname)</f>
        <v>MEllul</v>
      </c>
      <c r="P2" s="811" t="s">
        <v>91</v>
      </c>
      <c r="Q2" s="812" t="s">
        <v>92</v>
      </c>
      <c r="R2" s="813" t="s">
        <v>93</v>
      </c>
      <c r="S2" s="814" t="s">
        <v>94</v>
      </c>
      <c r="T2" s="815" t="s">
        <v>95</v>
      </c>
      <c r="U2" s="816" t="s">
        <v>96</v>
      </c>
      <c r="V2" s="798" t="s">
        <v>97</v>
      </c>
      <c r="W2" s="817" t="s">
        <v>98</v>
      </c>
      <c r="X2" s="818" t="s">
        <v>99</v>
      </c>
      <c r="Y2" s="805" t="s">
        <v>100</v>
      </c>
      <c r="Z2" s="819" t="s">
        <v>101</v>
      </c>
      <c r="AA2" s="798" t="s">
        <v>102</v>
      </c>
      <c r="AB2" s="816" t="s">
        <v>103</v>
      </c>
      <c r="AC2" s="798" t="s">
        <v>104</v>
      </c>
      <c r="AD2" s="816" t="s">
        <v>105</v>
      </c>
      <c r="AE2" s="798" t="s">
        <v>106</v>
      </c>
      <c r="AF2" s="820" t="s">
        <v>107</v>
      </c>
      <c r="AG2" s="821" t="s">
        <v>108</v>
      </c>
      <c r="AH2" s="820" t="s">
        <v>109</v>
      </c>
      <c r="AI2" s="821" t="s">
        <v>110</v>
      </c>
      <c r="AJ2" s="820" t="s">
        <v>111</v>
      </c>
      <c r="AK2" s="821" t="s">
        <v>72</v>
      </c>
      <c r="AL2" s="820" t="s">
        <v>112</v>
      </c>
      <c r="AM2" s="821" t="s">
        <v>113</v>
      </c>
      <c r="AN2" s="820" t="s">
        <v>114</v>
      </c>
      <c r="AO2" s="822" t="s">
        <v>115</v>
      </c>
      <c r="AP2" s="823" t="s">
        <v>116</v>
      </c>
      <c r="AQ2" s="822" t="s">
        <v>117</v>
      </c>
      <c r="AR2" s="823" t="s">
        <v>118</v>
      </c>
      <c r="AS2" s="822" t="s">
        <v>119</v>
      </c>
      <c r="AT2" s="823" t="s">
        <v>120</v>
      </c>
      <c r="AU2" s="824" t="str">
        <f>+[1]RGaldes!N2</f>
        <v>SL Balance</v>
      </c>
      <c r="AV2" s="825" t="s">
        <v>121</v>
      </c>
      <c r="AW2" s="826" t="s">
        <v>122</v>
      </c>
      <c r="AX2" s="822" t="s">
        <v>123</v>
      </c>
      <c r="AY2" s="827" t="s">
        <v>124</v>
      </c>
      <c r="AZ2" s="828">
        <v>0</v>
      </c>
      <c r="BA2" s="822" t="s">
        <v>125</v>
      </c>
      <c r="BB2" s="829" t="s">
        <v>126</v>
      </c>
      <c r="BC2" s="830" t="s">
        <v>127</v>
      </c>
      <c r="BD2" s="831"/>
      <c r="BE2" s="832"/>
    </row>
    <row r="3" spans="1:62" ht="37.5" customHeight="1" thickBot="1" x14ac:dyDescent="0.35">
      <c r="A3" s="54"/>
      <c r="B3" s="901"/>
      <c r="D3" s="308"/>
      <c r="L3" s="309"/>
      <c r="M3" s="748" t="s">
        <v>128</v>
      </c>
      <c r="N3" s="571">
        <v>9.1300000000000008</v>
      </c>
      <c r="O3" s="246">
        <f>+O4-1</f>
        <v>46022</v>
      </c>
      <c r="P3" s="180"/>
      <c r="Q3" s="791"/>
      <c r="R3" s="548" t="s">
        <v>129</v>
      </c>
      <c r="S3" s="786"/>
      <c r="T3" s="787"/>
      <c r="U3" s="788"/>
      <c r="V3" s="787"/>
      <c r="W3" s="201"/>
      <c r="X3" s="788"/>
      <c r="Y3" s="787"/>
      <c r="Z3" s="788"/>
      <c r="AA3" s="787"/>
      <c r="AB3" s="788"/>
      <c r="AC3" s="789"/>
      <c r="AD3" s="788"/>
      <c r="AE3" s="787"/>
      <c r="AF3" s="788"/>
      <c r="AG3" s="787"/>
      <c r="AH3" s="788"/>
      <c r="AI3" s="787"/>
      <c r="AJ3" s="788"/>
      <c r="AK3" s="787"/>
      <c r="AL3" s="788"/>
      <c r="AM3" s="790"/>
      <c r="AN3" s="297"/>
      <c r="AO3" s="252">
        <f>IF((O21-StartEmp&gt;92),92,(IF(OR(StartEmp=O21,StartEmp&gt;O21),0,(O21-StartEmp))))</f>
        <v>92</v>
      </c>
      <c r="AP3" s="792"/>
      <c r="AQ3" s="251">
        <f ca="1">+INDIRECT("[EMPINFO.xlsm]"&amp;$O$2&amp;"!p3")</f>
        <v>0</v>
      </c>
      <c r="AR3" s="792"/>
      <c r="AS3" s="251">
        <f ca="1">+INDIRECT("[EMPINFO.xlsm]"&amp;$O$2&amp;"!k3")</f>
        <v>0</v>
      </c>
      <c r="AT3" s="792"/>
      <c r="AU3" s="793"/>
      <c r="AV3" s="794"/>
      <c r="AW3" s="795"/>
      <c r="AX3" s="251">
        <f ca="1">+INDIRECT("[EMPINFO.xlsm]"&amp;$O$2&amp;"!u3")</f>
        <v>0</v>
      </c>
      <c r="AY3" s="796"/>
      <c r="AZ3" s="796"/>
      <c r="BA3" s="796"/>
      <c r="BB3" s="283" t="s">
        <v>130</v>
      </c>
      <c r="BC3" s="284"/>
      <c r="BD3" s="255"/>
      <c r="BE3" s="29"/>
    </row>
    <row r="4" spans="1:62" ht="18.75" customHeight="1" thickBot="1" x14ac:dyDescent="0.35">
      <c r="A4" s="54"/>
      <c r="B4" s="901"/>
      <c r="D4" s="308" t="s">
        <v>131</v>
      </c>
      <c r="E4" s="308"/>
      <c r="F4" s="308"/>
      <c r="G4" s="310"/>
      <c r="L4" s="101"/>
      <c r="M4" s="248" t="s">
        <v>132</v>
      </c>
      <c r="N4" s="211">
        <f t="shared" ref="N4:N15" ca="1" si="0">+((X4+Y4)*0.230769230769231/40)+R4</f>
        <v>9.261000000000001</v>
      </c>
      <c r="O4" s="213">
        <f>+DATA!A3</f>
        <v>46023</v>
      </c>
      <c r="P4" s="219">
        <f ca="1">+INDIRECT("[EMPINFO.xlsm]"&amp;$O$2&amp;"!G4")</f>
        <v>4</v>
      </c>
      <c r="Q4" s="215">
        <f ca="1">IF(AZ4="active",INDIRECT("[EMPINFO.xlsm]"&amp;$O$2&amp;"!H4"),0)</f>
        <v>0</v>
      </c>
      <c r="R4" s="239">
        <f ca="1">IF(AZ4&lt;&gt;"active",0,N3+COLA)</f>
        <v>9.261000000000001</v>
      </c>
      <c r="S4" s="216">
        <f t="shared" ref="S4:S15" ca="1" si="1">+Q4*R4*4.33333333333333*AO4/AX4</f>
        <v>0</v>
      </c>
      <c r="T4" s="220">
        <f t="shared" ref="T4:T15" ca="1" si="2">+BA4*R4</f>
        <v>603.63198000000011</v>
      </c>
      <c r="U4" s="218">
        <f t="shared" ref="U4:U15" ca="1" si="3">-AY4*R4</f>
        <v>0</v>
      </c>
      <c r="V4" s="220">
        <f ca="1">+janoth*janhrrt</f>
        <v>0</v>
      </c>
      <c r="W4" s="201"/>
      <c r="X4" s="218">
        <f t="shared" ref="X4:X15" si="4">IF((AT3=0),AV3,(AV3-(AV3/(Q3*P3)*AT3)))</f>
        <v>0</v>
      </c>
      <c r="Y4" s="801">
        <f t="shared" ref="Y4:Y15" si="5">IF((AT3=0),AW3,(AW3-(AW3/(Q3*P3)*AT3*1.5)))</f>
        <v>0</v>
      </c>
      <c r="Z4" s="218">
        <f t="shared" ref="Z4:Z15" ca="1" si="6">+SUM(S4:Y4)</f>
        <v>603.63198000000011</v>
      </c>
      <c r="AA4" s="801">
        <f t="shared" ref="AA4:AA15" ca="1" si="7">IF(OR(AN4="PT",AN4="PT_Casual"),TRUNC((Z4*PT_Rate),0),(TRUNC((Z4*BB4)-(BC4/12),0)))</f>
        <v>60</v>
      </c>
      <c r="AB4" s="218">
        <f ca="1">+INDIRECT("[EMPINFO.xlsm]"&amp;$O$2&amp;"!s4")</f>
        <v>0</v>
      </c>
      <c r="AC4" s="292">
        <v>1.5</v>
      </c>
      <c r="AD4" s="218">
        <f t="shared" ref="AD4:AD15" ca="1" si="8">+AB4*(R4*AC4)</f>
        <v>0</v>
      </c>
      <c r="AE4" s="220">
        <f t="shared" ref="AE4:AE15" ca="1" si="9">+TRUNC((AD4*0.15),0)</f>
        <v>0</v>
      </c>
      <c r="AF4" s="218">
        <f t="shared" ref="AF4:AF15" ca="1" si="10">+AA4+AE4</f>
        <v>60</v>
      </c>
      <c r="AG4" s="801">
        <f t="shared" ref="AG4:AG15" ca="1" si="11">+R4*Q4</f>
        <v>0</v>
      </c>
      <c r="AH4" s="218">
        <f t="shared" ref="AH4:AH15" ca="1" si="12">ROUND(IF(AN4="",0,IF(OR(AN4="PT",AN4="PT_Casual"),0,IF(AM4="B",ROUND(SSCBemployermultiplier*P4,2),IF(AM4="c",SOCSECCRATE*AG4*P4,IF(AM4="D",ROUND(socsecrateD*P4,2)))))),2)</f>
        <v>0</v>
      </c>
      <c r="AI4" s="801">
        <f t="shared" ref="AI4:AI15" ca="1" si="13">ROUND(IF(AN4="",0,IF(OR(AN4="PT",AN4="PT_Casual"),0,IF(AM4="B",ROUND(SSCBemployermultiplier*P4,2),IF(AM4="c",SOCSECCRATE*AG4*P4,IF(AM4="D",ROUND(socsecrateD*P4,2)))))),2)</f>
        <v>0</v>
      </c>
      <c r="AJ4" s="218">
        <f t="shared" ref="AJ4:AJ16" ca="1" si="14">+AH4+AI4</f>
        <v>0</v>
      </c>
      <c r="AK4" s="801">
        <f t="shared" ref="AK4:AK15" ca="1" si="15">ROUND(IF(AN4="",0,IF(OR(AN4="PT",AN4="PT_Casual"),0,IF(AM4="B",SSCBmlfmultiplier*P4,IF(AM4="c",SSCCmlfmultiplier*P4*AG4,IF(AM4="D",SSCDmlfmultiplier*P4))))),2)</f>
        <v>0</v>
      </c>
      <c r="AL4" s="218">
        <f ca="1">+Z4+AH4+AK4</f>
        <v>603.63198000000011</v>
      </c>
      <c r="AM4" s="290">
        <f t="shared" ref="AM4:AM15" ca="1" si="16">IF(AZ4="Active",IF(OR(AN4="PT",AN4="PT_Casual"),0,(IF(AG4&lt;SSCcatBMAX,"B",(IF(AG4&lt;SSCcatCMAX,"C","D"))))),0)</f>
        <v>0</v>
      </c>
      <c r="AN4" s="291" t="str">
        <f t="shared" ref="AN4:AN15" ca="1" si="17">IF(AZ4="active",+Timer,"")</f>
        <v>PT_CASUAL</v>
      </c>
      <c r="AO4" s="223">
        <f ca="1">+INDIRECT("[EMPINFO.xlsm]"&amp;$O$2&amp;"!t4")</f>
        <v>31</v>
      </c>
      <c r="AP4" s="226">
        <f ca="1">+INDIRECT("[EMPINFO.xlsm]"&amp;$O$2&amp;"!o4")</f>
        <v>0</v>
      </c>
      <c r="AQ4" s="838">
        <f ca="1">+INDIRECT("[EMPINFO.xlsm]"&amp;$O$2&amp;"!p4")</f>
        <v>0</v>
      </c>
      <c r="AR4" s="226">
        <f ca="1">+INDIRECT("[EMPINFO.xlsm]"&amp;$O$2&amp;"!j4")</f>
        <v>0</v>
      </c>
      <c r="AS4" s="838">
        <f ca="1">+INDIRECT("[EMPINFO.xlsm]"&amp;$O$2&amp;"!k4")</f>
        <v>0</v>
      </c>
      <c r="AT4" s="226">
        <f ca="1">+INDIRECT("[EMPINFO.xlsm]"&amp;$O$2&amp;"!m4")</f>
        <v>0</v>
      </c>
      <c r="AU4" s="843">
        <f ca="1">+INDIRECT("[EMPINFO.xlsm]"&amp;$O$2&amp;"!n4")</f>
        <v>0</v>
      </c>
      <c r="AV4" s="244">
        <f t="shared" ref="AV4:AV15" si="18">+AV3</f>
        <v>0</v>
      </c>
      <c r="AW4" s="244">
        <f t="shared" ref="AW4:AW15" si="19">+AW3</f>
        <v>0</v>
      </c>
      <c r="AX4" s="838">
        <f ca="1">+INDIRECT("[EMPINFO.xlsm]"&amp;$O$2&amp;"!u4")</f>
        <v>31</v>
      </c>
      <c r="AY4" s="215">
        <f ca="1">+INDIRECT("[EMPINFO.xlsm]"&amp;$O$2&amp;"!v4")</f>
        <v>0</v>
      </c>
      <c r="AZ4" s="797" t="str">
        <f ca="1">+INDIRECT("[EMPINFO.xlsm]"&amp;$O$2&amp;"!x4")</f>
        <v>ACTIVE</v>
      </c>
      <c r="BA4" s="843">
        <f ca="1">+INDIRECT("[EMPINFO.xlsm]"&amp;$O$2&amp;"!w4")</f>
        <v>65.180000000000007</v>
      </c>
      <c r="BB4" s="288" t="e">
        <f t="shared" ref="BB4:BB15" ca="1" si="20">IF(AND(Timer="pt",(Z4*12)&lt;10000),+ptrate,IF((Z4*12)&lt;$F$68,$G$68,IF((Z4*12)&lt;$F$69,$G$69,IF((Z4*12)&lt;$F$70,$G$70,IF((Z4*12)&lt;$F$71,$G$71,$G$72)))))</f>
        <v>#N/A</v>
      </c>
      <c r="BC4" s="289" t="e">
        <f t="shared" ref="BC4:BC15" ca="1" si="21">IF((Z4*12)&lt;$F$68,$H$68,IF((Z4*12)&lt;$F$69,$H$69,IF((Z4*12)&lt;$F$70,$H$70,IF((Z4*12)&lt;$F$71,$H$71,$H$72))))</f>
        <v>#N/A</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f t="shared" ca="1" si="0"/>
        <v>9.261000000000001</v>
      </c>
      <c r="O5" s="213">
        <f>+DATA!A4</f>
        <v>46054</v>
      </c>
      <c r="P5" s="219">
        <f ca="1">+INDIRECT("[EMPINFO.xlsm]"&amp;$O$2&amp;"!G5")</f>
        <v>4</v>
      </c>
      <c r="Q5" s="215">
        <f ca="1">IF(AZ5="active",INDIRECT("[EMPINFO.xlsm]"&amp;$O$2&amp;"!H5"),0)</f>
        <v>0</v>
      </c>
      <c r="R5" s="239">
        <f t="shared" ref="R5:R15" ca="1" si="22">+R4</f>
        <v>9.261000000000001</v>
      </c>
      <c r="S5" s="216">
        <f t="shared" ca="1" si="1"/>
        <v>0</v>
      </c>
      <c r="T5" s="220">
        <f t="shared" ca="1" si="2"/>
        <v>483.23898000000014</v>
      </c>
      <c r="U5" s="218">
        <f t="shared" ca="1" si="3"/>
        <v>0</v>
      </c>
      <c r="V5" s="220">
        <f ca="1">+feboth*febhrrt</f>
        <v>0</v>
      </c>
      <c r="W5" s="201"/>
      <c r="X5" s="218">
        <f t="shared" ca="1" si="4"/>
        <v>0</v>
      </c>
      <c r="Y5" s="801">
        <f t="shared" ca="1" si="5"/>
        <v>0</v>
      </c>
      <c r="Z5" s="218">
        <f t="shared" ca="1" si="6"/>
        <v>483.23898000000014</v>
      </c>
      <c r="AA5" s="801">
        <f t="shared" ca="1" si="7"/>
        <v>48</v>
      </c>
      <c r="AB5" s="218">
        <f ca="1">+INDIRECT("[EMPINFO.xlsm]"&amp;$O$2&amp;"!s5")</f>
        <v>0</v>
      </c>
      <c r="AC5" s="292">
        <v>1.5</v>
      </c>
      <c r="AD5" s="218">
        <f t="shared" ca="1" si="8"/>
        <v>0</v>
      </c>
      <c r="AE5" s="220">
        <f t="shared" ca="1" si="9"/>
        <v>0</v>
      </c>
      <c r="AF5" s="218">
        <f t="shared" ca="1" si="10"/>
        <v>48</v>
      </c>
      <c r="AG5" s="801">
        <f t="shared" ca="1" si="11"/>
        <v>0</v>
      </c>
      <c r="AH5" s="218">
        <f t="shared" ca="1" si="12"/>
        <v>0</v>
      </c>
      <c r="AI5" s="801">
        <f t="shared" ca="1" si="13"/>
        <v>0</v>
      </c>
      <c r="AJ5" s="218">
        <f t="shared" ca="1" si="14"/>
        <v>0</v>
      </c>
      <c r="AK5" s="801">
        <f t="shared" ca="1" si="15"/>
        <v>0</v>
      </c>
      <c r="AL5" s="218">
        <f t="shared" ref="AL5:AL15" ca="1" si="23">+Z5+AI5+AK5</f>
        <v>483.23898000000014</v>
      </c>
      <c r="AM5" s="290">
        <f t="shared" ca="1" si="16"/>
        <v>0</v>
      </c>
      <c r="AN5" s="291" t="str">
        <f t="shared" ca="1" si="17"/>
        <v>PT_CASUAL</v>
      </c>
      <c r="AO5" s="223">
        <f ca="1">+INDIRECT("[EMPINFO.xlsm]"&amp;$O$2&amp;"!t5")</f>
        <v>28</v>
      </c>
      <c r="AP5" s="226">
        <f ca="1">+INDIRECT("[EMPINFO.xlsm]"&amp;$O$2&amp;"!o5")</f>
        <v>0</v>
      </c>
      <c r="AQ5" s="838">
        <f ca="1">+INDIRECT("[EMPINFO.xlsm]"&amp;$O$2&amp;"!p5")</f>
        <v>0</v>
      </c>
      <c r="AR5" s="226">
        <f ca="1">+INDIRECT("[EMPINFO.xlsm]"&amp;$O$2&amp;"!j5")</f>
        <v>0</v>
      </c>
      <c r="AS5" s="838">
        <f ca="1">+INDIRECT("[EMPINFO.xlsm]"&amp;$O$2&amp;"!k5")</f>
        <v>0</v>
      </c>
      <c r="AT5" s="226">
        <f ca="1">+INDIRECT("[EMPINFO.xlsm]"&amp;$O$2&amp;"!m5")</f>
        <v>0</v>
      </c>
      <c r="AU5" s="843">
        <f ca="1">+INDIRECT("[EMPINFO.xlsm]"&amp;$O$2&amp;"!n5")</f>
        <v>0</v>
      </c>
      <c r="AV5" s="244">
        <f t="shared" si="18"/>
        <v>0</v>
      </c>
      <c r="AW5" s="244">
        <f t="shared" si="19"/>
        <v>0</v>
      </c>
      <c r="AX5" s="838">
        <f ca="1">+INDIRECT("[EMPINFO.xlsm]"&amp;$O$2&amp;"!u5")</f>
        <v>28</v>
      </c>
      <c r="AY5" s="215">
        <f ca="1">+INDIRECT("[EMPINFO.xlsm]"&amp;$O$2&amp;"!v5")</f>
        <v>0</v>
      </c>
      <c r="AZ5" s="797" t="str">
        <f ca="1">+INDIRECT("[EMPINFO.xlsm]"&amp;$O$2&amp;"!x5")</f>
        <v>ACTIVE</v>
      </c>
      <c r="BA5" s="843">
        <f ca="1">+INDIRECT("[EMPINFO.xlsm]"&amp;$O$2&amp;"!w5")</f>
        <v>52.180000000000007</v>
      </c>
      <c r="BB5" s="288" t="e">
        <f t="shared" ca="1" si="20"/>
        <v>#N/A</v>
      </c>
      <c r="BC5" s="289" t="e">
        <f t="shared" ca="1" si="21"/>
        <v>#N/A</v>
      </c>
      <c r="BD5" s="255"/>
      <c r="BE5" s="205"/>
      <c r="BG5" s="27"/>
      <c r="BH5" s="28"/>
    </row>
    <row r="6" spans="1:62" ht="15.75" customHeight="1" thickBot="1" x14ac:dyDescent="0.3">
      <c r="A6" s="54"/>
      <c r="B6" s="2" t="s">
        <v>135</v>
      </c>
      <c r="C6" s="921" t="str">
        <f>INDEX([1]!empdata,MATCH(ID,[1]!empid,0),3)</f>
        <v>Ellul</v>
      </c>
      <c r="D6" s="922"/>
      <c r="E6" s="922"/>
      <c r="F6" s="886"/>
      <c r="I6" s="312" t="s">
        <v>136</v>
      </c>
      <c r="L6" s="101"/>
      <c r="M6" s="303"/>
      <c r="N6" s="211">
        <f t="shared" ca="1" si="0"/>
        <v>9.261000000000001</v>
      </c>
      <c r="O6" s="213">
        <f>+DATA!A5</f>
        <v>46082</v>
      </c>
      <c r="P6" s="219">
        <f ca="1">+INDIRECT("[EMPINFO.xlsm]"&amp;$O$2&amp;"!G6")</f>
        <v>5</v>
      </c>
      <c r="Q6" s="215">
        <f ca="1">IF(AZ6="active",INDIRECT("[EMPINFO.xlsm]"&amp;$O$2&amp;"!H6"),0)</f>
        <v>0</v>
      </c>
      <c r="R6" s="239">
        <f t="shared" ca="1" si="22"/>
        <v>9.261000000000001</v>
      </c>
      <c r="S6" s="216">
        <f t="shared" ca="1" si="1"/>
        <v>0</v>
      </c>
      <c r="T6" s="220">
        <f t="shared" ca="1" si="2"/>
        <v>0</v>
      </c>
      <c r="U6" s="218">
        <f t="shared" ca="1" si="3"/>
        <v>0</v>
      </c>
      <c r="V6" s="220">
        <f ca="1">+maroth*marhrrt</f>
        <v>0</v>
      </c>
      <c r="W6" s="202">
        <f ca="1">+IF(AZ6&lt;&gt;"active",0,(IF(Timer="PT_casual",(bonusmar/1040*(BA6+BA5+BA4)),(bonusmar/182*(AO6+AO5+AO4+AO3)*(Q6+Q5+Q4)/120))))</f>
        <v>13.67244</v>
      </c>
      <c r="X6" s="218">
        <f t="shared" ca="1" si="4"/>
        <v>0</v>
      </c>
      <c r="Y6" s="801">
        <f t="shared" ca="1" si="5"/>
        <v>0</v>
      </c>
      <c r="Z6" s="218">
        <f t="shared" ca="1" si="6"/>
        <v>13.67244</v>
      </c>
      <c r="AA6" s="801">
        <f t="shared" ca="1" si="7"/>
        <v>1</v>
      </c>
      <c r="AB6" s="218">
        <f ca="1">+INDIRECT("[EMPINFO.xlsm]"&amp;$O$2&amp;"!s6")</f>
        <v>0</v>
      </c>
      <c r="AC6" s="292">
        <v>1.5</v>
      </c>
      <c r="AD6" s="218">
        <f t="shared" ca="1" si="8"/>
        <v>0</v>
      </c>
      <c r="AE6" s="220">
        <f t="shared" ca="1" si="9"/>
        <v>0</v>
      </c>
      <c r="AF6" s="218">
        <f t="shared" ca="1" si="10"/>
        <v>1</v>
      </c>
      <c r="AG6" s="801">
        <f t="shared" ca="1" si="11"/>
        <v>0</v>
      </c>
      <c r="AH6" s="218">
        <f t="shared" ca="1" si="12"/>
        <v>0</v>
      </c>
      <c r="AI6" s="801">
        <f t="shared" ca="1" si="13"/>
        <v>0</v>
      </c>
      <c r="AJ6" s="218">
        <f t="shared" ca="1" si="14"/>
        <v>0</v>
      </c>
      <c r="AK6" s="801">
        <f t="shared" ca="1" si="15"/>
        <v>0</v>
      </c>
      <c r="AL6" s="218">
        <f t="shared" ca="1" si="23"/>
        <v>13.67244</v>
      </c>
      <c r="AM6" s="290">
        <f t="shared" ca="1" si="16"/>
        <v>0</v>
      </c>
      <c r="AN6" s="291" t="str">
        <f t="shared" ca="1" si="17"/>
        <v>PT_CASUAL</v>
      </c>
      <c r="AO6" s="223">
        <f ca="1">+INDIRECT("[EMPINFO.xlsm]"&amp;$O$2&amp;"!t6")</f>
        <v>31</v>
      </c>
      <c r="AP6" s="226">
        <f ca="1">+INDIRECT("[EMPINFO.xlsm]"&amp;$O$2&amp;"!o6")</f>
        <v>0</v>
      </c>
      <c r="AQ6" s="838">
        <f ca="1">+INDIRECT("[EMPINFO.xlsm]"&amp;$O$2&amp;"!p6")</f>
        <v>0</v>
      </c>
      <c r="AR6" s="226">
        <f ca="1">+INDIRECT("[EMPINFO.xlsm]"&amp;$O$2&amp;"!j6")</f>
        <v>0</v>
      </c>
      <c r="AS6" s="838">
        <f ca="1">+INDIRECT("[EMPINFO.xlsm]"&amp;$O$2&amp;"!k6")</f>
        <v>0</v>
      </c>
      <c r="AT6" s="226">
        <f ca="1">+INDIRECT("[EMPINFO.xlsm]"&amp;$O$2&amp;"!m6")</f>
        <v>0</v>
      </c>
      <c r="AU6" s="843">
        <f ca="1">+INDIRECT("[EMPINFO.xlsm]"&amp;$O$2&amp;"!n6")</f>
        <v>0</v>
      </c>
      <c r="AV6" s="244">
        <f t="shared" si="18"/>
        <v>0</v>
      </c>
      <c r="AW6" s="244">
        <f t="shared" si="19"/>
        <v>0</v>
      </c>
      <c r="AX6" s="838">
        <f ca="1">+INDIRECT("[EMPINFO.xlsm]"&amp;$O$2&amp;"!u6")</f>
        <v>31</v>
      </c>
      <c r="AY6" s="215">
        <f ca="1">+INDIRECT("[EMPINFO.xlsm]"&amp;$O$2&amp;"!v6")</f>
        <v>0</v>
      </c>
      <c r="AZ6" s="797" t="str">
        <f ca="1">+INDIRECT("[EMPINFO.xlsm]"&amp;$O$2&amp;"!x6")</f>
        <v>ACTIVE</v>
      </c>
      <c r="BA6" s="843">
        <f ca="1">+INDIRECT("[EMPINFO.xlsm]"&amp;$O$2&amp;"!w6")</f>
        <v>0</v>
      </c>
      <c r="BB6" s="288" t="e">
        <f t="shared" ca="1" si="20"/>
        <v>#N/A</v>
      </c>
      <c r="BC6" s="289" t="e">
        <f t="shared" ca="1" si="21"/>
        <v>#N/A</v>
      </c>
      <c r="BD6" s="255"/>
      <c r="BE6" s="206"/>
    </row>
    <row r="7" spans="1:62" ht="15.75" customHeight="1" thickBot="1" x14ac:dyDescent="0.3">
      <c r="A7" s="54"/>
      <c r="B7" s="3" t="s">
        <v>137</v>
      </c>
      <c r="C7" s="921" t="str">
        <f>INDEX([1]!empdata,MATCH(ID,[1]!empid,0),4)</f>
        <v>Maria</v>
      </c>
      <c r="D7" s="922"/>
      <c r="E7" s="922"/>
      <c r="F7" s="886"/>
      <c r="H7" s="312" t="s">
        <v>138</v>
      </c>
      <c r="I7" s="927" t="str">
        <f>INDEX([1]!empdata,MATCH(ID,[1]!empid,0),6)</f>
        <v>302481M</v>
      </c>
      <c r="J7" s="859"/>
      <c r="K7" s="857"/>
      <c r="L7" s="101"/>
      <c r="M7" s="303"/>
      <c r="N7" s="211">
        <f t="shared" ca="1" si="0"/>
        <v>9.261000000000001</v>
      </c>
      <c r="O7" s="213">
        <f>+DATA!A6</f>
        <v>46113</v>
      </c>
      <c r="P7" s="219">
        <f ca="1">+INDIRECT("[EMPINFO.xlsm]"&amp;$O$2&amp;"!G7")</f>
        <v>4</v>
      </c>
      <c r="Q7" s="215">
        <f ca="1">IF(AZ7="active",INDIRECT("[EMPINFO.xlsm]"&amp;$O$2&amp;"!H7"),0)</f>
        <v>0</v>
      </c>
      <c r="R7" s="239">
        <f t="shared" ca="1" si="22"/>
        <v>9.261000000000001</v>
      </c>
      <c r="S7" s="216">
        <f t="shared" ca="1" si="1"/>
        <v>0</v>
      </c>
      <c r="T7" s="220">
        <f t="shared" ca="1" si="2"/>
        <v>0</v>
      </c>
      <c r="U7" s="218">
        <f t="shared" ca="1" si="3"/>
        <v>0</v>
      </c>
      <c r="V7" s="220">
        <f ca="1">+aproth*aprhrrt</f>
        <v>0</v>
      </c>
      <c r="W7" s="201"/>
      <c r="X7" s="218">
        <f t="shared" ca="1" si="4"/>
        <v>0</v>
      </c>
      <c r="Y7" s="801">
        <f t="shared" ca="1" si="5"/>
        <v>0</v>
      </c>
      <c r="Z7" s="218">
        <f t="shared" ca="1" si="6"/>
        <v>0</v>
      </c>
      <c r="AA7" s="801">
        <f t="shared" ca="1" si="7"/>
        <v>0</v>
      </c>
      <c r="AB7" s="218">
        <f ca="1">+INDIRECT("[EMPINFO.xlsm]"&amp;$O$2&amp;"!s7")</f>
        <v>0</v>
      </c>
      <c r="AC7" s="292">
        <v>1.5</v>
      </c>
      <c r="AD7" s="218">
        <f t="shared" ca="1" si="8"/>
        <v>0</v>
      </c>
      <c r="AE7" s="220">
        <f t="shared" ca="1" si="9"/>
        <v>0</v>
      </c>
      <c r="AF7" s="218">
        <f t="shared" ca="1" si="10"/>
        <v>0</v>
      </c>
      <c r="AG7" s="801">
        <f t="shared" ca="1" si="11"/>
        <v>0</v>
      </c>
      <c r="AH7" s="218">
        <f t="shared" ca="1" si="12"/>
        <v>0</v>
      </c>
      <c r="AI7" s="801">
        <f t="shared" ca="1" si="13"/>
        <v>0</v>
      </c>
      <c r="AJ7" s="218">
        <f t="shared" ca="1" si="14"/>
        <v>0</v>
      </c>
      <c r="AK7" s="801">
        <f t="shared" ca="1" si="15"/>
        <v>0</v>
      </c>
      <c r="AL7" s="218">
        <f t="shared" ca="1" si="23"/>
        <v>0</v>
      </c>
      <c r="AM7" s="290">
        <f t="shared" ca="1" si="16"/>
        <v>0</v>
      </c>
      <c r="AN7" s="291" t="str">
        <f t="shared" ca="1" si="17"/>
        <v>PT_CASUAL</v>
      </c>
      <c r="AO7" s="223">
        <f ca="1">+INDIRECT("[EMPINFO.xlsm]"&amp;$O$2&amp;"!t7")</f>
        <v>30</v>
      </c>
      <c r="AP7" s="226">
        <f ca="1">+INDIRECT("[EMPINFO.xlsm]"&amp;$O$2&amp;"!o7")</f>
        <v>0</v>
      </c>
      <c r="AQ7" s="838">
        <f ca="1">+INDIRECT("[EMPINFO.xlsm]"&amp;$O$2&amp;"!p7")</f>
        <v>0</v>
      </c>
      <c r="AR7" s="226">
        <f ca="1">+INDIRECT("[EMPINFO.xlsm]"&amp;$O$2&amp;"!j7")</f>
        <v>0</v>
      </c>
      <c r="AS7" s="838">
        <f ca="1">+INDIRECT("[EMPINFO.xlsm]"&amp;$O$2&amp;"!k7")</f>
        <v>0</v>
      </c>
      <c r="AT7" s="226">
        <f ca="1">+INDIRECT("[EMPINFO.xlsm]"&amp;$O$2&amp;"!m7")</f>
        <v>0</v>
      </c>
      <c r="AU7" s="843">
        <f ca="1">+INDIRECT("[EMPINFO.xlsm]"&amp;$O$2&amp;"!n7")</f>
        <v>0</v>
      </c>
      <c r="AV7" s="244">
        <f t="shared" si="18"/>
        <v>0</v>
      </c>
      <c r="AW7" s="244">
        <f t="shared" si="19"/>
        <v>0</v>
      </c>
      <c r="AX7" s="838">
        <f ca="1">+INDIRECT("[EMPINFO.xlsm]"&amp;$O$2&amp;"!u7")</f>
        <v>30</v>
      </c>
      <c r="AY7" s="215">
        <f ca="1">+INDIRECT("[EMPINFO.xlsm]"&amp;$O$2&amp;"!v7")</f>
        <v>0</v>
      </c>
      <c r="AZ7" s="797" t="str">
        <f ca="1">+INDIRECT("[EMPINFO.xlsm]"&amp;$O$2&amp;"!x7")</f>
        <v>ACTIVE</v>
      </c>
      <c r="BA7" s="843">
        <f ca="1">+INDIRECT("[EMPINFO.xlsm]"&amp;$O$2&amp;"!w7")</f>
        <v>0</v>
      </c>
      <c r="BB7" s="288" t="e">
        <f t="shared" ca="1" si="20"/>
        <v>#N/A</v>
      </c>
      <c r="BC7" s="289" t="e">
        <f t="shared" ca="1" si="21"/>
        <v>#N/A</v>
      </c>
      <c r="BD7" s="255"/>
      <c r="BE7" s="206"/>
    </row>
    <row r="8" spans="1:62" ht="15.75" customHeight="1" thickBot="1" x14ac:dyDescent="0.3">
      <c r="A8" s="54"/>
      <c r="B8" s="3" t="s">
        <v>139</v>
      </c>
      <c r="C8" s="921" t="str">
        <f>INDEX([1]!empdata,MATCH(ID,[1]!empid,0),18)</f>
        <v>79, Qalb ta` Gesu</v>
      </c>
      <c r="D8" s="922"/>
      <c r="E8" s="922"/>
      <c r="F8" s="886"/>
      <c r="I8" s="312" t="s">
        <v>140</v>
      </c>
      <c r="L8" s="101"/>
      <c r="M8" s="303"/>
      <c r="N8" s="211">
        <f t="shared" ca="1" si="0"/>
        <v>9.261000000000001</v>
      </c>
      <c r="O8" s="213">
        <f>+DATA!A7</f>
        <v>46143</v>
      </c>
      <c r="P8" s="219">
        <f ca="1">+INDIRECT("[EMPINFO.xlsm]"&amp;$O$2&amp;"!G8")</f>
        <v>4</v>
      </c>
      <c r="Q8" s="215">
        <f ca="1">IF(AZ8="active",INDIRECT("[EMPINFO.xlsm]"&amp;$O$2&amp;"!H8"),0)</f>
        <v>0</v>
      </c>
      <c r="R8" s="239">
        <f t="shared" ca="1" si="22"/>
        <v>9.261000000000001</v>
      </c>
      <c r="S8" s="216">
        <f t="shared" ca="1" si="1"/>
        <v>0</v>
      </c>
      <c r="T8" s="220">
        <f t="shared" ca="1" si="2"/>
        <v>0</v>
      </c>
      <c r="U8" s="218">
        <f t="shared" ca="1" si="3"/>
        <v>0</v>
      </c>
      <c r="V8" s="220">
        <f ca="1">+mayoth*mayhrrt</f>
        <v>0</v>
      </c>
      <c r="W8" s="201"/>
      <c r="X8" s="218">
        <f t="shared" ca="1" si="4"/>
        <v>0</v>
      </c>
      <c r="Y8" s="801">
        <f t="shared" ca="1" si="5"/>
        <v>0</v>
      </c>
      <c r="Z8" s="218">
        <f t="shared" ca="1" si="6"/>
        <v>0</v>
      </c>
      <c r="AA8" s="801">
        <f t="shared" ca="1" si="7"/>
        <v>0</v>
      </c>
      <c r="AB8" s="218">
        <f ca="1">+INDIRECT("[EMPINFO.xlsm]"&amp;$O$2&amp;"!s8")</f>
        <v>0</v>
      </c>
      <c r="AC8" s="292">
        <v>1.5</v>
      </c>
      <c r="AD8" s="218">
        <f t="shared" ca="1" si="8"/>
        <v>0</v>
      </c>
      <c r="AE8" s="220">
        <f t="shared" ca="1" si="9"/>
        <v>0</v>
      </c>
      <c r="AF8" s="218">
        <f t="shared" ca="1" si="10"/>
        <v>0</v>
      </c>
      <c r="AG8" s="801">
        <f t="shared" ca="1" si="11"/>
        <v>0</v>
      </c>
      <c r="AH8" s="218">
        <f t="shared" ca="1" si="12"/>
        <v>0</v>
      </c>
      <c r="AI8" s="801">
        <f t="shared" ca="1" si="13"/>
        <v>0</v>
      </c>
      <c r="AJ8" s="218">
        <f t="shared" ca="1" si="14"/>
        <v>0</v>
      </c>
      <c r="AK8" s="801">
        <f t="shared" ca="1" si="15"/>
        <v>0</v>
      </c>
      <c r="AL8" s="218">
        <f t="shared" ca="1" si="23"/>
        <v>0</v>
      </c>
      <c r="AM8" s="290">
        <f t="shared" ca="1" si="16"/>
        <v>0</v>
      </c>
      <c r="AN8" s="291" t="str">
        <f t="shared" ca="1" si="17"/>
        <v>PT_CASUAL</v>
      </c>
      <c r="AO8" s="223">
        <f ca="1">+INDIRECT("[EMPINFO.xlsm]"&amp;$O$2&amp;"!t8")</f>
        <v>31</v>
      </c>
      <c r="AP8" s="226">
        <f ca="1">+INDIRECT("[EMPINFO.xlsm]"&amp;$O$2&amp;"!o8")</f>
        <v>0</v>
      </c>
      <c r="AQ8" s="838">
        <f ca="1">+INDIRECT("[EMPINFO.xlsm]"&amp;$O$2&amp;"!p8")</f>
        <v>0</v>
      </c>
      <c r="AR8" s="226">
        <f ca="1">+INDIRECT("[EMPINFO.xlsm]"&amp;$O$2&amp;"!j8")</f>
        <v>0</v>
      </c>
      <c r="AS8" s="838">
        <f ca="1">+INDIRECT("[EMPINFO.xlsm]"&amp;$O$2&amp;"!k8")</f>
        <v>0</v>
      </c>
      <c r="AT8" s="226">
        <f ca="1">+INDIRECT("[EMPINFO.xlsm]"&amp;$O$2&amp;"!m8")</f>
        <v>0</v>
      </c>
      <c r="AU8" s="843">
        <f ca="1">+INDIRECT("[EMPINFO.xlsm]"&amp;$O$2&amp;"!n8")</f>
        <v>0</v>
      </c>
      <c r="AV8" s="244">
        <f t="shared" si="18"/>
        <v>0</v>
      </c>
      <c r="AW8" s="244">
        <f t="shared" si="19"/>
        <v>0</v>
      </c>
      <c r="AX8" s="838">
        <f ca="1">+INDIRECT("[EMPINFO.xlsm]"&amp;$O$2&amp;"!u8")</f>
        <v>31</v>
      </c>
      <c r="AY8" s="215">
        <f ca="1">+INDIRECT("[EMPINFO.xlsm]"&amp;$O$2&amp;"!v8")</f>
        <v>0</v>
      </c>
      <c r="AZ8" s="797" t="str">
        <f ca="1">+INDIRECT("[EMPINFO.xlsm]"&amp;$O$2&amp;"!x8")</f>
        <v>ACTIVE</v>
      </c>
      <c r="BA8" s="843">
        <f ca="1">+INDIRECT("[EMPINFO.xlsm]"&amp;$O$2&amp;"!w8")</f>
        <v>0</v>
      </c>
      <c r="BB8" s="288" t="e">
        <f t="shared" ca="1" si="20"/>
        <v>#N/A</v>
      </c>
      <c r="BC8" s="289" t="e">
        <f t="shared" ca="1" si="21"/>
        <v>#N/A</v>
      </c>
      <c r="BD8" s="255"/>
      <c r="BE8" s="206"/>
    </row>
    <row r="9" spans="1:62" ht="15.75" customHeight="1" thickBot="1" x14ac:dyDescent="0.3">
      <c r="A9" s="54"/>
      <c r="B9" s="4" t="s">
        <v>141</v>
      </c>
      <c r="C9" s="921" t="str">
        <f>INDEX([1]!empdata,MATCH(ID,[1]!empid,0),19)</f>
        <v>Triq Frans Grech</v>
      </c>
      <c r="D9" s="922"/>
      <c r="E9" s="922"/>
      <c r="F9" s="886"/>
      <c r="H9" s="312" t="s">
        <v>20</v>
      </c>
      <c r="I9" s="927" t="str">
        <f>INDEX([1]!empdata,MATCH(ID,[1]!empid,0),14)</f>
        <v>A36848548</v>
      </c>
      <c r="J9" s="859"/>
      <c r="K9" s="857"/>
      <c r="L9" s="101"/>
      <c r="M9" s="303"/>
      <c r="N9" s="211">
        <f t="shared" ca="1" si="0"/>
        <v>9.261000000000001</v>
      </c>
      <c r="O9" s="213">
        <f>+DATA!A8</f>
        <v>46174</v>
      </c>
      <c r="P9" s="219">
        <f ca="1">+INDIRECT("[EMPINFO.xlsm]"&amp;$O$2&amp;"!G9")</f>
        <v>5</v>
      </c>
      <c r="Q9" s="215">
        <f ca="1">IF(AZ9="active",INDIRECT("[EMPINFO.xlsm]"&amp;$O$2&amp;"!H9"),0)</f>
        <v>0</v>
      </c>
      <c r="R9" s="239">
        <f t="shared" ca="1" si="22"/>
        <v>9.261000000000001</v>
      </c>
      <c r="S9" s="216">
        <f t="shared" ca="1" si="1"/>
        <v>0</v>
      </c>
      <c r="T9" s="220">
        <f t="shared" ca="1" si="2"/>
        <v>0</v>
      </c>
      <c r="U9" s="218">
        <f t="shared" ca="1" si="3"/>
        <v>0</v>
      </c>
      <c r="V9" s="220">
        <f ca="1">+junoth*junhrrt</f>
        <v>0</v>
      </c>
      <c r="W9" s="202">
        <f ca="1">IF(AZ9&lt;&gt;"active",0,(IF(Timer="PT_casual",(BONUSJUN/1040*(BA9+BA8+BA7+BA6+BA5+BA4)),(BONUSJUN*(SUM(AO4:AO9)/SUM(AX4:AX9))*(SUM(Q4:Q9)/240)))))</f>
        <v>15.245515384615386</v>
      </c>
      <c r="X9" s="218">
        <f t="shared" ca="1" si="4"/>
        <v>0</v>
      </c>
      <c r="Y9" s="801">
        <f t="shared" ca="1" si="5"/>
        <v>0</v>
      </c>
      <c r="Z9" s="218">
        <f t="shared" ca="1" si="6"/>
        <v>15.245515384615386</v>
      </c>
      <c r="AA9" s="801">
        <f t="shared" ca="1" si="7"/>
        <v>1</v>
      </c>
      <c r="AB9" s="218">
        <f ca="1">+INDIRECT("[EMPINFO.xlsm]"&amp;$O$2&amp;"!s9")</f>
        <v>0</v>
      </c>
      <c r="AC9" s="292">
        <v>1.5</v>
      </c>
      <c r="AD9" s="218">
        <f t="shared" ca="1" si="8"/>
        <v>0</v>
      </c>
      <c r="AE9" s="220">
        <f t="shared" ca="1" si="9"/>
        <v>0</v>
      </c>
      <c r="AF9" s="218">
        <f t="shared" ca="1" si="10"/>
        <v>1</v>
      </c>
      <c r="AG9" s="801">
        <f t="shared" ca="1" si="11"/>
        <v>0</v>
      </c>
      <c r="AH9" s="218">
        <f t="shared" ca="1" si="12"/>
        <v>0</v>
      </c>
      <c r="AI9" s="801">
        <f t="shared" ca="1" si="13"/>
        <v>0</v>
      </c>
      <c r="AJ9" s="218">
        <f t="shared" ca="1" si="14"/>
        <v>0</v>
      </c>
      <c r="AK9" s="801">
        <f t="shared" ca="1" si="15"/>
        <v>0</v>
      </c>
      <c r="AL9" s="218">
        <f t="shared" ca="1" si="23"/>
        <v>15.245515384615386</v>
      </c>
      <c r="AM9" s="290">
        <f t="shared" ca="1" si="16"/>
        <v>0</v>
      </c>
      <c r="AN9" s="291" t="str">
        <f t="shared" ca="1" si="17"/>
        <v>PT_CASUAL</v>
      </c>
      <c r="AO9" s="223">
        <f ca="1">+INDIRECT("[EMPINFO.xlsm]"&amp;$O$2&amp;"!t9")</f>
        <v>30</v>
      </c>
      <c r="AP9" s="226">
        <f ca="1">+INDIRECT("[EMPINFO.xlsm]"&amp;$O$2&amp;"!o9")</f>
        <v>0</v>
      </c>
      <c r="AQ9" s="838">
        <f ca="1">+INDIRECT("[EMPINFO.xlsm]"&amp;$O$2&amp;"!p9")</f>
        <v>0</v>
      </c>
      <c r="AR9" s="226">
        <f ca="1">+INDIRECT("[EMPINFO.xlsm]"&amp;$O$2&amp;"!j9")</f>
        <v>0</v>
      </c>
      <c r="AS9" s="838">
        <f ca="1">+INDIRECT("[EMPINFO.xlsm]"&amp;$O$2&amp;"!k9")</f>
        <v>0</v>
      </c>
      <c r="AT9" s="226">
        <f ca="1">+INDIRECT("[EMPINFO.xlsm]"&amp;$O$2&amp;"!m9")</f>
        <v>0</v>
      </c>
      <c r="AU9" s="843">
        <f ca="1">+INDIRECT("[EMPINFO.xlsm]"&amp;$O$2&amp;"!n9")</f>
        <v>0</v>
      </c>
      <c r="AV9" s="244">
        <f t="shared" si="18"/>
        <v>0</v>
      </c>
      <c r="AW9" s="244">
        <f t="shared" si="19"/>
        <v>0</v>
      </c>
      <c r="AX9" s="838">
        <f ca="1">+INDIRECT("[EMPINFO.xlsm]"&amp;$O$2&amp;"!u9")</f>
        <v>30</v>
      </c>
      <c r="AY9" s="215">
        <f ca="1">+INDIRECT("[EMPINFO.xlsm]"&amp;$O$2&amp;"!v9")</f>
        <v>0</v>
      </c>
      <c r="AZ9" s="797" t="str">
        <f ca="1">+INDIRECT("[EMPINFO.xlsm]"&amp;$O$2&amp;"!x9")</f>
        <v>ACTIVE</v>
      </c>
      <c r="BA9" s="843">
        <f ca="1">+INDIRECT("[EMPINFO.xlsm]"&amp;$O$2&amp;"!w9")</f>
        <v>0</v>
      </c>
      <c r="BB9" s="288" t="e">
        <f t="shared" ca="1" si="20"/>
        <v>#N/A</v>
      </c>
      <c r="BC9" s="289" t="e">
        <f t="shared" ca="1" si="21"/>
        <v>#N/A</v>
      </c>
      <c r="BD9" s="255"/>
      <c r="BE9" s="206"/>
    </row>
    <row r="10" spans="1:62" ht="15.75" customHeight="1" thickBot="1" x14ac:dyDescent="0.3">
      <c r="A10" s="54"/>
      <c r="B10" s="5" t="s">
        <v>142</v>
      </c>
      <c r="C10" s="921" t="str">
        <f>INDEX([1]!empdata,MATCH(ID,[1]!empid,0),20)</f>
        <v>Marsascala</v>
      </c>
      <c r="D10" s="922"/>
      <c r="E10" s="922"/>
      <c r="F10" s="886"/>
      <c r="I10" s="312" t="s">
        <v>143</v>
      </c>
      <c r="L10" s="101"/>
      <c r="M10" s="303"/>
      <c r="N10" s="211">
        <f t="shared" ca="1" si="0"/>
        <v>9.261000000000001</v>
      </c>
      <c r="O10" s="213">
        <f>+DATA!A9</f>
        <v>46204</v>
      </c>
      <c r="P10" s="219">
        <f ca="1">+INDIRECT("[EMPINFO.xlsm]"&amp;$O$2&amp;"!G10")</f>
        <v>4</v>
      </c>
      <c r="Q10" s="215">
        <f ca="1">IF(AZ10="active",INDIRECT("[EMPINFO.xlsm]"&amp;$O$2&amp;"!H10"),0)</f>
        <v>0</v>
      </c>
      <c r="R10" s="239">
        <f t="shared" ca="1" si="22"/>
        <v>9.261000000000001</v>
      </c>
      <c r="S10" s="216">
        <f t="shared" ca="1" si="1"/>
        <v>0</v>
      </c>
      <c r="T10" s="220">
        <f t="shared" ca="1" si="2"/>
        <v>0</v>
      </c>
      <c r="U10" s="218">
        <f t="shared" ca="1" si="3"/>
        <v>0</v>
      </c>
      <c r="V10" s="220">
        <f ca="1">+juloth*julhrrt</f>
        <v>0</v>
      </c>
      <c r="W10" s="201"/>
      <c r="X10" s="218">
        <f t="shared" ca="1" si="4"/>
        <v>0</v>
      </c>
      <c r="Y10" s="801">
        <f t="shared" ca="1" si="5"/>
        <v>0</v>
      </c>
      <c r="Z10" s="218">
        <f t="shared" ca="1" si="6"/>
        <v>0</v>
      </c>
      <c r="AA10" s="801">
        <f t="shared" ca="1" si="7"/>
        <v>0</v>
      </c>
      <c r="AB10" s="218">
        <f ca="1">+INDIRECT("[EMPINFO.xlsm]"&amp;$O$2&amp;"!s10")</f>
        <v>0</v>
      </c>
      <c r="AC10" s="292">
        <v>1.5</v>
      </c>
      <c r="AD10" s="218">
        <f t="shared" ca="1" si="8"/>
        <v>0</v>
      </c>
      <c r="AE10" s="220">
        <f t="shared" ca="1" si="9"/>
        <v>0</v>
      </c>
      <c r="AF10" s="218">
        <f t="shared" ca="1" si="10"/>
        <v>0</v>
      </c>
      <c r="AG10" s="801">
        <f t="shared" ca="1" si="11"/>
        <v>0</v>
      </c>
      <c r="AH10" s="218">
        <f t="shared" ca="1" si="12"/>
        <v>0</v>
      </c>
      <c r="AI10" s="801">
        <f t="shared" ca="1" si="13"/>
        <v>0</v>
      </c>
      <c r="AJ10" s="218">
        <f t="shared" ca="1" si="14"/>
        <v>0</v>
      </c>
      <c r="AK10" s="801">
        <f t="shared" ca="1" si="15"/>
        <v>0</v>
      </c>
      <c r="AL10" s="218">
        <f t="shared" ca="1" si="23"/>
        <v>0</v>
      </c>
      <c r="AM10" s="290">
        <f t="shared" ca="1" si="16"/>
        <v>0</v>
      </c>
      <c r="AN10" s="291" t="str">
        <f t="shared" ca="1" si="17"/>
        <v>PT_CASUAL</v>
      </c>
      <c r="AO10" s="223">
        <f ca="1">+INDIRECT("[EMPINFO.xlsm]"&amp;$O$2&amp;"!t10")</f>
        <v>31</v>
      </c>
      <c r="AP10" s="226">
        <f ca="1">+INDIRECT("[EMPINFO.xlsm]"&amp;$O$2&amp;"!o10")</f>
        <v>0</v>
      </c>
      <c r="AQ10" s="838">
        <f ca="1">+INDIRECT("[EMPINFO.xlsm]"&amp;$O$2&amp;"!p10")</f>
        <v>0</v>
      </c>
      <c r="AR10" s="226">
        <f ca="1">+INDIRECT("[EMPINFO.xlsm]"&amp;$O$2&amp;"!j10")</f>
        <v>0</v>
      </c>
      <c r="AS10" s="838">
        <f ca="1">+INDIRECT("[EMPINFO.xlsm]"&amp;$O$2&amp;"!k10")</f>
        <v>0</v>
      </c>
      <c r="AT10" s="226">
        <f ca="1">+INDIRECT("[EMPINFO.xlsm]"&amp;$O$2&amp;"!m10")</f>
        <v>0</v>
      </c>
      <c r="AU10" s="843">
        <f ca="1">+INDIRECT("[EMPINFO.xlsm]"&amp;$O$2&amp;"!n10")</f>
        <v>0</v>
      </c>
      <c r="AV10" s="244">
        <f t="shared" si="18"/>
        <v>0</v>
      </c>
      <c r="AW10" s="244">
        <f t="shared" si="19"/>
        <v>0</v>
      </c>
      <c r="AX10" s="838">
        <f ca="1">+INDIRECT("[EMPINFO.xlsm]"&amp;$O$2&amp;"!u10")</f>
        <v>31</v>
      </c>
      <c r="AY10" s="215">
        <f ca="1">+INDIRECT("[EMPINFO.xlsm]"&amp;$O$2&amp;"!v10")</f>
        <v>0</v>
      </c>
      <c r="AZ10" s="797" t="str">
        <f ca="1">+INDIRECT("[EMPINFO.xlsm]"&amp;$O$2&amp;"!x10")</f>
        <v>ACTIVE</v>
      </c>
      <c r="BA10" s="843">
        <f ca="1">+INDIRECT("[EMPINFO.xlsm]"&amp;$O$2&amp;"!w10")</f>
        <v>0</v>
      </c>
      <c r="BB10" s="288" t="e">
        <f t="shared" ca="1" si="20"/>
        <v>#N/A</v>
      </c>
      <c r="BC10" s="289" t="e">
        <f t="shared" ca="1" si="21"/>
        <v>#N/A</v>
      </c>
      <c r="BD10" s="255"/>
      <c r="BE10" s="206"/>
      <c r="BF10" s="32"/>
      <c r="BH10" s="32"/>
      <c r="BI10" s="30"/>
      <c r="BJ10" s="31"/>
    </row>
    <row r="11" spans="1:62" ht="15.75" customHeight="1" thickBot="1" x14ac:dyDescent="0.3">
      <c r="A11" s="54"/>
      <c r="B11" s="6" t="s">
        <v>144</v>
      </c>
      <c r="C11" s="921" t="str">
        <f>INDEX([1]!empdata,MATCH(ID,[1]!empid,0),21)</f>
        <v>MSK1245</v>
      </c>
      <c r="D11" s="922"/>
      <c r="E11" s="922"/>
      <c r="F11" s="886"/>
      <c r="H11" s="312" t="s">
        <v>31</v>
      </c>
      <c r="I11" s="927">
        <f>INDEX([1]!empdata,MATCH(ID,[1]!empid,0),7)</f>
        <v>0</v>
      </c>
      <c r="J11" s="859"/>
      <c r="K11" s="857"/>
      <c r="L11" s="101"/>
      <c r="M11" s="303"/>
      <c r="N11" s="211">
        <f t="shared" ca="1" si="0"/>
        <v>9.261000000000001</v>
      </c>
      <c r="O11" s="213">
        <f>+DATA!A10</f>
        <v>46235</v>
      </c>
      <c r="P11" s="219">
        <f ca="1">+INDIRECT("[EMPINFO.xlsm]"&amp;$O$2&amp;"!G11")</f>
        <v>5</v>
      </c>
      <c r="Q11" s="215">
        <f ca="1">IF(AZ11="active",INDIRECT("[EMPINFO.xlsm]"&amp;$O$2&amp;"!H11"),0)</f>
        <v>0</v>
      </c>
      <c r="R11" s="239">
        <f t="shared" ca="1" si="22"/>
        <v>9.261000000000001</v>
      </c>
      <c r="S11" s="216">
        <f t="shared" ca="1" si="1"/>
        <v>0</v>
      </c>
      <c r="T11" s="220">
        <f t="shared" ca="1" si="2"/>
        <v>0</v>
      </c>
      <c r="U11" s="218">
        <f t="shared" ca="1" si="3"/>
        <v>0</v>
      </c>
      <c r="V11" s="220">
        <f ca="1">+augoth*aughrrt</f>
        <v>0</v>
      </c>
      <c r="W11" s="201"/>
      <c r="X11" s="218">
        <f t="shared" ca="1" si="4"/>
        <v>0</v>
      </c>
      <c r="Y11" s="801">
        <f t="shared" ca="1" si="5"/>
        <v>0</v>
      </c>
      <c r="Z11" s="218">
        <f t="shared" ca="1" si="6"/>
        <v>0</v>
      </c>
      <c r="AA11" s="801">
        <f t="shared" ca="1" si="7"/>
        <v>0</v>
      </c>
      <c r="AB11" s="218">
        <f ca="1">+INDIRECT("[EMPINFO.xlsm]"&amp;$O$2&amp;"!s11")</f>
        <v>0</v>
      </c>
      <c r="AC11" s="292">
        <v>1.5</v>
      </c>
      <c r="AD11" s="218">
        <f t="shared" ca="1" si="8"/>
        <v>0</v>
      </c>
      <c r="AE11" s="220">
        <f t="shared" ca="1" si="9"/>
        <v>0</v>
      </c>
      <c r="AF11" s="218">
        <f t="shared" ca="1" si="10"/>
        <v>0</v>
      </c>
      <c r="AG11" s="801">
        <f t="shared" ca="1" si="11"/>
        <v>0</v>
      </c>
      <c r="AH11" s="218">
        <f t="shared" ca="1" si="12"/>
        <v>0</v>
      </c>
      <c r="AI11" s="801">
        <f t="shared" ca="1" si="13"/>
        <v>0</v>
      </c>
      <c r="AJ11" s="218">
        <f t="shared" ca="1" si="14"/>
        <v>0</v>
      </c>
      <c r="AK11" s="801">
        <f t="shared" ca="1" si="15"/>
        <v>0</v>
      </c>
      <c r="AL11" s="218">
        <f t="shared" ca="1" si="23"/>
        <v>0</v>
      </c>
      <c r="AM11" s="290">
        <f t="shared" ca="1" si="16"/>
        <v>0</v>
      </c>
      <c r="AN11" s="291" t="str">
        <f t="shared" ca="1" si="17"/>
        <v>PT_CASUAL</v>
      </c>
      <c r="AO11" s="223">
        <f ca="1">+INDIRECT("[EMPINFO.xlsm]"&amp;$O$2&amp;"!t11")</f>
        <v>31</v>
      </c>
      <c r="AP11" s="226">
        <f ca="1">+INDIRECT("[EMPINFO.xlsm]"&amp;$O$2&amp;"!o11")</f>
        <v>0</v>
      </c>
      <c r="AQ11" s="838">
        <f ca="1">+INDIRECT("[EMPINFO.xlsm]"&amp;$O$2&amp;"!p11")</f>
        <v>0</v>
      </c>
      <c r="AR11" s="226">
        <f ca="1">+INDIRECT("[EMPINFO.xlsm]"&amp;$O$2&amp;"!j11")</f>
        <v>0</v>
      </c>
      <c r="AS11" s="838">
        <f ca="1">+INDIRECT("[EMPINFO.xlsm]"&amp;$O$2&amp;"!k11")</f>
        <v>0</v>
      </c>
      <c r="AT11" s="226">
        <f ca="1">+INDIRECT("[EMPINFO.xlsm]"&amp;$O$2&amp;"!m11")</f>
        <v>0</v>
      </c>
      <c r="AU11" s="843">
        <f ca="1">+INDIRECT("[EMPINFO.xlsm]"&amp;$O$2&amp;"!n11")</f>
        <v>0</v>
      </c>
      <c r="AV11" s="244">
        <f t="shared" si="18"/>
        <v>0</v>
      </c>
      <c r="AW11" s="244">
        <f t="shared" si="19"/>
        <v>0</v>
      </c>
      <c r="AX11" s="838">
        <f ca="1">+INDIRECT("[EMPINFO.xlsm]"&amp;$O$2&amp;"!u11")</f>
        <v>31</v>
      </c>
      <c r="AY11" s="215">
        <f ca="1">+INDIRECT("[EMPINFO.xlsm]"&amp;$O$2&amp;"!v11")</f>
        <v>0</v>
      </c>
      <c r="AZ11" s="797" t="str">
        <f ca="1">+INDIRECT("[EMPINFO.xlsm]"&amp;$O$2&amp;"!x11")</f>
        <v>ACTIVE</v>
      </c>
      <c r="BA11" s="843">
        <f ca="1">+INDIRECT("[EMPINFO.xlsm]"&amp;$O$2&amp;"!w11")</f>
        <v>0</v>
      </c>
      <c r="BB11" s="288" t="e">
        <f t="shared" ca="1" si="20"/>
        <v>#N/A</v>
      </c>
      <c r="BC11" s="289" t="e">
        <f t="shared" ca="1" si="21"/>
        <v>#N/A</v>
      </c>
      <c r="BD11" s="255"/>
      <c r="BE11" s="206"/>
      <c r="BF11" s="27"/>
      <c r="BH11" s="27"/>
    </row>
    <row r="12" spans="1:62" ht="17.45" customHeight="1" thickBot="1" x14ac:dyDescent="0.3">
      <c r="A12" s="313"/>
      <c r="B12" s="91" t="s">
        <v>14</v>
      </c>
      <c r="C12" s="945">
        <f>INDEX([1]!empdata,MATCH(ID,[1]!empid,0),10)</f>
        <v>79705790</v>
      </c>
      <c r="D12" s="946"/>
      <c r="E12" s="946"/>
      <c r="F12" s="947"/>
      <c r="G12" s="85"/>
      <c r="H12" s="85"/>
      <c r="I12" s="85"/>
      <c r="J12" s="85"/>
      <c r="K12" s="85"/>
      <c r="L12" s="314"/>
      <c r="M12" s="303"/>
      <c r="N12" s="211">
        <f t="shared" ca="1" si="0"/>
        <v>9.261000000000001</v>
      </c>
      <c r="O12" s="213">
        <f>+DATA!A11</f>
        <v>46266</v>
      </c>
      <c r="P12" s="219">
        <f ca="1">+INDIRECT("[EMPINFO.xlsm]"&amp;$O$2&amp;"!G12")</f>
        <v>4</v>
      </c>
      <c r="Q12" s="215">
        <f ca="1">IF(AZ12="active",INDIRECT("[EMPINFO.xlsm]"&amp;$O$2&amp;"!H12"),0)</f>
        <v>0</v>
      </c>
      <c r="R12" s="239">
        <f t="shared" ca="1" si="22"/>
        <v>9.261000000000001</v>
      </c>
      <c r="S12" s="216">
        <f t="shared" ca="1" si="1"/>
        <v>0</v>
      </c>
      <c r="T12" s="220">
        <f t="shared" ca="1" si="2"/>
        <v>0</v>
      </c>
      <c r="U12" s="218">
        <f t="shared" ca="1" si="3"/>
        <v>0</v>
      </c>
      <c r="V12" s="220">
        <f ca="1">+sepoth*sephrrt</f>
        <v>0</v>
      </c>
      <c r="W12" s="202">
        <f ca="1">IF(AZ12&lt;&gt;"active",0,(IF(Timer="PT_casual",(bonussep/1040*(BA7:BA12)),(bonussep*(SUM(AO7:AO12)/SUM(AX7:AX12))*(SUM(Q7:Q12)/240)))))</f>
        <v>0</v>
      </c>
      <c r="X12" s="218">
        <f t="shared" ca="1" si="4"/>
        <v>0</v>
      </c>
      <c r="Y12" s="801">
        <f t="shared" ca="1" si="5"/>
        <v>0</v>
      </c>
      <c r="Z12" s="218">
        <f t="shared" ca="1" si="6"/>
        <v>0</v>
      </c>
      <c r="AA12" s="801">
        <f t="shared" ca="1" si="7"/>
        <v>0</v>
      </c>
      <c r="AB12" s="218">
        <f ca="1">+INDIRECT("[EMPINFO.xlsm]"&amp;$O$2&amp;"!s12")</f>
        <v>0</v>
      </c>
      <c r="AC12" s="292">
        <v>1.5</v>
      </c>
      <c r="AD12" s="218">
        <f t="shared" ca="1" si="8"/>
        <v>0</v>
      </c>
      <c r="AE12" s="220">
        <f t="shared" ca="1" si="9"/>
        <v>0</v>
      </c>
      <c r="AF12" s="218">
        <f t="shared" ca="1" si="10"/>
        <v>0</v>
      </c>
      <c r="AG12" s="801">
        <f t="shared" ca="1" si="11"/>
        <v>0</v>
      </c>
      <c r="AH12" s="218">
        <f t="shared" ca="1" si="12"/>
        <v>0</v>
      </c>
      <c r="AI12" s="801">
        <f t="shared" ca="1" si="13"/>
        <v>0</v>
      </c>
      <c r="AJ12" s="218">
        <f t="shared" ca="1" si="14"/>
        <v>0</v>
      </c>
      <c r="AK12" s="801">
        <f t="shared" ca="1" si="15"/>
        <v>0</v>
      </c>
      <c r="AL12" s="218">
        <f t="shared" ca="1" si="23"/>
        <v>0</v>
      </c>
      <c r="AM12" s="290">
        <f t="shared" ca="1" si="16"/>
        <v>0</v>
      </c>
      <c r="AN12" s="291" t="str">
        <f t="shared" ca="1" si="17"/>
        <v>PT_CASUAL</v>
      </c>
      <c r="AO12" s="223">
        <f ca="1">+INDIRECT("[EMPINFO.xlsm]"&amp;$O$2&amp;"!t12")</f>
        <v>30</v>
      </c>
      <c r="AP12" s="226">
        <f ca="1">+INDIRECT("[EMPINFO.xlsm]"&amp;$O$2&amp;"!o12")</f>
        <v>0</v>
      </c>
      <c r="AQ12" s="838">
        <f ca="1">+INDIRECT("[EMPINFO.xlsm]"&amp;$O$2&amp;"!p12")</f>
        <v>0</v>
      </c>
      <c r="AR12" s="226">
        <f ca="1">+INDIRECT("[EMPINFO.xlsm]"&amp;$O$2&amp;"!j12")</f>
        <v>0</v>
      </c>
      <c r="AS12" s="838">
        <f ca="1">+INDIRECT("[EMPINFO.xlsm]"&amp;$O$2&amp;"!k12")</f>
        <v>0</v>
      </c>
      <c r="AT12" s="226">
        <f ca="1">+INDIRECT("[EMPINFO.xlsm]"&amp;$O$2&amp;"!m12")</f>
        <v>0</v>
      </c>
      <c r="AU12" s="843">
        <f ca="1">+INDIRECT("[EMPINFO.xlsm]"&amp;$O$2&amp;"!n12")</f>
        <v>0</v>
      </c>
      <c r="AV12" s="244">
        <f t="shared" si="18"/>
        <v>0</v>
      </c>
      <c r="AW12" s="244">
        <f t="shared" si="19"/>
        <v>0</v>
      </c>
      <c r="AX12" s="838">
        <f ca="1">+INDIRECT("[EMPINFO.xlsm]"&amp;$O$2&amp;"!u12")</f>
        <v>30</v>
      </c>
      <c r="AY12" s="215">
        <f ca="1">+INDIRECT("[EMPINFO.xlsm]"&amp;$O$2&amp;"!v12")</f>
        <v>0</v>
      </c>
      <c r="AZ12" s="797" t="str">
        <f ca="1">+INDIRECT("[EMPINFO.xlsm]"&amp;$O$2&amp;"!x12")</f>
        <v>ACTIVE</v>
      </c>
      <c r="BA12" s="843">
        <f ca="1">+INDIRECT("[EMPINFO.xlsm]"&amp;$O$2&amp;"!w12")</f>
        <v>0</v>
      </c>
      <c r="BB12" s="288" t="e">
        <f t="shared" ca="1" si="20"/>
        <v>#N/A</v>
      </c>
      <c r="BC12" s="289" t="e">
        <f t="shared" ca="1" si="21"/>
        <v>#N/A</v>
      </c>
      <c r="BD12" s="255"/>
      <c r="BE12" s="206"/>
    </row>
    <row r="13" spans="1:62" ht="15.75" customHeight="1" thickBot="1" x14ac:dyDescent="0.3">
      <c r="A13" s="54"/>
      <c r="L13" s="101"/>
      <c r="M13" s="303"/>
      <c r="N13" s="211">
        <f t="shared" ca="1" si="0"/>
        <v>9.261000000000001</v>
      </c>
      <c r="O13" s="213">
        <f>+DATA!A12</f>
        <v>46296</v>
      </c>
      <c r="P13" s="219">
        <f ca="1">+INDIRECT("[EMPINFO.xlsm]"&amp;$O$2&amp;"!G13")</f>
        <v>4</v>
      </c>
      <c r="Q13" s="215">
        <f ca="1">IF(AZ13="active",INDIRECT("[EMPINFO.xlsm]"&amp;$O$2&amp;"!H13"),0)</f>
        <v>0</v>
      </c>
      <c r="R13" s="239">
        <f t="shared" ca="1" si="22"/>
        <v>9.261000000000001</v>
      </c>
      <c r="S13" s="216">
        <f t="shared" ca="1" si="1"/>
        <v>0</v>
      </c>
      <c r="T13" s="220">
        <f t="shared" ca="1" si="2"/>
        <v>0</v>
      </c>
      <c r="U13" s="218">
        <f t="shared" ca="1" si="3"/>
        <v>0</v>
      </c>
      <c r="V13" s="220">
        <f ca="1">+octoth*octhrrt</f>
        <v>0</v>
      </c>
      <c r="W13" s="201"/>
      <c r="X13" s="218">
        <f t="shared" ca="1" si="4"/>
        <v>0</v>
      </c>
      <c r="Y13" s="801">
        <f t="shared" ca="1" si="5"/>
        <v>0</v>
      </c>
      <c r="Z13" s="218">
        <f t="shared" ca="1" si="6"/>
        <v>0</v>
      </c>
      <c r="AA13" s="801">
        <f t="shared" ca="1" si="7"/>
        <v>0</v>
      </c>
      <c r="AB13" s="218">
        <f ca="1">+INDIRECT("[EMPINFO.xlsm]"&amp;$O$2&amp;"!s13")</f>
        <v>0</v>
      </c>
      <c r="AC13" s="292">
        <v>1.5</v>
      </c>
      <c r="AD13" s="218">
        <f t="shared" ca="1" si="8"/>
        <v>0</v>
      </c>
      <c r="AE13" s="220">
        <f t="shared" ca="1" si="9"/>
        <v>0</v>
      </c>
      <c r="AF13" s="218">
        <f t="shared" ca="1" si="10"/>
        <v>0</v>
      </c>
      <c r="AG13" s="801">
        <f t="shared" ca="1" si="11"/>
        <v>0</v>
      </c>
      <c r="AH13" s="218">
        <f t="shared" ca="1" si="12"/>
        <v>0</v>
      </c>
      <c r="AI13" s="801">
        <f t="shared" ca="1" si="13"/>
        <v>0</v>
      </c>
      <c r="AJ13" s="218">
        <f t="shared" ca="1" si="14"/>
        <v>0</v>
      </c>
      <c r="AK13" s="801">
        <f t="shared" ca="1" si="15"/>
        <v>0</v>
      </c>
      <c r="AL13" s="218">
        <f t="shared" ca="1" si="23"/>
        <v>0</v>
      </c>
      <c r="AM13" s="290">
        <f t="shared" ca="1" si="16"/>
        <v>0</v>
      </c>
      <c r="AN13" s="291" t="str">
        <f t="shared" ca="1" si="17"/>
        <v>PT_CASUAL</v>
      </c>
      <c r="AO13" s="223">
        <f ca="1">+INDIRECT("[EMPINFO.xlsm]"&amp;$O$2&amp;"!t13")</f>
        <v>31</v>
      </c>
      <c r="AP13" s="226">
        <f ca="1">+INDIRECT("[EMPINFO.xlsm]"&amp;$O$2&amp;"!o13")</f>
        <v>0</v>
      </c>
      <c r="AQ13" s="838">
        <f ca="1">+INDIRECT("[EMPINFO.xlsm]"&amp;$O$2&amp;"!p13")</f>
        <v>0</v>
      </c>
      <c r="AR13" s="226">
        <f ca="1">+INDIRECT("[EMPINFO.xlsm]"&amp;$O$2&amp;"!j13")</f>
        <v>0</v>
      </c>
      <c r="AS13" s="838">
        <f ca="1">+INDIRECT("[EMPINFO.xlsm]"&amp;$O$2&amp;"!k13")</f>
        <v>0</v>
      </c>
      <c r="AT13" s="226">
        <f ca="1">+INDIRECT("[EMPINFO.xlsm]"&amp;$O$2&amp;"!m13")</f>
        <v>0</v>
      </c>
      <c r="AU13" s="843">
        <f ca="1">+INDIRECT("[EMPINFO.xlsm]"&amp;$O$2&amp;"!n13")</f>
        <v>0</v>
      </c>
      <c r="AV13" s="244">
        <f t="shared" si="18"/>
        <v>0</v>
      </c>
      <c r="AW13" s="244">
        <f t="shared" si="19"/>
        <v>0</v>
      </c>
      <c r="AX13" s="838">
        <f ca="1">+INDIRECT("[EMPINFO.xlsm]"&amp;$O$2&amp;"!u13")</f>
        <v>31</v>
      </c>
      <c r="AY13" s="215">
        <f ca="1">+INDIRECT("[EMPINFO.xlsm]"&amp;$O$2&amp;"!v13")</f>
        <v>0</v>
      </c>
      <c r="AZ13" s="797" t="str">
        <f ca="1">+INDIRECT("[EMPINFO.xlsm]"&amp;$O$2&amp;"!x13")</f>
        <v>ACTIVE</v>
      </c>
      <c r="BA13" s="843">
        <f ca="1">+INDIRECT("[EMPINFO.xlsm]"&amp;$O$2&amp;"!w13")</f>
        <v>0</v>
      </c>
      <c r="BB13" s="288" t="e">
        <f t="shared" ca="1" si="20"/>
        <v>#N/A</v>
      </c>
      <c r="BC13" s="289" t="e">
        <f t="shared" ca="1" si="21"/>
        <v>#N/A</v>
      </c>
      <c r="BD13" s="255"/>
      <c r="BE13" s="206"/>
    </row>
    <row r="14" spans="1:62" ht="23.25" customHeight="1" thickBot="1" x14ac:dyDescent="0.3">
      <c r="A14" s="69" t="s">
        <v>32</v>
      </c>
      <c r="B14" s="937" t="s">
        <v>145</v>
      </c>
      <c r="C14" s="938"/>
      <c r="D14" s="939"/>
      <c r="E14" s="70" t="s">
        <v>146</v>
      </c>
      <c r="F14" s="450">
        <f>IF(StartEmp&gt;O4,StartEmp,O4)</f>
        <v>46023</v>
      </c>
      <c r="G14" s="451"/>
      <c r="H14" s="71" t="s">
        <v>147</v>
      </c>
      <c r="I14" s="452">
        <f>+TERMDATE</f>
        <v>46387</v>
      </c>
      <c r="J14" s="453"/>
      <c r="K14" s="454"/>
      <c r="L14" s="63"/>
      <c r="M14" s="303"/>
      <c r="N14" s="211">
        <f t="shared" ca="1" si="0"/>
        <v>9.261000000000001</v>
      </c>
      <c r="O14" s="213">
        <f>+DATA!A13</f>
        <v>46327</v>
      </c>
      <c r="P14" s="219">
        <f ca="1">+INDIRECT("[EMPINFO.xlsm]"&amp;$O$2&amp;"!G14")</f>
        <v>5</v>
      </c>
      <c r="Q14" s="215">
        <f ca="1">IF(AZ14="active",INDIRECT("[EMPINFO.xlsm]"&amp;$O$2&amp;"!H14"),0)</f>
        <v>0</v>
      </c>
      <c r="R14" s="239">
        <f t="shared" ca="1" si="22"/>
        <v>9.261000000000001</v>
      </c>
      <c r="S14" s="216">
        <f t="shared" ca="1" si="1"/>
        <v>0</v>
      </c>
      <c r="T14" s="220">
        <f t="shared" ca="1" si="2"/>
        <v>0</v>
      </c>
      <c r="U14" s="218">
        <f t="shared" ca="1" si="3"/>
        <v>0</v>
      </c>
      <c r="V14" s="220">
        <f ca="1">+novoth*novhrrt</f>
        <v>0</v>
      </c>
      <c r="W14" s="201"/>
      <c r="X14" s="218">
        <f t="shared" ca="1" si="4"/>
        <v>0</v>
      </c>
      <c r="Y14" s="801">
        <f t="shared" ca="1" si="5"/>
        <v>0</v>
      </c>
      <c r="Z14" s="218">
        <f t="shared" ca="1" si="6"/>
        <v>0</v>
      </c>
      <c r="AA14" s="801">
        <f t="shared" ca="1" si="7"/>
        <v>0</v>
      </c>
      <c r="AB14" s="218">
        <f ca="1">+INDIRECT("[EMPINFO.xlsm]"&amp;$O$2&amp;"!s14")</f>
        <v>0</v>
      </c>
      <c r="AC14" s="292">
        <v>1.5</v>
      </c>
      <c r="AD14" s="218">
        <f t="shared" ca="1" si="8"/>
        <v>0</v>
      </c>
      <c r="AE14" s="220">
        <f t="shared" ca="1" si="9"/>
        <v>0</v>
      </c>
      <c r="AF14" s="218">
        <f t="shared" ca="1" si="10"/>
        <v>0</v>
      </c>
      <c r="AG14" s="801">
        <f t="shared" ca="1" si="11"/>
        <v>0</v>
      </c>
      <c r="AH14" s="218">
        <f t="shared" ca="1" si="12"/>
        <v>0</v>
      </c>
      <c r="AI14" s="801">
        <f t="shared" ca="1" si="13"/>
        <v>0</v>
      </c>
      <c r="AJ14" s="218">
        <f t="shared" ca="1" si="14"/>
        <v>0</v>
      </c>
      <c r="AK14" s="801">
        <f t="shared" ca="1" si="15"/>
        <v>0</v>
      </c>
      <c r="AL14" s="218">
        <f t="shared" ca="1" si="23"/>
        <v>0</v>
      </c>
      <c r="AM14" s="290">
        <f t="shared" ca="1" si="16"/>
        <v>0</v>
      </c>
      <c r="AN14" s="291" t="str">
        <f t="shared" ca="1" si="17"/>
        <v>PT_CASUAL</v>
      </c>
      <c r="AO14" s="223">
        <f ca="1">+INDIRECT("[EMPINFO.xlsm]"&amp;$O$2&amp;"!t14")</f>
        <v>30</v>
      </c>
      <c r="AP14" s="226">
        <f ca="1">+INDIRECT("[EMPINFO.xlsm]"&amp;$O$2&amp;"!o14")</f>
        <v>0</v>
      </c>
      <c r="AQ14" s="838">
        <f ca="1">+INDIRECT("[EMPINFO.xlsm]"&amp;$O$2&amp;"!p14")</f>
        <v>0</v>
      </c>
      <c r="AR14" s="226">
        <f ca="1">+INDIRECT("[EMPINFO.xlsm]"&amp;$O$2&amp;"!j14")</f>
        <v>0</v>
      </c>
      <c r="AS14" s="838">
        <f ca="1">+INDIRECT("[EMPINFO.xlsm]"&amp;$O$2&amp;"!k14")</f>
        <v>0</v>
      </c>
      <c r="AT14" s="226">
        <f ca="1">+INDIRECT("[EMPINFO.xlsm]"&amp;$O$2&amp;"!m14")</f>
        <v>0</v>
      </c>
      <c r="AU14" s="843">
        <f ca="1">+INDIRECT("[EMPINFO.xlsm]"&amp;$O$2&amp;"!n14")</f>
        <v>0</v>
      </c>
      <c r="AV14" s="244">
        <f t="shared" si="18"/>
        <v>0</v>
      </c>
      <c r="AW14" s="244">
        <f t="shared" si="19"/>
        <v>0</v>
      </c>
      <c r="AX14" s="838">
        <f ca="1">+INDIRECT("[EMPINFO.xlsm]"&amp;$O$2&amp;"!u14")</f>
        <v>30</v>
      </c>
      <c r="AY14" s="215">
        <f ca="1">+INDIRECT("[EMPINFO.xlsm]"&amp;$O$2&amp;"!v14")</f>
        <v>0</v>
      </c>
      <c r="AZ14" s="797" t="str">
        <f ca="1">+INDIRECT("[EMPINFO.xlsm]"&amp;$O$2&amp;"!x14")</f>
        <v>ACTIVE</v>
      </c>
      <c r="BA14" s="843">
        <f ca="1">+INDIRECT("[EMPINFO.xlsm]"&amp;$O$2&amp;"!w14")</f>
        <v>0</v>
      </c>
      <c r="BB14" s="288" t="e">
        <f t="shared" ca="1" si="20"/>
        <v>#N/A</v>
      </c>
      <c r="BC14" s="289" t="e">
        <f t="shared" ca="1" si="21"/>
        <v>#N/A</v>
      </c>
      <c r="BD14" s="255"/>
      <c r="BE14" s="206"/>
      <c r="BF14" s="32"/>
      <c r="BH14" s="32"/>
    </row>
    <row r="15" spans="1:62" ht="15.75" customHeight="1" thickBot="1" x14ac:dyDescent="0.3">
      <c r="A15" s="54"/>
      <c r="L15" s="101"/>
      <c r="M15" s="303"/>
      <c r="N15" s="211">
        <f t="shared" ca="1" si="0"/>
        <v>9.261000000000001</v>
      </c>
      <c r="O15" s="213">
        <f>+DATA!A14</f>
        <v>46357</v>
      </c>
      <c r="P15" s="219">
        <f ca="1">+INDIRECT("[EMPINFO.xlsm]"&amp;$O$2&amp;"!G15")</f>
        <v>4</v>
      </c>
      <c r="Q15" s="215">
        <f ca="1">IF(AZ15="active",INDIRECT("[EMPINFO.xlsm]"&amp;$O$2&amp;"!H15"),0)</f>
        <v>0</v>
      </c>
      <c r="R15" s="239">
        <f t="shared" ca="1" si="22"/>
        <v>9.261000000000001</v>
      </c>
      <c r="S15" s="216">
        <f t="shared" ca="1" si="1"/>
        <v>0</v>
      </c>
      <c r="T15" s="220">
        <f t="shared" ca="1" si="2"/>
        <v>0</v>
      </c>
      <c r="U15" s="218">
        <f t="shared" ca="1" si="3"/>
        <v>0</v>
      </c>
      <c r="V15" s="220">
        <f ca="1">+decoth*dechrrt</f>
        <v>0</v>
      </c>
      <c r="W15" s="202">
        <f ca="1">IF(AZ15&lt;&gt;"active",0,(IF(Timer="PT_casual",(bonusdec/1040*(BA10:BA15)),(bonusdec*(SUM(AO10:AO15)/SUM(AX10:AX15))*(SUM(Q10:Q15)/240)))))</f>
        <v>0</v>
      </c>
      <c r="X15" s="218">
        <f t="shared" ca="1" si="4"/>
        <v>0</v>
      </c>
      <c r="Y15" s="801">
        <f t="shared" ca="1" si="5"/>
        <v>0</v>
      </c>
      <c r="Z15" s="218">
        <f t="shared" ca="1" si="6"/>
        <v>0</v>
      </c>
      <c r="AA15" s="801">
        <f t="shared" ca="1" si="7"/>
        <v>0</v>
      </c>
      <c r="AB15" s="218">
        <f ca="1">+INDIRECT("[EMPINFO.xlsm]"&amp;$O$2&amp;"!s15")</f>
        <v>0</v>
      </c>
      <c r="AC15" s="292">
        <v>1.5</v>
      </c>
      <c r="AD15" s="218">
        <f t="shared" ca="1" si="8"/>
        <v>0</v>
      </c>
      <c r="AE15" s="220">
        <f t="shared" ca="1" si="9"/>
        <v>0</v>
      </c>
      <c r="AF15" s="218">
        <f t="shared" ca="1" si="10"/>
        <v>0</v>
      </c>
      <c r="AG15" s="801">
        <f t="shared" ca="1" si="11"/>
        <v>0</v>
      </c>
      <c r="AH15" s="218">
        <f t="shared" ca="1" si="12"/>
        <v>0</v>
      </c>
      <c r="AI15" s="801">
        <f t="shared" ca="1" si="13"/>
        <v>0</v>
      </c>
      <c r="AJ15" s="218">
        <f t="shared" ca="1" si="14"/>
        <v>0</v>
      </c>
      <c r="AK15" s="801">
        <f t="shared" ca="1" si="15"/>
        <v>0</v>
      </c>
      <c r="AL15" s="218">
        <f t="shared" ca="1" si="23"/>
        <v>0</v>
      </c>
      <c r="AM15" s="290">
        <f t="shared" ca="1" si="16"/>
        <v>0</v>
      </c>
      <c r="AN15" s="291" t="str">
        <f t="shared" ca="1" si="17"/>
        <v>PT_CASUAL</v>
      </c>
      <c r="AO15" s="223">
        <f ca="1">+INDIRECT("[EMPINFO.xlsm]"&amp;$O$2&amp;"!t15")</f>
        <v>31</v>
      </c>
      <c r="AP15" s="226">
        <f ca="1">+INDIRECT("[EMPINFO.xlsm]"&amp;$O$2&amp;"!o15")</f>
        <v>0</v>
      </c>
      <c r="AQ15" s="838">
        <f ca="1">+INDIRECT("[EMPINFO.xlsm]"&amp;$O$2&amp;"!p15")</f>
        <v>0</v>
      </c>
      <c r="AR15" s="226">
        <f ca="1">+INDIRECT("[EMPINFO.xlsm]"&amp;$O$2&amp;"!j15")</f>
        <v>0</v>
      </c>
      <c r="AS15" s="838">
        <f ca="1">+INDIRECT("[EMPINFO.xlsm]"&amp;$O$2&amp;"!k15")</f>
        <v>0</v>
      </c>
      <c r="AT15" s="226">
        <f ca="1">+INDIRECT("[EMPINFO.xlsm]"&amp;$O$2&amp;"!m15")</f>
        <v>0</v>
      </c>
      <c r="AU15" s="843">
        <f ca="1">+INDIRECT("[EMPINFO.xlsm]"&amp;$O$2&amp;"!n15")</f>
        <v>0</v>
      </c>
      <c r="AV15" s="244">
        <f t="shared" si="18"/>
        <v>0</v>
      </c>
      <c r="AW15" s="244">
        <f t="shared" si="19"/>
        <v>0</v>
      </c>
      <c r="AX15" s="838">
        <f ca="1">+INDIRECT("[EMPINFO.xlsm]"&amp;$O$2&amp;"!u15")</f>
        <v>31</v>
      </c>
      <c r="AY15" s="215">
        <f ca="1">+INDIRECT("[EMPINFO.xlsm]"&amp;$O$2&amp;"!v15")</f>
        <v>0</v>
      </c>
      <c r="AZ15" s="797" t="str">
        <f ca="1">+INDIRECT("[EMPINFO.xlsm]"&amp;$O$2&amp;"!x15")</f>
        <v>ACTIVE</v>
      </c>
      <c r="BA15" s="843">
        <f ca="1">+INDIRECT("[EMPINFO.xlsm]"&amp;$O$2&amp;"!w15")</f>
        <v>0</v>
      </c>
      <c r="BB15" s="288" t="e">
        <f t="shared" ca="1" si="20"/>
        <v>#N/A</v>
      </c>
      <c r="BC15" s="289" t="e">
        <f t="shared" ca="1" si="21"/>
        <v>#N/A</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f ca="1">+INDIRECT("[EMPINFO.xlsm]"&amp;$O$2&amp;"!G16")</f>
        <v>52</v>
      </c>
      <c r="Q16" s="222"/>
      <c r="R16" s="209"/>
      <c r="S16" s="217">
        <f t="shared" ref="S16:AA16" ca="1" si="24">SUM(S4:S15)</f>
        <v>0</v>
      </c>
      <c r="T16" s="221">
        <f t="shared" ca="1" si="24"/>
        <v>1086.8709600000002</v>
      </c>
      <c r="U16" s="217">
        <f t="shared" ca="1" si="24"/>
        <v>0</v>
      </c>
      <c r="V16" s="221">
        <f t="shared" ca="1" si="24"/>
        <v>0</v>
      </c>
      <c r="W16" s="217">
        <f t="shared" ca="1" si="24"/>
        <v>28.917955384615386</v>
      </c>
      <c r="X16" s="217">
        <f t="shared" ca="1" si="24"/>
        <v>0</v>
      </c>
      <c r="Y16" s="802">
        <f t="shared" ca="1" si="24"/>
        <v>0</v>
      </c>
      <c r="Z16" s="217">
        <f t="shared" ca="1" si="24"/>
        <v>1115.7889153846156</v>
      </c>
      <c r="AA16" s="802">
        <f t="shared" ca="1" si="24"/>
        <v>110</v>
      </c>
      <c r="AB16" s="217">
        <f ca="1">+INDIRECT("[EMPINFO.xlsm]"&amp;$O$2&amp;"!S16")</f>
        <v>0</v>
      </c>
      <c r="AC16" s="221" t="s">
        <v>150</v>
      </c>
      <c r="AD16" s="217">
        <f ca="1">SUM(AD4:AD15)</f>
        <v>0</v>
      </c>
      <c r="AE16" s="221">
        <f ca="1">SUM(AE4:AE15)</f>
        <v>0</v>
      </c>
      <c r="AF16" s="217">
        <f ca="1">SUM(AF4:AF15)</f>
        <v>110</v>
      </c>
      <c r="AG16" s="221"/>
      <c r="AH16" s="217">
        <f ca="1">SUM(AH4:AH15)</f>
        <v>0</v>
      </c>
      <c r="AI16" s="801">
        <f ca="1">SUM(AI4:AI15)</f>
        <v>0</v>
      </c>
      <c r="AJ16" s="217">
        <f t="shared" ca="1" si="14"/>
        <v>0</v>
      </c>
      <c r="AK16" s="834">
        <f ca="1">SUM(AK4:AK15)</f>
        <v>0</v>
      </c>
      <c r="AL16" s="217">
        <f ca="1">+SUM(AL4:AL15)</f>
        <v>1115.7889153846156</v>
      </c>
      <c r="AM16" s="298"/>
      <c r="AN16" s="297"/>
      <c r="AO16" s="224">
        <f ca="1">+INDIRECT("[EMPINFO.xlsm]"&amp;$O$2&amp;"!T16")</f>
        <v>365</v>
      </c>
      <c r="AP16" s="299">
        <f>+[1]RGaldes!O16</f>
        <v>0</v>
      </c>
      <c r="AQ16" s="839">
        <f ca="1">+INDIRECT("[EMPINFO.xlsm]"&amp;$O$2&amp;"!p16")</f>
        <v>0</v>
      </c>
      <c r="AR16" s="299"/>
      <c r="AS16" s="839">
        <f ca="1">+INDIRECT("[EMPINFO.xlsm]"&amp;$O$2&amp;"!k16")</f>
        <v>0</v>
      </c>
      <c r="AT16" s="299">
        <f ca="1">+INDIRECT("[EMPINFO.xlsm]"&amp;$O$2&amp;"!m16")</f>
        <v>0</v>
      </c>
      <c r="AU16" s="839">
        <f ca="1">+INDIRECT("[EMPINFO.xlsm]"&amp;$O$2&amp;"!n16")</f>
        <v>0</v>
      </c>
      <c r="AV16" s="208"/>
      <c r="AW16" s="208"/>
      <c r="AX16" s="210">
        <f>+[1]RGaldes!U16</f>
        <v>0</v>
      </c>
      <c r="AY16" s="225">
        <f ca="1">SUM(AY4:AY15)</f>
        <v>0</v>
      </c>
      <c r="AZ16" s="180">
        <f>+[1]RGaldes!X16</f>
        <v>0</v>
      </c>
      <c r="BA16" s="282"/>
      <c r="BB16" s="286"/>
      <c r="BC16" s="287"/>
      <c r="BD16" s="255"/>
    </row>
    <row r="17" spans="1:56" ht="28.9" customHeight="1" thickBot="1" x14ac:dyDescent="0.45">
      <c r="A17" s="54"/>
      <c r="B17" s="312" t="s">
        <v>38</v>
      </c>
      <c r="C17" s="312"/>
      <c r="D17" s="312"/>
      <c r="E17" s="312"/>
      <c r="F17" s="312"/>
      <c r="G17" s="73" t="s">
        <v>39</v>
      </c>
      <c r="H17" s="455">
        <f>TRUNC(IF(OR(Timer="PT", Timer="PT_casual"),0,Z16),0)</f>
        <v>0</v>
      </c>
      <c r="I17" s="456"/>
      <c r="K17" s="317" t="s">
        <v>151</v>
      </c>
      <c r="L17" s="101"/>
      <c r="M17" s="256">
        <v>9.1300000000000008</v>
      </c>
      <c r="N17" s="257" t="s">
        <v>152</v>
      </c>
      <c r="O17" s="258">
        <f ca="1">+Med_Tot</f>
        <v>1115.7889153846156</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f ca="1">+AQ16</f>
        <v>0</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f ca="1">+TRUNC(AD16,0)</f>
        <v>0</v>
      </c>
      <c r="I18" s="456"/>
      <c r="K18" s="954">
        <f ca="1">+AB16</f>
        <v>0</v>
      </c>
      <c r="L18" s="911"/>
      <c r="M18" s="7"/>
      <c r="N18" s="347"/>
      <c r="O18" s="54"/>
      <c r="Z18" s="73"/>
    </row>
    <row r="19" spans="1:56" ht="32.25" customHeight="1" thickBot="1" x14ac:dyDescent="0.3">
      <c r="A19" s="54"/>
      <c r="B19" s="317" t="s">
        <v>154</v>
      </c>
      <c r="G19" s="73" t="s">
        <v>43</v>
      </c>
      <c r="H19" s="457">
        <v>0</v>
      </c>
      <c r="I19" s="458"/>
      <c r="K19" s="950" t="s">
        <v>155</v>
      </c>
      <c r="L19" s="951"/>
      <c r="M19" s="7"/>
      <c r="N19" s="386">
        <f ca="1">IF(OR(INDEX(PYRL_Summary,MATCH(O21,months,0),28)="pt",INDEX(PYRL_Summary,MATCH(O21,months,0),28)="pt_casual"),0,IF(N22-N21&gt;=1,1,0))</f>
        <v>0</v>
      </c>
      <c r="O19" s="894" t="str">
        <f>Surname&amp;" "&amp;Name</f>
        <v>Ellul Maria</v>
      </c>
      <c r="P19" s="374" t="str">
        <f>+IDCard</f>
        <v>302481M</v>
      </c>
      <c r="Q19" s="375" t="str">
        <f>+designation</f>
        <v>9. Receptionist</v>
      </c>
      <c r="R19" s="376" t="s">
        <v>156</v>
      </c>
      <c r="S19" s="377">
        <f ca="1">+S20+S23+S22+S24+S25+S26+S21</f>
        <v>603.63198000000011</v>
      </c>
      <c r="T19" s="378">
        <f>+FS4_Status</f>
        <v>0</v>
      </c>
      <c r="U19" s="572" t="str">
        <f ca="1">INDEX(INDAT,MATCH(O21,(INDIRECT(("months"),TRUE)),0),26)</f>
        <v>PT_CASUAL</v>
      </c>
      <c r="V19" s="379">
        <f ca="1">INDEX(INDAT,MATCH(O21,(INDIRECT(("months"),TRUE)),0),25)</f>
        <v>0</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f ca="1">TRUNC(IF(OR(Timer="PT", Timer="PT_Casual"),Med_Tot,0),0)</f>
        <v>1115</v>
      </c>
      <c r="I20" s="460"/>
      <c r="J20" s="318" t="s">
        <v>160</v>
      </c>
      <c r="K20" s="910"/>
      <c r="L20" s="911"/>
      <c r="N20" s="387">
        <f ca="1">IF(AND(OR((INDEX(PYRL_Summary,MATCH(O21,months,0),28))="PT",( INDEX(PYRL_Summary,MATCH(O21,months,0),28))="PT_casual" ),(N22-N21&gt;=1)),1,0)</f>
        <v>1</v>
      </c>
      <c r="O20" s="895"/>
      <c r="P20" s="416" t="s">
        <v>161</v>
      </c>
      <c r="Q20" s="380">
        <f ca="1">INDEX(PYRL_Summary,MATCH(O21,months,0),5)</f>
        <v>0</v>
      </c>
      <c r="R20" s="381" t="s">
        <v>94</v>
      </c>
      <c r="S20" s="382">
        <f ca="1">INDEX(PYRL_Summary,MATCH(O21,months,0),7)</f>
        <v>0</v>
      </c>
      <c r="T20" s="383" t="s">
        <v>162</v>
      </c>
      <c r="U20" s="384" t="s">
        <v>163</v>
      </c>
      <c r="V20" s="385" t="s">
        <v>164</v>
      </c>
      <c r="Z20" s="446" t="str">
        <f ca="1">IF((INDIRECT("[EMPINFO.xlsm]"&amp;$O$2&amp;"!M20")) = 0," ",(INDIRECT("[EMPINFO.xlsm]"&amp;$O$2&amp;"!M20")
))</f>
        <v xml:space="preserve"> </v>
      </c>
      <c r="AA20" s="446" t="str">
        <f ca="1">IF((INDIRECT("[EMPINFO.xlsm]"&amp;$O$2&amp;"!n20")) = 0," ",(INDIRECT("[EMPINFO.xlsm]"&amp;$O$2&amp;"!n20")
))</f>
        <v xml:space="preserve"> </v>
      </c>
      <c r="AB20" s="444" t="s">
        <v>165</v>
      </c>
      <c r="AC20" s="446" t="str">
        <f ca="1">IF((INDIRECT("[EMPINFO.xlsm]"&amp;$O$2&amp;"!p20")) = 0," ",(INDIRECT("[EMPINFO.xlsm]"&amp;$O$2&amp;"!p20")
))</f>
        <v xml:space="preserve"> </v>
      </c>
      <c r="AD20" s="446" t="str">
        <f ca="1">IF((INDIRECT("[EMPINFO.xlsm]"&amp;$O$2&amp;"!q20")) = 0," ",(INDIRECT("[EMPINFO.xlsm]"&amp;$O$2&amp;"!q20")
))</f>
        <v xml:space="preserve"> </v>
      </c>
    </row>
    <row r="21" spans="1:56" ht="22.5" customHeight="1" thickBot="1" x14ac:dyDescent="0.3">
      <c r="A21" s="54"/>
      <c r="B21" s="312" t="s">
        <v>46</v>
      </c>
      <c r="C21" s="312"/>
      <c r="D21" s="312"/>
      <c r="E21" s="312"/>
      <c r="F21" s="312"/>
      <c r="G21" s="73" t="s">
        <v>47</v>
      </c>
      <c r="H21" s="461">
        <v>0</v>
      </c>
      <c r="I21" s="462"/>
      <c r="J21" s="318" t="s">
        <v>166</v>
      </c>
      <c r="K21" s="916"/>
      <c r="L21" s="917"/>
      <c r="M21" s="7"/>
      <c r="N21" s="419">
        <f>IF(TERMDATE&lt;O21,0,IF(StartEmp&lt;=O21,O21,(IF(AND(StartEmp&gt;=O21,StartEmp&lt;=O31),StartEmp,0))))</f>
        <v>46023</v>
      </c>
      <c r="O21" s="343">
        <f>+W19</f>
        <v>46023</v>
      </c>
      <c r="P21" s="371" t="str">
        <f ca="1">IF(AN4="PT","Hours Worked","Extra/ under Hours")</f>
        <v>Extra/ under Hours</v>
      </c>
      <c r="Q21" s="99"/>
      <c r="R21" s="99" t="str">
        <f ca="1">INDEX(PYRL_Summary,MATCH(O21,months,0),41)&amp;" HRS"</f>
        <v>65.18 HRS</v>
      </c>
      <c r="S21" s="367">
        <f ca="1">INDEX(PYRL_Summary,MATCH(O21,months,0),41)*janhrrt</f>
        <v>603.63198000000011</v>
      </c>
      <c r="T21" s="372">
        <f ca="1">+U21+V21</f>
        <v>0</v>
      </c>
      <c r="U21" s="372">
        <f ca="1">INDEX(PYRL_Summary,MATCH(O21,months,0),22)</f>
        <v>0</v>
      </c>
      <c r="V21" s="373">
        <f ca="1">INDEX(PYRL_Summary,MATCH(O21,months,0),23)</f>
        <v>0</v>
      </c>
      <c r="Z21" s="446" t="str">
        <f ca="1">IF((INDIRECT("[EMPINFO.xlsm]"&amp;$O$2&amp;"!M21")) = 0," ",(INDIRECT("[EMPINFO.xlsm]"&amp;$O$2&amp;"!M21")
))</f>
        <v xml:space="preserve"> </v>
      </c>
      <c r="AA21" s="446" t="str">
        <f ca="1">IF((INDIRECT("[EMPINFO.xlsm]"&amp;$O$2&amp;"!n21")) = 0," ",(INDIRECT("[EMPINFO.xlsm]"&amp;$O$2&amp;"!n21")
))</f>
        <v xml:space="preserve"> </v>
      </c>
      <c r="AB21" s="445" t="s">
        <v>165</v>
      </c>
      <c r="AC21" s="446" t="str">
        <f ca="1">IF((INDIRECT("[EMPINFO.xlsm]"&amp;$O$2&amp;"!p21")) = 0," ",(INDIRECT("[EMPINFO.xlsm]"&amp;$O$2&amp;"!p21")
))</f>
        <v xml:space="preserve"> </v>
      </c>
      <c r="AD21" s="446" t="str">
        <f ca="1">IF((INDIRECT("[EMPINFO.xlsm]"&amp;$O$2&amp;"!q21")) = 0," ",(INDIRECT("[EMPINFO.xlsm]"&amp;$O$2&amp;"!q21")
))</f>
        <v xml:space="preserve"> </v>
      </c>
    </row>
    <row r="22" spans="1:56" ht="21" customHeight="1" thickBot="1" x14ac:dyDescent="0.3">
      <c r="A22" s="54"/>
      <c r="B22" s="319" t="s">
        <v>167</v>
      </c>
      <c r="G22" s="73" t="s">
        <v>168</v>
      </c>
      <c r="H22" s="463">
        <v>0</v>
      </c>
      <c r="I22" s="464"/>
      <c r="J22" s="320" t="s">
        <v>169</v>
      </c>
      <c r="K22" s="916"/>
      <c r="L22" s="917"/>
      <c r="N22" s="419">
        <f>+IF(StartEmp&gt;=O31,0,IF(TERMDATE&gt;=O31,O31-1,(IF(AND(TERMDATE&lt;O31,TERMDATE&gt;=O21),TERMDATE,0))))</f>
        <v>46053</v>
      </c>
      <c r="O22" s="341" t="s">
        <v>170</v>
      </c>
      <c r="P22" s="342" t="s">
        <v>171</v>
      </c>
      <c r="Q22" s="300">
        <f>+P28</f>
        <v>46022</v>
      </c>
      <c r="R22" s="184" t="str">
        <f>INDEX(PYRL_Summary,MATCH(P28,months,0),39)&amp;" HRS"</f>
        <v xml:space="preserve"> HRS</v>
      </c>
      <c r="S22" s="193">
        <f>INDEX(PYRL_Summary,MATCH(P28,months,0),9)</f>
        <v>0</v>
      </c>
      <c r="T22" s="186" t="s">
        <v>72</v>
      </c>
      <c r="U22" s="187">
        <f ca="1">INDEX(PYRL_Summary,MATCH(O21,months,0),25)</f>
        <v>0</v>
      </c>
      <c r="V22" s="348"/>
      <c r="Z22" s="446" t="str">
        <f ca="1">IF((INDIRECT("[EMPINFO.xlsm]"&amp;$O$2&amp;"!M22")) = 0," ",(INDIRECT("[EMPINFO.xlsm]"&amp;$O$2&amp;"!M22")
))</f>
        <v xml:space="preserve"> </v>
      </c>
      <c r="AA22" s="446" t="str">
        <f ca="1">IF((INDIRECT("[EMPINFO.xlsm]"&amp;$O$2&amp;"!n22")) = 0," ",(INDIRECT("[EMPINFO.xlsm]"&amp;$O$2&amp;"!n22")
))</f>
        <v xml:space="preserve"> </v>
      </c>
      <c r="AB22" s="445" t="s">
        <v>165</v>
      </c>
      <c r="AC22" s="446" t="str">
        <f ca="1">IF((INDIRECT("[EMPINFO.xlsm]"&amp;$O$2&amp;"!p22")) = 0," ",(INDIRECT("[EMPINFO.xlsm]"&amp;$O$2&amp;"!p22")
))</f>
        <v xml:space="preserve"> </v>
      </c>
      <c r="AD22" s="446" t="str">
        <f ca="1">IF((INDIRECT("[EMPINFO.xlsm]"&amp;$O$2&amp;"!q22")) = 0," ",(INDIRECT("[EMPINFO.xlsm]"&amp;$O$2&amp;"!q22")
))</f>
        <v xml:space="preserve"> </v>
      </c>
      <c r="AE22" s="29"/>
    </row>
    <row r="23" spans="1:56" ht="21" customHeight="1" thickBot="1" x14ac:dyDescent="0.3">
      <c r="A23" s="54"/>
      <c r="B23" s="312" t="s">
        <v>48</v>
      </c>
      <c r="C23" s="312"/>
      <c r="D23" s="312"/>
      <c r="E23" s="312"/>
      <c r="F23" s="312"/>
      <c r="G23" s="73" t="s">
        <v>49</v>
      </c>
      <c r="H23" s="465">
        <f ca="1">+SUM(H17:I21)</f>
        <v>1115</v>
      </c>
      <c r="I23" s="466"/>
      <c r="J23" s="318" t="s">
        <v>169</v>
      </c>
      <c r="K23" s="916"/>
      <c r="L23" s="917"/>
      <c r="N23" s="420"/>
      <c r="O23" s="344">
        <f>+ID</f>
        <v>2024002</v>
      </c>
      <c r="P23" s="365"/>
      <c r="Q23" s="365"/>
      <c r="R23" s="366" t="s">
        <v>172</v>
      </c>
      <c r="S23" s="367">
        <f>INDEX(PYRL_Summary,MATCH(O21,months,0),11)</f>
        <v>0</v>
      </c>
      <c r="T23" s="368" t="str">
        <f ca="1">IF((INDEX(PYRL_Summary,MATCH(O21,months,0),19))&gt;=0.01, "Overtime Tax"," ")</f>
        <v xml:space="preserve"> </v>
      </c>
      <c r="U23" s="369"/>
      <c r="V23" s="370">
        <f ca="1">INDEX(PYRL_Summary,MATCH(O21,months,0),19)</f>
        <v>0</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f ca="1">INDEX(PYRL_Summary,MATCH(O21,months,0),10)</f>
        <v>0</v>
      </c>
      <c r="T24" s="189" t="s">
        <v>176</v>
      </c>
      <c r="U24" s="190"/>
      <c r="V24" s="350">
        <f ca="1">INDEX(PYRL_Summary,MATCH(O21,months,0),15)</f>
        <v>60</v>
      </c>
      <c r="X24" s="577" t="s">
        <v>632</v>
      </c>
    </row>
    <row r="25" spans="1:56" ht="14.45" customHeight="1" thickBot="1" x14ac:dyDescent="0.3">
      <c r="A25" s="54"/>
      <c r="L25" s="101"/>
      <c r="M25" s="76"/>
      <c r="N25" s="420"/>
      <c r="O25" s="345" t="str">
        <f ca="1">IF(INDEX(INDAT,MATCH(O21,(INDIRECT(("months"),TRUE)),0),4)&gt;=0.01, "Performance Bonus"," ")</f>
        <v>Performance Bonus</v>
      </c>
      <c r="P25" s="100">
        <f>IF((INDEX(PYRL_Summary,MATCH(O21,months,0),12)&gt;=0.01),(INDEX(PYRL_Summary,MATCH(O21,months,0),12)),0)</f>
        <v>0</v>
      </c>
      <c r="Q25" s="99" t="str">
        <f ca="1">IF(INDEX(INDAT,MATCH(O21,(INDIRECT(("months"),TRUE)),0),5)&gt;=0.01, "Sup
 Bonus"," ")</f>
        <v xml:space="preserve"> </v>
      </c>
      <c r="R25" s="100">
        <f>IF((INDEX(PYRL_Summary,MATCH(O21,months,0),13)&gt;=0.01),(INDEX(PYRL_Summary,MATCH(O21,months,0),13)),0)</f>
        <v>0</v>
      </c>
      <c r="S25" s="102">
        <f>+P25+R25</f>
        <v>0</v>
      </c>
      <c r="T25" s="889" t="str">
        <f>+IBAN</f>
        <v>MT97VALL22013000000017316123017</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str">
        <f ca="1">IF(INDEX(INDAT,MATCH(O21,(INDIRECT(("months"),TRUE)),0),14)&gt;=0.01, "Overtime Hours"," ")</f>
        <v xml:space="preserve"> </v>
      </c>
      <c r="P26" s="199"/>
      <c r="Q26" s="199">
        <f ca="1">IF((INDEX(PYRL_Summary,MATCH(O21,months,0),16)&gt;=0.01),(INDEX(PYRL_Summary,MATCH(O21,months,0),16)&amp;" HRS"),0)</f>
        <v>0</v>
      </c>
      <c r="R26" s="198"/>
      <c r="S26" s="355">
        <f ca="1">IF((INDEX(PYRL_Summary,MATCH(O21,months,0),18)&gt;=0.01),(INDEX(PYRL_Summary,MATCH(O21,months,0),18)&amp;" HRS"),0)</f>
        <v>0</v>
      </c>
      <c r="T26" s="417" t="s">
        <v>178</v>
      </c>
      <c r="U26" s="418">
        <f ca="1">+(SUM(S20:S26))-(SUM(V21:V24))</f>
        <v>543.63198000000011</v>
      </c>
      <c r="V26" s="418"/>
      <c r="X26" s="575"/>
    </row>
    <row r="27" spans="1:56" ht="24" customHeight="1" thickBot="1" x14ac:dyDescent="0.3">
      <c r="A27" s="54"/>
      <c r="B27" s="73" t="s">
        <v>52</v>
      </c>
      <c r="G27" s="73" t="s">
        <v>53</v>
      </c>
      <c r="H27" s="8">
        <f>IF(OR(Timer="PT", Timer="pt_casual"),0,AA16)</f>
        <v>0</v>
      </c>
      <c r="I27" s="319" t="s">
        <v>179</v>
      </c>
      <c r="J27" s="96"/>
      <c r="L27" s="322">
        <v>0</v>
      </c>
      <c r="N27" s="421" t="s">
        <v>180</v>
      </c>
      <c r="O27" s="360" t="s">
        <v>181</v>
      </c>
      <c r="P27" s="361">
        <f>+O21-1</f>
        <v>46022</v>
      </c>
      <c r="Q27" s="362"/>
      <c r="R27" s="363" t="s">
        <v>182</v>
      </c>
      <c r="S27" s="364">
        <f ca="1">(INDEX(PYRL_Summary,MATCH(P27,months,0),33))</f>
        <v>0</v>
      </c>
      <c r="T27" s="544">
        <f>IF(Y27=0, "DO NOT INPUT HERE. USE HIGHLIGHTED ",Y27)</f>
        <v>173862717</v>
      </c>
      <c r="U27" s="545"/>
      <c r="V27" s="546"/>
      <c r="W27" s="73" t="s">
        <v>183</v>
      </c>
      <c r="Y27" s="436">
        <v>173862717</v>
      </c>
      <c r="Z27" s="78"/>
    </row>
    <row r="28" spans="1:56" ht="31.5" customHeight="1" thickBot="1" x14ac:dyDescent="0.3">
      <c r="A28" s="54"/>
      <c r="B28" s="73" t="s">
        <v>184</v>
      </c>
      <c r="G28" s="73" t="s">
        <v>185</v>
      </c>
      <c r="H28" s="68">
        <f ca="1">+AE16</f>
        <v>0</v>
      </c>
      <c r="I28" s="319" t="s">
        <v>186</v>
      </c>
      <c r="L28" s="322">
        <v>0</v>
      </c>
      <c r="N28" s="388">
        <f ca="1">INDEX(PYRL_Summary,MATCH(O21,months,0),4)</f>
        <v>4</v>
      </c>
      <c r="O28" s="389" t="s">
        <v>187</v>
      </c>
      <c r="P28" s="390">
        <f>+P27</f>
        <v>46022</v>
      </c>
      <c r="Q28" s="391">
        <f ca="1">INDEX(PYRL_Summary,MATCH(P28,months,0),31)</f>
        <v>0</v>
      </c>
      <c r="R28" s="392" t="s">
        <v>188</v>
      </c>
      <c r="S28" s="393">
        <f ca="1">INDEX(PYRL_Summary,MATCH(O21,months,0),33)</f>
        <v>0</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f ca="1">IF(OR( Timer="pt", Timer="pt_casual"),AA16,0)</f>
        <v>110</v>
      </c>
      <c r="L29" s="101"/>
      <c r="N29" s="403">
        <f ca="1">IF(OR(INDEX(PYRL_Summary,MATCH(O31,months,0),28)="pt",INDEX(PYRL_Summary,MATCH(O31,months,0),28)="pt_casual"),0,IF(N32-N31&gt;=1,1,0))</f>
        <v>0</v>
      </c>
      <c r="O29" s="908" t="str">
        <f>Surname&amp;" "&amp;Name</f>
        <v>Ellul Maria</v>
      </c>
      <c r="P29" s="394" t="str">
        <f>+IDCard</f>
        <v>302481M</v>
      </c>
      <c r="Q29" s="395" t="str">
        <f>+designation</f>
        <v>9. Receptionist</v>
      </c>
      <c r="R29" s="396" t="s">
        <v>156</v>
      </c>
      <c r="S29" s="397">
        <f ca="1">+S30+S33+S32+S34+S35+S36+S31</f>
        <v>483.23898000000014</v>
      </c>
      <c r="T29" s="431">
        <f>+FS4_Status</f>
        <v>0</v>
      </c>
      <c r="U29" s="573" t="str">
        <f ca="1">INDEX(INDAT,MATCH(O31,(INDIRECT(("months"),TRUE)),0),26)</f>
        <v>PT_CASUAL</v>
      </c>
      <c r="V29" s="432">
        <f ca="1">INDEX(INDAT,MATCH(O31,(INDIRECT(("months"),TRUE)),0),25)</f>
        <v>0</v>
      </c>
      <c r="W29" s="412">
        <f>+$O$5</f>
        <v>46054</v>
      </c>
      <c r="X29" s="424"/>
      <c r="Y29" s="424"/>
      <c r="Z29" s="73"/>
      <c r="AA29" s="73"/>
    </row>
    <row r="30" spans="1:56" ht="21" customHeight="1" thickBot="1" x14ac:dyDescent="0.3">
      <c r="A30" s="54"/>
      <c r="B30" s="73" t="s">
        <v>58</v>
      </c>
      <c r="G30" s="73" t="s">
        <v>59</v>
      </c>
      <c r="H30" s="82">
        <v>0</v>
      </c>
      <c r="L30" s="101"/>
      <c r="N30" s="404">
        <f ca="1">IF(AND(OR((INDEX(PYRL_Summary,MATCH(O31,months,0),28))="PT",( INDEX(PYRL_Summary,MATCH(O31,months,0),28))="PT_casual" ),(N32-N31&gt;=1)),1,0)</f>
        <v>1</v>
      </c>
      <c r="O30" s="909"/>
      <c r="P30" s="415" t="s">
        <v>161</v>
      </c>
      <c r="Q30" s="414">
        <f ca="1">INDEX(PYRL_Summary,MATCH(O31,months,0),5)</f>
        <v>0</v>
      </c>
      <c r="R30" s="398" t="s">
        <v>94</v>
      </c>
      <c r="S30" s="399">
        <f ca="1">INDEX(PYRL_Summary,MATCH(O31,months,0),7)</f>
        <v>0</v>
      </c>
      <c r="T30" s="400" t="s">
        <v>162</v>
      </c>
      <c r="U30" s="401" t="s">
        <v>163</v>
      </c>
      <c r="V30" s="402" t="s">
        <v>164</v>
      </c>
      <c r="Z30" s="446" t="str">
        <f ca="1">IF((INDIRECT("[EMPINFO.xlsm]"&amp;$O$2&amp;"!M30")) = 0," ",(INDIRECT("[EMPINFO.xlsm]"&amp;$O$2&amp;"!M30")
))</f>
        <v xml:space="preserve"> </v>
      </c>
      <c r="AA30" s="446" t="str">
        <f ca="1">IF((INDIRECT("[EMPINFO.xlsm]"&amp;$O$2&amp;"!n30")) = 0," ",(INDIRECT("[EMPINFO.xlsm]"&amp;$O$2&amp;"!n30")
))</f>
        <v xml:space="preserve"> </v>
      </c>
      <c r="AB30" s="444" t="s">
        <v>165</v>
      </c>
      <c r="AC30" s="446" t="str">
        <f ca="1">IF((INDIRECT("[EMPINFO.xlsm]"&amp;$O$2&amp;"!p30")) = 0," ",(INDIRECT("[EMPINFO.xlsm]"&amp;$O$2&amp;"!p30")
))</f>
        <v xml:space="preserve"> </v>
      </c>
      <c r="AD30" s="446" t="str">
        <f ca="1">IF((INDIRECT("[EMPINFO.xlsm]"&amp;$O$2&amp;"!q30")) = 0," ",(INDIRECT("[EMPINFO.xlsm]"&amp;$O$2&amp;"!q30")
))</f>
        <v xml:space="preserve"> </v>
      </c>
    </row>
    <row r="31" spans="1:56" ht="15.75" customHeight="1" thickBot="1" x14ac:dyDescent="0.3">
      <c r="A31" s="900" t="s">
        <v>191</v>
      </c>
      <c r="B31" s="901"/>
      <c r="C31" s="901"/>
      <c r="D31" s="901"/>
      <c r="E31" s="901"/>
      <c r="F31" s="323" t="s">
        <v>60</v>
      </c>
      <c r="K31" s="73" t="s">
        <v>61</v>
      </c>
      <c r="L31" s="324">
        <f ca="1">+SUM(H27:H30)</f>
        <v>110</v>
      </c>
      <c r="M31" s="66"/>
      <c r="N31" s="405">
        <f>IF(TERMDATE&lt;O31,0,IF(StartEmp&lt;=O31,O31,(IF(AND(StartEmp&gt;=O31,StartEmp&lt;=O41),StartEmp,0))))</f>
        <v>46054</v>
      </c>
      <c r="O31" s="343">
        <f>+W29</f>
        <v>46054</v>
      </c>
      <c r="P31" s="191" t="str">
        <f ca="1">IF(AN14="PT","Hours Worked","Extra/ under Hours")</f>
        <v>Extra/ under Hours</v>
      </c>
      <c r="Q31" s="192"/>
      <c r="R31" s="192" t="str">
        <f ca="1">INDEX(PYRL_Summary,MATCH(O31,months,0),41)&amp;" HRS"</f>
        <v>52.18 HRS</v>
      </c>
      <c r="S31" s="193">
        <f ca="1">INDEX(PYRL_Summary,MATCH(O31,months,0),41)*febhrrt</f>
        <v>483.23898000000014</v>
      </c>
      <c r="T31" s="357">
        <f ca="1">+U31+V31</f>
        <v>0</v>
      </c>
      <c r="U31" s="358">
        <f ca="1">INDEX(PYRL_Summary,MATCH(O31,months,0),22)</f>
        <v>0</v>
      </c>
      <c r="V31" s="359">
        <f ca="1">INDEX(PYRL_Summary,MATCH(O31,months,0),23)</f>
        <v>0</v>
      </c>
      <c r="Z31" s="446" t="str">
        <f ca="1">IF((INDIRECT("[EMPINFO.xlsm]"&amp;$O$2&amp;"!M31")) = 0," ",(INDIRECT("[EMPINFO.xlsm]"&amp;$O$2&amp;"!M31")
))</f>
        <v xml:space="preserve"> </v>
      </c>
      <c r="AA31" s="446" t="str">
        <f ca="1">IF((INDIRECT("[EMPINFO.xlsm]"&amp;$O$2&amp;"!n31")) = 0," ",(INDIRECT("[EMPINFO.xlsm]"&amp;$O$2&amp;"!n31")
))</f>
        <v xml:space="preserve"> </v>
      </c>
      <c r="AB31" s="445" t="s">
        <v>165</v>
      </c>
      <c r="AC31" s="446" t="str">
        <f ca="1">IF((INDIRECT("[EMPINFO.xlsm]"&amp;$O$2&amp;"!p31")) = 0," ",(INDIRECT("[EMPINFO.xlsm]"&amp;$O$2&amp;"!p31")
))</f>
        <v xml:space="preserve"> </v>
      </c>
      <c r="AD31" s="446" t="str">
        <f ca="1">IF((INDIRECT("[EMPINFO.xlsm]"&amp;$O$2&amp;"!q31")) = 0," ",(INDIRECT("[EMPINFO.xlsm]"&amp;$O$2&amp;"!q31")
))</f>
        <v xml:space="preserve"> </v>
      </c>
    </row>
    <row r="32" spans="1:56" ht="26.25" customHeight="1" thickBot="1" x14ac:dyDescent="0.3">
      <c r="A32" s="902"/>
      <c r="B32" s="903"/>
      <c r="C32" s="903"/>
      <c r="D32" s="903"/>
      <c r="E32" s="903"/>
      <c r="F32" s="85"/>
      <c r="G32" s="85"/>
      <c r="H32" s="85"/>
      <c r="I32" s="85"/>
      <c r="J32" s="85"/>
      <c r="K32" s="85"/>
      <c r="L32" s="314"/>
      <c r="M32" s="14"/>
      <c r="N32" s="405">
        <f>+IF(StartEmp&gt;=O41,0,IF(TERMDATE&gt;=O41,O41-1,(IF(AND(TERMDATE&lt;O41,TERMDATE&gt;=O31),TERMDATE,0))))</f>
        <v>46081</v>
      </c>
      <c r="O32" s="341" t="s">
        <v>170</v>
      </c>
      <c r="P32" s="342" t="s">
        <v>171</v>
      </c>
      <c r="Q32" s="300">
        <f>+O21</f>
        <v>46023</v>
      </c>
      <c r="R32" s="184" t="str">
        <f ca="1">INDEX(PYRL_Summary,MATCH(O21,months,0),39)&amp;" HRS"</f>
        <v>0 HRS</v>
      </c>
      <c r="S32" s="193">
        <f ca="1">INDEX(PYRL_Summary,MATCH(O21,months,0),9)</f>
        <v>0</v>
      </c>
      <c r="T32" s="186" t="s">
        <v>72</v>
      </c>
      <c r="U32" s="187">
        <f ca="1">INDEX(PYRL_Summary,MATCH(O31,months,0),25)</f>
        <v>0</v>
      </c>
      <c r="V32" s="348"/>
      <c r="Z32" s="446" t="str">
        <f ca="1">IF((INDIRECT("[EMPINFO.xlsm]"&amp;$O$2&amp;"!M32")) = 0," ",(INDIRECT("[EMPINFO.xlsm]"&amp;$O$2&amp;"!M32")
))</f>
        <v xml:space="preserve"> </v>
      </c>
      <c r="AA32" s="446" t="str">
        <f ca="1">IF((INDIRECT("[EMPINFO.xlsm]"&amp;$O$2&amp;"!n32")) = 0," ",(INDIRECT("[EMPINFO.xlsm]"&amp;$O$2&amp;"!n32")
))</f>
        <v xml:space="preserve"> </v>
      </c>
      <c r="AB32" s="445" t="s">
        <v>165</v>
      </c>
      <c r="AC32" s="446" t="str">
        <f ca="1">IF((INDIRECT("[EMPINFO.xlsm]"&amp;$O$2&amp;"!p32")) = 0," ",(INDIRECT("[EMPINFO.xlsm]"&amp;$O$2&amp;"!p32")
))</f>
        <v xml:space="preserve"> </v>
      </c>
      <c r="AD32" s="446" t="str">
        <f ca="1">IF((INDIRECT("[EMPINFO.xlsm]"&amp;$O$2&amp;"!q32")) = 0," ",(INDIRECT("[EMPINFO.xlsm]"&amp;$O$2&amp;"!q32")
))</f>
        <v xml:space="preserve"> </v>
      </c>
    </row>
    <row r="33" spans="1:37" ht="16.149999999999999" customHeight="1" thickBot="1" x14ac:dyDescent="0.3">
      <c r="A33" s="54"/>
      <c r="L33" s="101"/>
      <c r="M33" s="14"/>
      <c r="N33" s="404"/>
      <c r="O33" s="344">
        <f>+ID</f>
        <v>2024002</v>
      </c>
      <c r="P33" s="195" t="s">
        <v>172</v>
      </c>
      <c r="Q33" s="195"/>
      <c r="R33" s="194"/>
      <c r="S33" s="193">
        <f>INDEX(PYRL_Summary,MATCH(O31,months,0),11)</f>
        <v>0</v>
      </c>
      <c r="T33" s="196" t="str">
        <f ca="1">IF((INDEX(PYRL_Summary,MATCH(O31,months,0),19))&gt;=0.01, "Overtime Tax"," ")</f>
        <v xml:space="preserve"> </v>
      </c>
      <c r="U33" s="197"/>
      <c r="V33" s="349">
        <f ca="1">INDEX(PYRL_Summary,MATCH(O31,months,0),19)</f>
        <v>0</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f ca="1">INDEX(PYRL_Summary,MATCH(O31,months,0),10)</f>
        <v>0</v>
      </c>
      <c r="T34" s="189" t="s">
        <v>176</v>
      </c>
      <c r="U34" s="190"/>
      <c r="V34" s="350">
        <f ca="1">INDEX(PYRL_Summary,MATCH(O31,months,0),15)</f>
        <v>48</v>
      </c>
      <c r="X34" s="577" t="s">
        <v>632</v>
      </c>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str">
        <f ca="1">IF(INDEX(INDAT,MATCH(O31,(INDIRECT(("months"),TRUE)),0),4)&gt;=0.01, "Performance Bonus"," ")</f>
        <v>Performance Bonus</v>
      </c>
      <c r="P35" s="100">
        <f ca="1">IF((INDEX(PYRL_Summary,MATCH(O31,months,0),12)&gt;=0.01),(INDEX(PYRL_Summary,MATCH(O31,months,0),12)),0)</f>
        <v>0</v>
      </c>
      <c r="Q35" s="99" t="str">
        <f ca="1">IF(INDEX(INDAT,MATCH(O31,(INDIRECT(("months"),TRUE)),0),5)&gt;=0.01, "Sup
 Bonus"," ")</f>
        <v xml:space="preserve"> </v>
      </c>
      <c r="R35" s="100">
        <f ca="1">IF((INDEX(PYRL_Summary,MATCH(O31,months,0),13)&gt;=0.01),(INDEX(PYRL_Summary,MATCH(O31,months,0),13)),0)</f>
        <v>0</v>
      </c>
      <c r="S35" s="102">
        <f ca="1">+P35+R35</f>
        <v>0</v>
      </c>
      <c r="T35" s="889" t="str">
        <f>+IBAN</f>
        <v>MT97VALL22013000000017316123017</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str">
        <f ca="1">IF(INDEX(INDAT,MATCH(O31,(INDIRECT(("months"),TRUE)),0),14)&gt;=0.01, "Overtime Hours"," ")</f>
        <v xml:space="preserve"> </v>
      </c>
      <c r="P36" s="199"/>
      <c r="Q36" s="199">
        <f ca="1">IF((INDEX(PYRL_Summary,MATCH(O31,months,0),16)&gt;=0.01),(INDEX(PYRL_Summary,MATCH(O31,months,0),16)&amp;" HRS"),0)</f>
        <v>0</v>
      </c>
      <c r="R36" s="198"/>
      <c r="S36" s="355">
        <f ca="1">IF((INDEX(PYRL_Summary,MATCH(O31,months,0),18)&gt;=0.01),(INDEX(PYRL_Summary,MATCH(O31,months,0),18)&amp;" HRS"),0)</f>
        <v>0</v>
      </c>
      <c r="T36" s="417" t="s">
        <v>178</v>
      </c>
      <c r="U36" s="418">
        <f ca="1">+(SUM(S30:S36))-(SUM(V31:V34))</f>
        <v>435.23898000000014</v>
      </c>
      <c r="V36" s="418"/>
    </row>
    <row r="37" spans="1:37" ht="25.5" customHeight="1" thickBot="1" x14ac:dyDescent="0.4">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f ca="1">(INDEX(PYRL_Summary,MATCH(P37,months,1),32))</f>
        <v>0</v>
      </c>
      <c r="R37" s="354"/>
      <c r="S37" s="356"/>
      <c r="T37" s="544" t="str">
        <f>IF(Y37=0, "DO NOT INPUT HERE. USE HIGHLIGHTED ",Y37)</f>
        <v>Transaction ID is: 175305057</v>
      </c>
      <c r="U37" s="545"/>
      <c r="V37" s="546"/>
      <c r="W37" s="73" t="s">
        <v>183</v>
      </c>
      <c r="Y37" s="574" t="s">
        <v>651</v>
      </c>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f ca="1">INDEX(PYRL_Summary,MATCH(O31,months,0),4)</f>
        <v>4</v>
      </c>
      <c r="O38" s="407" t="s">
        <v>187</v>
      </c>
      <c r="P38" s="408">
        <f>+O21</f>
        <v>46023</v>
      </c>
      <c r="Q38" s="409">
        <f ca="1">INDEX(PYRL_Summary,MATCH(P38,months,0),31)</f>
        <v>0</v>
      </c>
      <c r="R38" s="410" t="s">
        <v>188</v>
      </c>
      <c r="S38" s="411">
        <f ca="1">INDEX(PYRL_Summary,MATCH(O31,months,0),33)</f>
        <v>0</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f ca="1">IF(OR(INDEX(PYRL_Summary,MATCH(O41,months,0),28)="pt",INDEX(PYRL_Summary,MATCH(O41,months,0),28)="pt_casual"),0,IF(N42-N41&gt;=1,1,0))</f>
        <v>0</v>
      </c>
      <c r="O39" s="894" t="str">
        <f>Surname&amp;" "&amp;Name</f>
        <v>Ellul Maria</v>
      </c>
      <c r="P39" s="374" t="str">
        <f>+IDCard</f>
        <v>302481M</v>
      </c>
      <c r="Q39" s="375" t="str">
        <f>+designation</f>
        <v>9. Receptionist</v>
      </c>
      <c r="R39" s="376" t="s">
        <v>156</v>
      </c>
      <c r="S39" s="377">
        <f ca="1">+S40+S43+S42+S44+S45+S46+S41</f>
        <v>13.67244</v>
      </c>
      <c r="T39" s="378">
        <f>+FS4_Status</f>
        <v>0</v>
      </c>
      <c r="U39" s="572" t="str">
        <f ca="1">INDEX(INDAT,MATCH(O41,(INDIRECT(("months"),TRUE)),0),26)</f>
        <v>PT_CASUAL</v>
      </c>
      <c r="V39" s="379">
        <f ca="1">INDEX(INDAT,MATCH(O41,(INDIRECT(("months"),TRUE)),0),25)</f>
        <v>0</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f ca="1">IF(AND(OR((INDEX(PYRL_Summary,MATCH(O41,months,0),28))="PT",( INDEX(PYRL_Summary,MATCH(O41,months,0),28))="PT_casual" ),(N42-N41&gt;=1)),1,0)</f>
        <v>1</v>
      </c>
      <c r="O40" s="895"/>
      <c r="P40" s="416" t="s">
        <v>161</v>
      </c>
      <c r="Q40" s="380">
        <f ca="1">INDEX(PYRL_Summary,MATCH(O41,months,0),5)</f>
        <v>0</v>
      </c>
      <c r="R40" s="381" t="s">
        <v>94</v>
      </c>
      <c r="S40" s="382">
        <f ca="1">INDEX(PYRL_Summary,MATCH(O41,months,0),7)</f>
        <v>0</v>
      </c>
      <c r="T40" s="383" t="s">
        <v>162</v>
      </c>
      <c r="U40" s="384" t="s">
        <v>163</v>
      </c>
      <c r="V40" s="385" t="s">
        <v>164</v>
      </c>
      <c r="Z40" s="446" t="str">
        <f ca="1">IF((INDIRECT("[EMPINFO.xlsm]"&amp;$O$2&amp;"!M40")) = 0," ",(INDIRECT("[EMPINFO.xlsm]"&amp;$O$2&amp;"!M40")
))</f>
        <v xml:space="preserve"> </v>
      </c>
      <c r="AA40" s="446" t="str">
        <f ca="1">IF((INDIRECT("[EMPINFO.xlsm]"&amp;$O$2&amp;"!n40")) = 0," ",(INDIRECT("[EMPINFO.xlsm]"&amp;$O$2&amp;"!n40")
))</f>
        <v xml:space="preserve"> </v>
      </c>
      <c r="AB40" s="444" t="s">
        <v>165</v>
      </c>
      <c r="AC40" s="446" t="str">
        <f ca="1">IF((INDIRECT("[EMPINFO.xlsm]"&amp;$O$2&amp;"!p40")) = 0," ",(INDIRECT("[EMPINFO.xlsm]"&amp;$O$2&amp;"!p40")
))</f>
        <v xml:space="preserve"> </v>
      </c>
      <c r="AD40" s="446" t="str">
        <f ca="1">IF((INDIRECT("[EMPINFO.xlsm]"&amp;$O$2&amp;"!q40")) = 0," ",(INDIRECT("[EMPINFO.xlsm]"&amp;$O$2&amp;"!q40")
))</f>
        <v xml:space="preserve"> </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f>IF(TERMDATE&lt;O41,0,IF(StartEmp&lt;=O41,O41,(IF(AND(StartEmp&gt;=O41,StartEmp&lt;=O51),StartEmp,0))))</f>
        <v>46082</v>
      </c>
      <c r="O41" s="343">
        <f>+W39</f>
        <v>46082</v>
      </c>
      <c r="P41" s="371" t="str">
        <f>IF(AN24="PT","Hours Worked","Extra/ under Hours")</f>
        <v>Extra/ under Hours</v>
      </c>
      <c r="Q41" s="99"/>
      <c r="R41" s="99" t="str">
        <f ca="1">INDEX(PYRL_Summary,MATCH(O41,months,0),41)&amp;" HRS"</f>
        <v>0 HRS</v>
      </c>
      <c r="S41" s="367">
        <f ca="1">INDEX(PYRL_Summary,MATCH(O41,months,0),41)*marhrrt</f>
        <v>0</v>
      </c>
      <c r="T41" s="372">
        <f ca="1">+U41+V41</f>
        <v>0</v>
      </c>
      <c r="U41" s="372">
        <f ca="1">INDEX(PYRL_Summary,MATCH(O41,months,0),22)</f>
        <v>0</v>
      </c>
      <c r="V41" s="373">
        <f ca="1">INDEX(PYRL_Summary,MATCH(O41,months,0),23)</f>
        <v>0</v>
      </c>
      <c r="Z41" s="446" t="str">
        <f ca="1">IF((INDIRECT("[EMPINFO.xlsm]"&amp;$O$2&amp;"!M41")) = 0," ",(INDIRECT("[EMPINFO.xlsm]"&amp;$O$2&amp;"!M41")
))</f>
        <v xml:space="preserve"> </v>
      </c>
      <c r="AA41" s="446" t="str">
        <f ca="1">IF((INDIRECT("[EMPINFO.xlsm]"&amp;$O$2&amp;"!n41")) = 0," ",(INDIRECT("[EMPINFO.xlsm]"&amp;$O$2&amp;"!n41")
))</f>
        <v xml:space="preserve"> </v>
      </c>
      <c r="AB41" s="445" t="s">
        <v>165</v>
      </c>
      <c r="AC41" s="446" t="str">
        <f ca="1">IF((INDIRECT("[EMPINFO.xlsm]"&amp;$O$2&amp;"!p41")) = 0," ",(INDIRECT("[EMPINFO.xlsm]"&amp;$O$2&amp;"!p41")
))</f>
        <v xml:space="preserve"> </v>
      </c>
      <c r="AD41" s="446" t="str">
        <f ca="1">IF((INDIRECT("[EMPINFO.xlsm]"&amp;$O$2&amp;"!q41")) = 0," ",(INDIRECT("[EMPINFO.xlsm]"&amp;$O$2&amp;"!q41")
))</f>
        <v xml:space="preserve"> </v>
      </c>
    </row>
    <row r="42" spans="1:37" ht="20.25" customHeight="1" thickBot="1" x14ac:dyDescent="0.3">
      <c r="A42" s="329" t="s">
        <v>205</v>
      </c>
      <c r="B42" s="85"/>
      <c r="C42" s="85"/>
      <c r="D42" s="85"/>
      <c r="E42" s="85"/>
      <c r="F42" s="85"/>
      <c r="G42" s="85"/>
      <c r="H42" s="943">
        <f>+H41+I41</f>
        <v>0</v>
      </c>
      <c r="I42" s="944"/>
      <c r="J42" s="85"/>
      <c r="K42" s="85"/>
      <c r="L42" s="314"/>
      <c r="N42" s="419">
        <f>+IF(StartEmp&gt;=O51,0,IF(TERMDATE&gt;=O51,O51-1,(IF(AND(TERMDATE&lt;O51,TERMDATE&gt;=O41),TERMDATE,0))))</f>
        <v>46112</v>
      </c>
      <c r="O42" s="341" t="s">
        <v>170</v>
      </c>
      <c r="P42" s="342" t="s">
        <v>171</v>
      </c>
      <c r="Q42" s="300">
        <f>+O31</f>
        <v>46054</v>
      </c>
      <c r="R42" s="184" t="str">
        <f ca="1">INDEX(PYRL_Summary,MATCH(O31,months,0),39)&amp;" HRS"</f>
        <v>0 HRS</v>
      </c>
      <c r="S42" s="193">
        <f ca="1">INDEX(PYRL_Summary,MATCH(O31,months,0),9)</f>
        <v>0</v>
      </c>
      <c r="T42" s="186" t="s">
        <v>72</v>
      </c>
      <c r="U42" s="187">
        <f ca="1">INDEX(PYRL_Summary,MATCH(O41,months,0),25)</f>
        <v>0</v>
      </c>
      <c r="V42" s="348"/>
      <c r="Z42" s="446" t="str">
        <f ca="1">IF((INDIRECT("[EMPINFO.xlsm]"&amp;$O$2&amp;"!M42")) = 0," ",(INDIRECT("[EMPINFO.xlsm]"&amp;$O$2&amp;"!M42")
))</f>
        <v xml:space="preserve"> </v>
      </c>
      <c r="AA42" s="446" t="str">
        <f ca="1">IF((INDIRECT("[EMPINFO.xlsm]"&amp;$O$2&amp;"!n42")) = 0," ",(INDIRECT("[EMPINFO.xlsm]"&amp;$O$2&amp;"!n42")
))</f>
        <v xml:space="preserve"> </v>
      </c>
      <c r="AB42" s="445" t="s">
        <v>165</v>
      </c>
      <c r="AC42" s="446" t="str">
        <f ca="1">IF((INDIRECT("[EMPINFO.xlsm]"&amp;$O$2&amp;"!p42")) = 0," ",(INDIRECT("[EMPINFO.xlsm]"&amp;$O$2&amp;"!p42")
))</f>
        <v xml:space="preserve"> </v>
      </c>
      <c r="AD42" s="446" t="str">
        <f ca="1">IF((INDIRECT("[EMPINFO.xlsm]"&amp;$O$2&amp;"!q42")) = 0," ",(INDIRECT("[EMPINFO.xlsm]"&amp;$O$2&amp;"!q42")
))</f>
        <v xml:space="preserve"> </v>
      </c>
      <c r="AJ42" s="55"/>
      <c r="AK42" s="67"/>
    </row>
    <row r="43" spans="1:37" ht="16.149999999999999" customHeight="1" thickBot="1" x14ac:dyDescent="0.3">
      <c r="A43" s="54"/>
      <c r="L43" s="101"/>
      <c r="N43" s="420"/>
      <c r="O43" s="344">
        <f>+ID</f>
        <v>2024002</v>
      </c>
      <c r="P43" s="365" t="s">
        <v>172</v>
      </c>
      <c r="Q43" s="365"/>
      <c r="R43" s="366"/>
      <c r="S43" s="367">
        <f ca="1">INDEX(PYRL_Summary,MATCH(O41,months,0),11)</f>
        <v>13.67244</v>
      </c>
      <c r="T43" s="368" t="str">
        <f ca="1">IF((INDEX(PYRL_Summary,MATCH(O41,months,0),19))&gt;=0.01, "Overtime Tax"," ")</f>
        <v xml:space="preserve"> </v>
      </c>
      <c r="U43" s="369"/>
      <c r="V43" s="370">
        <f ca="1">INDEX(PYRL_Summary,MATCH(O41,months,0),19)</f>
        <v>0</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f ca="1">INDEX(PYRL_Summary,MATCH(O41,months,0),10)</f>
        <v>0</v>
      </c>
      <c r="T44" s="189" t="s">
        <v>176</v>
      </c>
      <c r="U44" s="190"/>
      <c r="V44" s="350">
        <f ca="1">INDEX(PYRL_Summary,MATCH(O41,months,0),15)</f>
        <v>1</v>
      </c>
      <c r="X44" s="577"/>
    </row>
    <row r="45" spans="1:37" ht="20.45" customHeight="1" thickBot="1" x14ac:dyDescent="0.3">
      <c r="A45" s="54"/>
      <c r="B45" s="1" t="s">
        <v>206</v>
      </c>
      <c r="C45" s="927" t="s">
        <v>6</v>
      </c>
      <c r="D45" s="859"/>
      <c r="E45" s="859"/>
      <c r="F45" s="857"/>
      <c r="I45" s="73" t="s">
        <v>12</v>
      </c>
      <c r="L45" s="101"/>
      <c r="N45" s="420"/>
      <c r="O45" s="345" t="str">
        <f ca="1">IF(INDEX(INDAT,MATCH(O41,(INDIRECT(("months"),TRUE)),0),4)&gt;=0.01, "Performance Bonus"," ")</f>
        <v>Performance Bonus</v>
      </c>
      <c r="P45" s="100">
        <f ca="1">IF((INDEX(PYRL_Summary,MATCH(O41,months,0),12)&gt;=0.01),(INDEX(PYRL_Summary,MATCH(O41,months,0),12)),0)</f>
        <v>0</v>
      </c>
      <c r="Q45" s="99" t="str">
        <f ca="1">IF(INDEX(INDAT,MATCH(O41,(INDIRECT(("months"),TRUE)),0),5)&gt;=0.01, "Sup
 Bonus"," ")</f>
        <v xml:space="preserve"> </v>
      </c>
      <c r="R45" s="100">
        <f ca="1">IF((INDEX(PYRL_Summary,MATCH(O41,months,0),13)&gt;=0.01),(INDEX(PYRL_Summary,MATCH(O41,months,0),13)),0)</f>
        <v>0</v>
      </c>
      <c r="S45" s="102">
        <f ca="1">+P45+R45</f>
        <v>0</v>
      </c>
      <c r="T45" s="889" t="str">
        <f>+IBAN</f>
        <v>MT97VALL22013000000017316123017</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str">
        <f ca="1">IF(INDEX(INDAT,MATCH(O41,(INDIRECT(("months"),TRUE)),0),14)&gt;=0.01, "Overtime Hours"," ")</f>
        <v xml:space="preserve"> </v>
      </c>
      <c r="P46" s="199"/>
      <c r="Q46" s="199">
        <f ca="1">IF((INDEX(PYRL_Summary,MATCH(O41,months,0),16)&gt;=0.01),(INDEX(PYRL_Summary,MATCH(O41,months,0),16)&amp;" HRS"),0)</f>
        <v>0</v>
      </c>
      <c r="R46" s="198"/>
      <c r="S46" s="355">
        <f ca="1">IF((INDEX(PYRL_Summary,MATCH(O41,months,0),18)&gt;=0.01),(INDEX(PYRL_Summary,MATCH(O41,months,0),18)&amp;" HRS"),0)</f>
        <v>0</v>
      </c>
      <c r="T46" s="417" t="s">
        <v>178</v>
      </c>
      <c r="U46" s="418">
        <f ca="1">+(SUM(S40:S46))-(SUM(V41:V44))</f>
        <v>12.67244</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f ca="1">(INDEX(PYRL_Summary,MATCH(P47,months,1),32))</f>
        <v>0</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f ca="1">INDEX(PYRL_Summary,MATCH(O41,months,0),4)</f>
        <v>5</v>
      </c>
      <c r="O48" s="389" t="s">
        <v>187</v>
      </c>
      <c r="P48" s="390">
        <f>+O31</f>
        <v>46054</v>
      </c>
      <c r="Q48" s="391">
        <f ca="1">INDEX(PYRL_Summary,MATCH(P48,months,0),31)</f>
        <v>0</v>
      </c>
      <c r="R48" s="392" t="s">
        <v>188</v>
      </c>
      <c r="S48" s="393">
        <f ca="1">INDEX(PYRL_Summary,MATCH(O41,months,0),33)</f>
        <v>0</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f ca="1">IF(OR(INDEX(PYRL_Summary,MATCH(O51,months,0),28)="pt",INDEX(PYRL_Summary,MATCH(O51,months,0),28)="pt_casual"),0,IF(N52-N51&gt;=1,1,0))</f>
        <v>0</v>
      </c>
      <c r="O49" s="908" t="str">
        <f>Surname&amp;" "&amp;Name</f>
        <v>Ellul Maria</v>
      </c>
      <c r="P49" s="394" t="str">
        <f>+IDCard</f>
        <v>302481M</v>
      </c>
      <c r="Q49" s="395" t="str">
        <f>+designation</f>
        <v>9. Receptionist</v>
      </c>
      <c r="R49" s="396" t="s">
        <v>156</v>
      </c>
      <c r="S49" s="397">
        <f ca="1">+S50+S53+S52+S54+S55+S56+S51</f>
        <v>0</v>
      </c>
      <c r="T49" s="431">
        <f>+FS4_Status</f>
        <v>0</v>
      </c>
      <c r="U49" s="573" t="str">
        <f ca="1">INDEX(INDAT,MATCH(O51,(INDIRECT(("months"),TRUE)),0),26)</f>
        <v>PT_CASUAL</v>
      </c>
      <c r="V49" s="432">
        <f ca="1">INDEX(INDAT,MATCH(O51,(INDIRECT(("months"),TRUE)),0),25)</f>
        <v>0</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f ca="1">IF(AND(OR((INDEX(PYRL_Summary,MATCH(O51,months,0),28))="PT",( INDEX(PYRL_Summary,MATCH(O51,months,0),28))="PT_casual" ),(N52-N51&gt;=1)),1,0)</f>
        <v>1</v>
      </c>
      <c r="O50" s="909"/>
      <c r="P50" s="415" t="s">
        <v>161</v>
      </c>
      <c r="Q50" s="414">
        <f ca="1">INDEX(PYRL_Summary,MATCH(O51,months,0),5)</f>
        <v>0</v>
      </c>
      <c r="R50" s="398" t="s">
        <v>94</v>
      </c>
      <c r="S50" s="399">
        <f ca="1">INDEX(PYRL_Summary,MATCH(O51,months,0),7)</f>
        <v>0</v>
      </c>
      <c r="T50" s="400" t="s">
        <v>162</v>
      </c>
      <c r="U50" s="401" t="s">
        <v>163</v>
      </c>
      <c r="V50" s="402" t="s">
        <v>164</v>
      </c>
      <c r="Z50" s="446" t="str">
        <f ca="1">IF((INDIRECT("[EMPINFO.xlsm]"&amp;$O$2&amp;"!M50")) = 0," ",(INDIRECT("[EMPINFO.xlsm]"&amp;$O$2&amp;"!M50")
))</f>
        <v xml:space="preserve"> </v>
      </c>
      <c r="AA50" s="446" t="str">
        <f ca="1">IF((INDIRECT("[EMPINFO.xlsm]"&amp;$O$2&amp;"!n50")) = 0," ",(INDIRECT("[EMPINFO.xlsm]"&amp;$O$2&amp;"!n50")
))</f>
        <v xml:space="preserve"> </v>
      </c>
      <c r="AB50" s="444" t="s">
        <v>165</v>
      </c>
      <c r="AC50" s="446" t="str">
        <f ca="1">IF((INDIRECT("[EMPINFO.xlsm]"&amp;$O$2&amp;"!p50")) = 0," ",(INDIRECT("[EMPINFO.xlsm]"&amp;$O$2&amp;"!p50")
))</f>
        <v xml:space="preserve"> </v>
      </c>
      <c r="AD50" s="446" t="str">
        <f ca="1">IF((INDIRECT("[EMPINFO.xlsm]"&amp;$O$2&amp;"!q50")) = 0," ",(INDIRECT("[EMPINFO.xlsm]"&amp;$O$2&amp;"!q50")
))</f>
        <v xml:space="preserve"> </v>
      </c>
    </row>
    <row r="51" spans="1:37" ht="22.15" customHeight="1" thickBot="1" x14ac:dyDescent="0.3">
      <c r="A51" s="54"/>
      <c r="B51" s="6" t="s">
        <v>18</v>
      </c>
      <c r="C51" s="927" t="s">
        <v>213</v>
      </c>
      <c r="D51" s="859"/>
      <c r="E51" s="859"/>
      <c r="F51" s="857"/>
      <c r="H51" s="73" t="s">
        <v>82</v>
      </c>
      <c r="I51" s="941">
        <f>+I14</f>
        <v>46387</v>
      </c>
      <c r="J51" s="859"/>
      <c r="K51" s="857"/>
      <c r="L51" s="101"/>
      <c r="N51" s="405">
        <f>IF(TERMDATE&lt;O51,0,IF(StartEmp&lt;=O51,O51,(IF(AND(StartEmp&gt;=O51,StartEmp&lt;=O61),StartEmp,0))))</f>
        <v>46113</v>
      </c>
      <c r="O51" s="343">
        <f>+W49</f>
        <v>46113</v>
      </c>
      <c r="P51" s="191" t="str">
        <f>IF(AN34="PT","Hours Worked","Extra/ under Hours")</f>
        <v>Extra/ under Hours</v>
      </c>
      <c r="Q51" s="192"/>
      <c r="R51" s="192" t="str">
        <f ca="1">INDEX(PYRL_Summary,MATCH(O51,months,0),41)&amp;" HRS"</f>
        <v>0 HRS</v>
      </c>
      <c r="S51" s="193">
        <f ca="1">INDEX(PYRL_Summary,MATCH(O51,months,0),41)*aprhrrt</f>
        <v>0</v>
      </c>
      <c r="T51" s="357">
        <f ca="1">+U51+V51</f>
        <v>0</v>
      </c>
      <c r="U51" s="358">
        <f ca="1">INDEX(PYRL_Summary,MATCH(O51,months,0),22)</f>
        <v>0</v>
      </c>
      <c r="V51" s="359">
        <f ca="1">INDEX(PYRL_Summary,MATCH(O51,months,0),23)</f>
        <v>0</v>
      </c>
      <c r="Z51" s="446" t="str">
        <f ca="1">IF((INDIRECT("[EMPINFO.xlsm]"&amp;$O$2&amp;"!M51")) = 0," ",(INDIRECT("[EMPINFO.xlsm]"&amp;$O$2&amp;"!M51")
))</f>
        <v xml:space="preserve"> </v>
      </c>
      <c r="AA51" s="446" t="str">
        <f ca="1">IF((INDIRECT("[EMPINFO.xlsm]"&amp;$O$2&amp;"!n51")) = 0," ",(INDIRECT("[EMPINFO.xlsm]"&amp;$O$2&amp;"!n51")
))</f>
        <v xml:space="preserve"> </v>
      </c>
      <c r="AB51" s="445" t="s">
        <v>165</v>
      </c>
      <c r="AC51" s="446" t="str">
        <f ca="1">IF((INDIRECT("[EMPINFO.xlsm]"&amp;$O$2&amp;"!p51")) = 0," ",(INDIRECT("[EMPINFO.xlsm]"&amp;$O$2&amp;"!p51")
))</f>
        <v xml:space="preserve"> </v>
      </c>
      <c r="AD51" s="446" t="str">
        <f ca="1">IF((INDIRECT("[EMPINFO.xlsm]"&amp;$O$2&amp;"!q51")) = 0," ",(INDIRECT("[EMPINFO.xlsm]"&amp;$O$2&amp;"!q51")
))</f>
        <v xml:space="preserve"> </v>
      </c>
    </row>
    <row r="52" spans="1:37" ht="20.25" customHeight="1" thickBot="1" x14ac:dyDescent="0.3">
      <c r="A52" s="54"/>
      <c r="B52" s="906" t="s">
        <v>21</v>
      </c>
      <c r="C52" s="928"/>
      <c r="D52" s="922"/>
      <c r="E52" s="922"/>
      <c r="F52" s="886"/>
      <c r="G52" s="912" t="s">
        <v>214</v>
      </c>
      <c r="H52" s="901"/>
      <c r="I52" s="901"/>
      <c r="J52" s="901"/>
      <c r="K52" s="901"/>
      <c r="L52" s="913"/>
      <c r="N52" s="405">
        <f>+IF(StartEmp&gt;=O61,0,IF(TERMDATE&gt;=O61,O61-1,(IF(AND(TERMDATE&lt;O61,TERMDATE&gt;=O51),TERMDATE,0))))</f>
        <v>46142</v>
      </c>
      <c r="O52" s="341" t="s">
        <v>170</v>
      </c>
      <c r="P52" s="342" t="s">
        <v>171</v>
      </c>
      <c r="Q52" s="300">
        <f>+O41</f>
        <v>46082</v>
      </c>
      <c r="R52" s="184" t="str">
        <f ca="1">INDEX(PYRL_Summary,MATCH(O41,months,0),39)&amp;" HRS"</f>
        <v>0 HRS</v>
      </c>
      <c r="S52" s="193">
        <f ca="1">INDEX(PYRL_Summary,MATCH(O41,months,0),9)</f>
        <v>0</v>
      </c>
      <c r="T52" s="186" t="s">
        <v>72</v>
      </c>
      <c r="U52" s="187">
        <f ca="1">INDEX(PYRL_Summary,MATCH(O51,months,0),25)</f>
        <v>0</v>
      </c>
      <c r="V52" s="348"/>
      <c r="Z52" s="446" t="str">
        <f ca="1">IF((INDIRECT("[EMPINFO.xlsm]"&amp;$O$2&amp;"!M52")) = 0," ",(INDIRECT("[EMPINFO.xlsm]"&amp;$O$2&amp;"!M52")
))</f>
        <v xml:space="preserve"> </v>
      </c>
      <c r="AA52" s="446" t="str">
        <f ca="1">IF((INDIRECT("[EMPINFO.xlsm]"&amp;$O$2&amp;"!n52")) = 0," ",(INDIRECT("[EMPINFO.xlsm]"&amp;$O$2&amp;"!n52")
))</f>
        <v xml:space="preserve"> </v>
      </c>
      <c r="AB52" s="445" t="s">
        <v>165</v>
      </c>
      <c r="AC52" s="446" t="str">
        <f ca="1">IF((INDIRECT("[EMPINFO.xlsm]"&amp;$O$2&amp;"!p52")) = 0," ",(INDIRECT("[EMPINFO.xlsm]"&amp;$O$2&amp;"!p52")
))</f>
        <v xml:space="preserve"> </v>
      </c>
      <c r="AD52" s="446" t="str">
        <f ca="1">IF((INDIRECT("[EMPINFO.xlsm]"&amp;$O$2&amp;"!q52")) = 0," ",(INDIRECT("[EMPINFO.xlsm]"&amp;$O$2&amp;"!q52")
))</f>
        <v xml:space="preserve"> </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2024002</v>
      </c>
      <c r="P53" s="195" t="s">
        <v>172</v>
      </c>
      <c r="Q53" s="195"/>
      <c r="R53" s="194"/>
      <c r="S53" s="193">
        <f>INDEX(PYRL_Summary,MATCH(O51,months,0),11)</f>
        <v>0</v>
      </c>
      <c r="T53" s="196" t="str">
        <f ca="1">IF((INDEX(PYRL_Summary,MATCH(O51,months,0),19))&gt;=0.01, "Overtime Tax"," ")</f>
        <v xml:space="preserve"> </v>
      </c>
      <c r="U53" s="197"/>
      <c r="V53" s="349">
        <f ca="1">INDEX(PYRL_Summary,MATCH(O51,months,0),19)</f>
        <v>0</v>
      </c>
      <c r="X53" s="412">
        <f>+$O$7</f>
        <v>46113</v>
      </c>
      <c r="AJ53" s="55"/>
    </row>
    <row r="54" spans="1:37" ht="20.25" customHeight="1" thickBot="1" x14ac:dyDescent="0.35">
      <c r="N54" s="404"/>
      <c r="O54" s="188" t="s">
        <v>175</v>
      </c>
      <c r="P54" s="188"/>
      <c r="Q54" s="188"/>
      <c r="R54" s="200">
        <v>0</v>
      </c>
      <c r="S54" s="185">
        <f ca="1">INDEX(PYRL_Summary,MATCH(O51,months,0),10)</f>
        <v>0</v>
      </c>
      <c r="T54" s="189" t="s">
        <v>176</v>
      </c>
      <c r="U54" s="190"/>
      <c r="V54" s="350">
        <f ca="1">INDEX(PYRL_Summary,MATCH(O51,months,0),15)</f>
        <v>0</v>
      </c>
      <c r="X54" s="577"/>
    </row>
    <row r="55" spans="1:37" ht="15.75" customHeight="1" thickBot="1" x14ac:dyDescent="0.3">
      <c r="N55" s="404"/>
      <c r="O55" s="345" t="str">
        <f ca="1">IF(INDEX(INDAT,MATCH(O51,(INDIRECT(("months"),TRUE)),0),4)&gt;=0.01, "Performance Bonus"," ")</f>
        <v>Performance Bonus</v>
      </c>
      <c r="P55" s="100">
        <f ca="1">IF((INDEX(PYRL_Summary,MATCH(O51,months,0),12)&gt;=0.01),(INDEX(PYRL_Summary,MATCH(O51,months,0),12)),0)</f>
        <v>0</v>
      </c>
      <c r="Q55" s="99" t="str">
        <f ca="1">IF(INDEX(INDAT,MATCH(O51,(INDIRECT(("months"),TRUE)),0),5)&gt;=0.01, "Sup
 Bonus"," ")</f>
        <v xml:space="preserve"> </v>
      </c>
      <c r="R55" s="100">
        <f ca="1">IF((INDEX(PYRL_Summary,MATCH(O51,months,0),13)&gt;=0.01),(INDEX(PYRL_Summary,MATCH(O51,months,0),13)),0)</f>
        <v>0</v>
      </c>
      <c r="S55" s="102">
        <f ca="1">+P55+R55</f>
        <v>0</v>
      </c>
      <c r="T55" s="889" t="str">
        <f>+IBAN</f>
        <v>MT97VALL22013000000017316123017</v>
      </c>
      <c r="U55" s="890"/>
      <c r="V55" s="891"/>
    </row>
    <row r="56" spans="1:37" ht="16.5" customHeight="1" thickBot="1" x14ac:dyDescent="0.3">
      <c r="E56" s="116" t="s">
        <v>215</v>
      </c>
      <c r="F56" s="115" t="str">
        <f>INDEX([1]!empdata,MATCH(ID,[1]!empid,0),17)</f>
        <v>MT97VALL22013000000017316123017</v>
      </c>
      <c r="G56" s="56"/>
      <c r="H56" s="63"/>
      <c r="N56" s="404"/>
      <c r="O56" s="346" t="str">
        <f ca="1">IF(INDEX(INDAT,MATCH(O51,(INDIRECT(("months"),TRUE)),0),14)&gt;=0.01, "Overtime Hours"," ")</f>
        <v xml:space="preserve"> </v>
      </c>
      <c r="P56" s="199"/>
      <c r="Q56" s="199">
        <f ca="1">IF((INDEX(PYRL_Summary,MATCH(O51,months,0),16)&gt;=0.01),(INDEX(PYRL_Summary,MATCH(O51,months,0),16)&amp;" HRS"),0)</f>
        <v>0</v>
      </c>
      <c r="R56" s="198"/>
      <c r="S56" s="355">
        <f ca="1">IF((INDEX(PYRL_Summary,MATCH(O51,months,0),18)&gt;=0.01),(INDEX(PYRL_Summary,MATCH(O51,months,0),18)&amp;" HRS"),0)</f>
        <v>0</v>
      </c>
      <c r="T56" s="417" t="s">
        <v>178</v>
      </c>
      <c r="U56" s="418">
        <f ca="1">+(SUM(S50:S56))-(SUM(V51:V54))</f>
        <v>0</v>
      </c>
      <c r="V56" s="418"/>
    </row>
    <row r="57" spans="1:37" ht="26.25" customHeight="1" thickBot="1" x14ac:dyDescent="0.3">
      <c r="E57" s="116" t="s">
        <v>216</v>
      </c>
      <c r="F57" s="340" t="str">
        <f>INDEX([1]!empdata,MATCH(ID,[1]!empid,0),12)</f>
        <v>mariaellul18@yahoo.co.uk</v>
      </c>
      <c r="G57" s="56"/>
      <c r="H57" s="63"/>
      <c r="N57" s="413" t="s">
        <v>180</v>
      </c>
      <c r="O57" s="352" t="s">
        <v>181</v>
      </c>
      <c r="P57" s="351">
        <f>+O41</f>
        <v>46082</v>
      </c>
      <c r="Q57" s="353">
        <f ca="1">(INDEX(PYRL_Summary,MATCH(P57,months,1),32))</f>
        <v>0</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f>INDEX([1]!empdata,MATCH(ID,[1]!empid,0),13)</f>
        <v>29755</v>
      </c>
      <c r="G58" s="56"/>
      <c r="H58" s="63"/>
      <c r="N58" s="406">
        <f ca="1">INDEX(PYRL_Summary,MATCH(O51,months,0),4)</f>
        <v>4</v>
      </c>
      <c r="O58" s="407" t="s">
        <v>187</v>
      </c>
      <c r="P58" s="408">
        <f>+O41</f>
        <v>46082</v>
      </c>
      <c r="Q58" s="409">
        <f ca="1">INDEX(PYRL_Summary,MATCH(P58,months,0),31)</f>
        <v>0</v>
      </c>
      <c r="R58" s="410" t="s">
        <v>188</v>
      </c>
      <c r="S58" s="411">
        <f ca="1">INDEX(PYRL_Summary,MATCH(O51,months,0),33)</f>
        <v>0</v>
      </c>
      <c r="T58" s="428" t="str">
        <f>+Clinic_add</f>
        <v>7,  Mediatrix, Sanctuary Str. Zabbar ZBR1010
8, Mediatrix, Guze Duca Str., Qormi QRM9088</v>
      </c>
      <c r="U58" s="429"/>
      <c r="V58" s="430" t="s">
        <v>189</v>
      </c>
    </row>
    <row r="59" spans="1:37" ht="27" customHeight="1" thickBot="1" x14ac:dyDescent="0.3">
      <c r="E59" s="116" t="s">
        <v>218</v>
      </c>
      <c r="F59" s="115">
        <f>INDEX([1]!empdata,MATCH(ID,[1]!empid,0),5)</f>
        <v>45383</v>
      </c>
      <c r="G59" s="56"/>
      <c r="H59" s="63"/>
      <c r="N59" s="386">
        <f ca="1">IF(OR(INDEX(PYRL_Summary,MATCH(O61,months,0),28)="pt",INDEX(PYRL_Summary,MATCH(O61,months,0),28)="pt_casual"),0,IF(N62-N61&gt;=1,1,0))</f>
        <v>0</v>
      </c>
      <c r="O59" s="894" t="str">
        <f>Surname&amp;" "&amp;Name</f>
        <v>Ellul Maria</v>
      </c>
      <c r="P59" s="374" t="str">
        <f>+IDCard</f>
        <v>302481M</v>
      </c>
      <c r="Q59" s="375" t="str">
        <f>+designation</f>
        <v>9. Receptionist</v>
      </c>
      <c r="R59" s="376" t="s">
        <v>156</v>
      </c>
      <c r="S59" s="377">
        <f ca="1">+S60+S63+S62+S64+S65+S66+S61</f>
        <v>0</v>
      </c>
      <c r="T59" s="378">
        <f>+FS4_Status</f>
        <v>0</v>
      </c>
      <c r="U59" s="572" t="str">
        <f ca="1">INDEX(INDAT,MATCH(O61,(INDIRECT(("months"),TRUE)),0),26)</f>
        <v>PT_CASUAL</v>
      </c>
      <c r="V59" s="379">
        <f ca="1">INDEX(INDAT,MATCH(O61,(INDIRECT(("months"),TRUE)),0),25)</f>
        <v>0</v>
      </c>
      <c r="W59" s="422">
        <f>+$O$8</f>
        <v>46143</v>
      </c>
      <c r="X59" s="423"/>
      <c r="Y59" s="423"/>
      <c r="Z59" s="73"/>
      <c r="AA59" s="73"/>
    </row>
    <row r="60" spans="1:37" ht="20.25" customHeight="1" thickBot="1" x14ac:dyDescent="0.3">
      <c r="E60" s="116" t="s">
        <v>219</v>
      </c>
      <c r="F60" s="115" t="str">
        <f>INDEX([1]!empdata,MATCH(ID,[1]!empid,0),8)</f>
        <v>9. Receptionist</v>
      </c>
      <c r="G60" s="56"/>
      <c r="H60" s="63"/>
      <c r="N60" s="387">
        <f ca="1">IF(AND(OR((INDEX(PYRL_Summary,MATCH(O61,months,0),28))="PT",( INDEX(PYRL_Summary,MATCH(O61,months,0),28))="PT_casual" ),(N62-N61&gt;=1)),1,0)</f>
        <v>1</v>
      </c>
      <c r="O60" s="895"/>
      <c r="P60" s="416" t="s">
        <v>161</v>
      </c>
      <c r="Q60" s="380">
        <f ca="1">INDEX(PYRL_Summary,MATCH(O61,months,0),5)</f>
        <v>0</v>
      </c>
      <c r="R60" s="381" t="s">
        <v>94</v>
      </c>
      <c r="S60" s="382">
        <f ca="1">INDEX(PYRL_Summary,MATCH(O61,months,0),7)</f>
        <v>0</v>
      </c>
      <c r="T60" s="383" t="s">
        <v>162</v>
      </c>
      <c r="U60" s="384" t="s">
        <v>163</v>
      </c>
      <c r="V60" s="385" t="s">
        <v>164</v>
      </c>
      <c r="Z60" s="446" t="str">
        <f ca="1">IF((INDIRECT("[EMPINFO.xlsm]"&amp;$O$2&amp;"!M60")) = 0," ",(INDIRECT("[EMPINFO.xlsm]"&amp;$O$2&amp;"!M60")
))</f>
        <v xml:space="preserve"> </v>
      </c>
      <c r="AA60" s="446" t="str">
        <f ca="1">IF((INDIRECT("[EMPINFO.xlsm]"&amp;$O$2&amp;"!n60")) = 0," ",(INDIRECT("[EMPINFO.xlsm]"&amp;$O$2&amp;"!n60")
))</f>
        <v xml:space="preserve"> </v>
      </c>
      <c r="AB60" s="444" t="s">
        <v>165</v>
      </c>
      <c r="AC60" s="446" t="str">
        <f ca="1">IF((INDIRECT("[EMPINFO.xlsm]"&amp;$O$2&amp;"!p60")) = 0," ",(INDIRECT("[EMPINFO.xlsm]"&amp;$O$2&amp;"!p60")
))</f>
        <v xml:space="preserve"> </v>
      </c>
      <c r="AD60" s="446" t="str">
        <f ca="1">IF((INDIRECT("[EMPINFO.xlsm]"&amp;$O$2&amp;"!q60")) = 0," ",(INDIRECT("[EMPINFO.xlsm]"&amp;$O$2&amp;"!q60")
))</f>
        <v xml:space="preserve"> </v>
      </c>
    </row>
    <row r="61" spans="1:37" ht="15.75" customHeight="1" thickBot="1" x14ac:dyDescent="0.3">
      <c r="E61" s="116" t="s">
        <v>220</v>
      </c>
      <c r="F61" s="115" t="str">
        <f>INDEX([1]!empdata,MATCH(ID,[1]!empid,0),25)</f>
        <v>PT_CASUAL</v>
      </c>
      <c r="G61" s="56"/>
      <c r="H61" s="63"/>
      <c r="N61" s="419">
        <f>IF(TERMDATE&lt;O61,0,IF(StartEmp&lt;=O61,O61,(IF(AND(StartEmp&gt;=O61,StartEmp&lt;=O71),StartEmp,0))))</f>
        <v>46143</v>
      </c>
      <c r="O61" s="343">
        <f>+W59</f>
        <v>46143</v>
      </c>
      <c r="P61" s="371" t="str">
        <f>IF(AN44="PT","Hours Worked","Extra/ under Hours")</f>
        <v>Extra/ under Hours</v>
      </c>
      <c r="Q61" s="99"/>
      <c r="R61" s="99" t="str">
        <f ca="1">INDEX(PYRL_Summary,MATCH(O61,months,0),41)&amp;" HRS"</f>
        <v>0 HRS</v>
      </c>
      <c r="S61" s="367">
        <f ca="1">INDEX(PYRL_Summary,MATCH(O61,months,0),41)*mayhrrt</f>
        <v>0</v>
      </c>
      <c r="T61" s="372">
        <f ca="1">+U61+V61</f>
        <v>0</v>
      </c>
      <c r="U61" s="372">
        <f ca="1">INDEX(PYRL_Summary,MATCH(O61,months,0),22)</f>
        <v>0</v>
      </c>
      <c r="V61" s="373">
        <f ca="1">INDEX(PYRL_Summary,MATCH(O61,months,0),23)</f>
        <v>0</v>
      </c>
      <c r="Z61" s="446" t="str">
        <f ca="1">IF((INDIRECT("[EMPINFO.xlsm]"&amp;$O$2&amp;"!M61")) = 0," ",(INDIRECT("[EMPINFO.xlsm]"&amp;$O$2&amp;"!M61")
))</f>
        <v xml:space="preserve"> </v>
      </c>
      <c r="AA61" s="446" t="str">
        <f ca="1">IF((INDIRECT("[EMPINFO.xlsm]"&amp;$O$2&amp;"!n61")) = 0," ",(INDIRECT("[EMPINFO.xlsm]"&amp;$O$2&amp;"!n61")
))</f>
        <v xml:space="preserve"> </v>
      </c>
      <c r="AB61" s="445" t="s">
        <v>165</v>
      </c>
      <c r="AC61" s="446" t="str">
        <f ca="1">IF((INDIRECT("[EMPINFO.xlsm]"&amp;$O$2&amp;"!p61")) = 0," ",(INDIRECT("[EMPINFO.xlsm]"&amp;$O$2&amp;"!p61")
))</f>
        <v xml:space="preserve"> </v>
      </c>
      <c r="AD61" s="446" t="str">
        <f ca="1">IF((INDIRECT("[EMPINFO.xlsm]"&amp;$O$2&amp;"!q61")) = 0," ",(INDIRECT("[EMPINFO.xlsm]"&amp;$O$2&amp;"!q61")
))</f>
        <v xml:space="preserve"> </v>
      </c>
    </row>
    <row r="62" spans="1:37" ht="24" customHeight="1" thickBot="1" x14ac:dyDescent="0.3">
      <c r="E62" s="116" t="s">
        <v>221</v>
      </c>
      <c r="F62" s="115">
        <f>INDEX([1]!empdata,MATCH(ID,[1]!empid,0),15)</f>
        <v>0</v>
      </c>
      <c r="G62" s="56"/>
      <c r="H62" s="63"/>
      <c r="N62" s="419">
        <f>+IF(StartEmp&gt;=O71,0,IF(TERMDATE&gt;=O71,O71-1,(IF(AND(TERMDATE&lt;O71,TERMDATE&gt;=O61),TERMDATE,0))))</f>
        <v>46173</v>
      </c>
      <c r="O62" s="341" t="s">
        <v>170</v>
      </c>
      <c r="P62" s="342" t="s">
        <v>171</v>
      </c>
      <c r="Q62" s="300">
        <f>+O51</f>
        <v>46113</v>
      </c>
      <c r="R62" s="184" t="str">
        <f ca="1">INDEX(PYRL_Summary,MATCH(O51,months,0),39)&amp;" HRS"</f>
        <v>0 HRS</v>
      </c>
      <c r="S62" s="193">
        <f ca="1">INDEX(PYRL_Summary,MATCH(O51,months,0),9)</f>
        <v>0</v>
      </c>
      <c r="T62" s="186" t="s">
        <v>72</v>
      </c>
      <c r="U62" s="187">
        <f ca="1">INDEX(PYRL_Summary,MATCH(O61,months,0),25)</f>
        <v>0</v>
      </c>
      <c r="V62" s="348"/>
      <c r="Z62" s="446" t="str">
        <f ca="1">IF((INDIRECT("[EMPINFO.xlsm]"&amp;$O$2&amp;"!M62")) = 0," ",(INDIRECT("[EMPINFO.xlsm]"&amp;$O$2&amp;"!M62")
))</f>
        <v xml:space="preserve"> </v>
      </c>
      <c r="AA62" s="446" t="str">
        <f ca="1">IF((INDIRECT("[EMPINFO.xlsm]"&amp;$O$2&amp;"!n62")) = 0," ",(INDIRECT("[EMPINFO.xlsm]"&amp;$O$2&amp;"!n62")
))</f>
        <v xml:space="preserve"> </v>
      </c>
      <c r="AB62" s="445" t="s">
        <v>165</v>
      </c>
      <c r="AC62" s="446" t="str">
        <f ca="1">IF((INDIRECT("[EMPINFO.xlsm]"&amp;$O$2&amp;"!p62")) = 0," ",(INDIRECT("[EMPINFO.xlsm]"&amp;$O$2&amp;"!p62")
))</f>
        <v xml:space="preserve"> </v>
      </c>
      <c r="AD62" s="446" t="str">
        <f ca="1">IF((INDIRECT("[EMPINFO.xlsm]"&amp;$O$2&amp;"!q62")) = 0," ",(INDIRECT("[EMPINFO.xlsm]"&amp;$O$2&amp;"!q62")
))</f>
        <v xml:space="preserve"> </v>
      </c>
      <c r="AJ62" s="55"/>
      <c r="AK62" s="67"/>
    </row>
    <row r="63" spans="1:37" ht="16.149999999999999" customHeight="1" thickBot="1" x14ac:dyDescent="0.3">
      <c r="E63" s="116" t="s">
        <v>222</v>
      </c>
      <c r="F63" s="115">
        <f>INDEX([1]!empdata,MATCH(ID,[1]!empid,0),29)</f>
        <v>46387</v>
      </c>
      <c r="G63" s="56"/>
      <c r="H63" s="63"/>
      <c r="N63" s="420"/>
      <c r="O63" s="344">
        <f>+ID</f>
        <v>2024002</v>
      </c>
      <c r="P63" s="365" t="s">
        <v>172</v>
      </c>
      <c r="Q63" s="365"/>
      <c r="R63" s="366"/>
      <c r="S63" s="367">
        <f>INDEX(PYRL_Summary,MATCH(O61,months,0),11)</f>
        <v>0</v>
      </c>
      <c r="T63" s="368" t="str">
        <f ca="1">IF((INDEX(PYRL_Summary,MATCH(O61,months,0),19))&gt;=0.01, "Overtime Tax"," ")</f>
        <v xml:space="preserve"> </v>
      </c>
      <c r="U63" s="369"/>
      <c r="V63" s="370">
        <f ca="1">INDEX(PYRL_Summary,MATCH(O61,months,0),19)</f>
        <v>0</v>
      </c>
      <c r="X63" s="422">
        <f>+$O$8</f>
        <v>46143</v>
      </c>
      <c r="AJ63" s="55"/>
    </row>
    <row r="64" spans="1:37" ht="18" customHeight="1" thickBot="1" x14ac:dyDescent="0.35">
      <c r="E64" s="925" t="s">
        <v>223</v>
      </c>
      <c r="F64" s="926"/>
      <c r="G64" s="62">
        <v>0</v>
      </c>
      <c r="H64" s="79"/>
      <c r="N64" s="420"/>
      <c r="O64" s="188" t="s">
        <v>175</v>
      </c>
      <c r="P64" s="188"/>
      <c r="Q64" s="188"/>
      <c r="R64" s="200">
        <v>0</v>
      </c>
      <c r="S64" s="185">
        <f ca="1">INDEX(PYRL_Summary,MATCH(O61,months,0),10)</f>
        <v>0</v>
      </c>
      <c r="T64" s="189" t="s">
        <v>176</v>
      </c>
      <c r="U64" s="190"/>
      <c r="V64" s="350">
        <f ca="1">INDEX(PYRL_Summary,MATCH(O61,months,0),15)</f>
        <v>0</v>
      </c>
      <c r="X64" s="577"/>
    </row>
    <row r="65" spans="5:37" ht="15.75" customHeight="1" thickBot="1" x14ac:dyDescent="0.3">
      <c r="E65" s="925" t="s">
        <v>224</v>
      </c>
      <c r="F65" s="926"/>
      <c r="G65" s="103">
        <f ca="1">+Med_Tot</f>
        <v>1115.7889153846156</v>
      </c>
      <c r="H65" s="113" t="s">
        <v>225</v>
      </c>
      <c r="N65" s="420"/>
      <c r="O65" s="345" t="str">
        <f ca="1">IF(INDEX(INDAT,MATCH(O61,(INDIRECT(("months"),TRUE)),0),4)&gt;=0.01, "Performance Bonus"," ")</f>
        <v>Performance Bonus</v>
      </c>
      <c r="P65" s="100">
        <f ca="1">IF((INDEX(PYRL_Summary,MATCH(O61,months,0),12)&gt;=0.01),(INDEX(PYRL_Summary,MATCH(O61,months,0),12)),0)</f>
        <v>0</v>
      </c>
      <c r="Q65" s="99" t="str">
        <f ca="1">IF(INDEX(INDAT,MATCH(O61,(INDIRECT(("months"),TRUE)),0),5)&gt;=0.01, "Sup
 Bonus"," ")</f>
        <v xml:space="preserve"> </v>
      </c>
      <c r="R65" s="100">
        <f ca="1">IF((INDEX(PYRL_Summary,MATCH(O61,months,0),13)&gt;=0.01),(INDEX(PYRL_Summary,MATCH(O61,months,0),13)),0)</f>
        <v>0</v>
      </c>
      <c r="S65" s="102">
        <f ca="1">+P65+R65</f>
        <v>0</v>
      </c>
      <c r="T65" s="889" t="str">
        <f>+IBAN</f>
        <v>MT97VALL22013000000017316123017</v>
      </c>
      <c r="U65" s="890"/>
      <c r="V65" s="891"/>
    </row>
    <row r="66" spans="5:37" ht="16.5" customHeight="1" thickBot="1" x14ac:dyDescent="0.3">
      <c r="E66" s="952" t="s">
        <v>226</v>
      </c>
      <c r="F66" s="953"/>
      <c r="G66" s="112">
        <f ca="1">+PREVFS3+Med_Tot</f>
        <v>1115.7889153846156</v>
      </c>
      <c r="H66" s="114" t="e">
        <f ca="1">IF(grossyearly&lt;F68,1,IF(grossyearly&lt;F69,2,IF(grossyearly&lt;F70,3,IF(grossyearly&lt;F71,4,5))))</f>
        <v>#N/A</v>
      </c>
      <c r="N66" s="420"/>
      <c r="O66" s="346" t="str">
        <f ca="1">IF(INDEX(INDAT,MATCH(O61,(INDIRECT(("months"),TRUE)),0),14)&gt;=0.01, "Overtime Hours"," ")</f>
        <v xml:space="preserve"> </v>
      </c>
      <c r="P66" s="199"/>
      <c r="Q66" s="199">
        <f ca="1">IF((INDEX(PYRL_Summary,MATCH(O61,months,0),16)&gt;=0.01),(INDEX(PYRL_Summary,MATCH(O61,months,0),16)&amp;" HRS"),0)</f>
        <v>0</v>
      </c>
      <c r="R66" s="198"/>
      <c r="S66" s="355">
        <f ca="1">IF((INDEX(PYRL_Summary,MATCH(O61,months,0),18)&gt;=0.01),(INDEX(PYRL_Summary,MATCH(O61,months,0),18)&amp;" HRS"),0)</f>
        <v>0</v>
      </c>
      <c r="T66" s="417" t="s">
        <v>178</v>
      </c>
      <c r="U66" s="418">
        <f ca="1">+(SUM(S60:S66))-(SUM(V61:V64))</f>
        <v>0</v>
      </c>
      <c r="V66" s="418"/>
    </row>
    <row r="67" spans="5:37" ht="27.75" customHeight="1" thickBot="1" x14ac:dyDescent="0.3">
      <c r="E67" s="107" t="s">
        <v>227</v>
      </c>
      <c r="F67" s="56"/>
      <c r="G67" s="108" t="s">
        <v>228</v>
      </c>
      <c r="H67" s="63" t="s">
        <v>229</v>
      </c>
      <c r="N67" s="421" t="s">
        <v>180</v>
      </c>
      <c r="O67" s="360" t="s">
        <v>181</v>
      </c>
      <c r="P67" s="361">
        <f>+O51</f>
        <v>46113</v>
      </c>
      <c r="Q67" s="362">
        <f ca="1">(INDEX(PYRL_Summary,MATCH(P67,months,1),32))</f>
        <v>0</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str">
        <f>CONCATENATE(FS4_Status,"max",1)</f>
        <v>0max1</v>
      </c>
      <c r="F68" s="66" t="e">
        <f>+VLOOKUP(E68,SStable,4,)</f>
        <v>#N/A</v>
      </c>
      <c r="G68" s="109" t="e">
        <f>+VLOOKUP(E68,SStable,5,)</f>
        <v>#N/A</v>
      </c>
      <c r="H68" s="104" t="e">
        <f>+VLOOKUP(E68,SStable,6,)</f>
        <v>#N/A</v>
      </c>
      <c r="N68" s="388">
        <f ca="1">INDEX(PYRL_Summary,MATCH(O61,months,0),4)</f>
        <v>4</v>
      </c>
      <c r="O68" s="389" t="s">
        <v>187</v>
      </c>
      <c r="P68" s="390">
        <f>+O51</f>
        <v>46113</v>
      </c>
      <c r="Q68" s="391">
        <f ca="1">INDEX(PYRL_Summary,MATCH(P68,months,0),31)</f>
        <v>0</v>
      </c>
      <c r="R68" s="392" t="s">
        <v>188</v>
      </c>
      <c r="S68" s="393">
        <f ca="1">INDEX(PYRL_Summary,MATCH(O61,months,0),33)</f>
        <v>0</v>
      </c>
      <c r="T68" s="425" t="str">
        <f>+Clinic_add</f>
        <v>7,  Mediatrix, Sanctuary Str. Zabbar ZBR1010
8, Mediatrix, Guze Duca Str., Qormi QRM9088</v>
      </c>
      <c r="U68" s="426"/>
      <c r="V68" s="427" t="s">
        <v>189</v>
      </c>
    </row>
    <row r="69" spans="5:37" ht="27" customHeight="1" thickBot="1" x14ac:dyDescent="0.3">
      <c r="E69" s="80" t="str">
        <f>CONCATENATE(FS4_Status,"max",2)</f>
        <v>0max2</v>
      </c>
      <c r="F69" s="66" t="e">
        <f>+VLOOKUP(E69,SStable,4,)</f>
        <v>#N/A</v>
      </c>
      <c r="G69" s="109" t="e">
        <f>+VLOOKUP(E69,SStable,5,)</f>
        <v>#N/A</v>
      </c>
      <c r="H69" s="104" t="e">
        <f>+VLOOKUP(E69,SStable,6,)</f>
        <v>#N/A</v>
      </c>
      <c r="N69" s="403">
        <f ca="1">IF(OR(INDEX(PYRL_Summary,MATCH(O71,months,0),28)="pt",INDEX(PYRL_Summary,MATCH(O71,months,0),28)="pt_casual"),0,IF(N72-N71&gt;=1,1,0))</f>
        <v>0</v>
      </c>
      <c r="O69" s="908" t="str">
        <f>Surname&amp;" "&amp;Name</f>
        <v>Ellul Maria</v>
      </c>
      <c r="P69" s="394" t="str">
        <f>+IDCard</f>
        <v>302481M</v>
      </c>
      <c r="Q69" s="395" t="str">
        <f>+designation</f>
        <v>9. Receptionist</v>
      </c>
      <c r="R69" s="396" t="s">
        <v>156</v>
      </c>
      <c r="S69" s="397">
        <f ca="1">+S70+S73+S72+S74+S75+S76+S71</f>
        <v>15.245515384615386</v>
      </c>
      <c r="T69" s="431">
        <f>+FS4_Status</f>
        <v>0</v>
      </c>
      <c r="U69" s="573" t="str">
        <f ca="1">INDEX(INDAT,MATCH(O71,(INDIRECT(("months"),TRUE)),0),26)</f>
        <v>PT_CASUAL</v>
      </c>
      <c r="V69" s="432">
        <f ca="1">INDEX(INDAT,MATCH(O71,(INDIRECT(("months"),TRUE)),0),25)</f>
        <v>0</v>
      </c>
      <c r="W69" s="412">
        <f>+$O$9</f>
        <v>46174</v>
      </c>
      <c r="X69" s="424"/>
      <c r="Y69" s="424"/>
      <c r="Z69" s="73"/>
      <c r="AA69" s="73"/>
    </row>
    <row r="70" spans="5:37" ht="20.25" customHeight="1" thickBot="1" x14ac:dyDescent="0.3">
      <c r="E70" s="80" t="str">
        <f>CONCATENATE(FS4_Status,"max",3)</f>
        <v>0max3</v>
      </c>
      <c r="F70" s="66" t="e">
        <f>+VLOOKUP(E70,SStable,4,)</f>
        <v>#N/A</v>
      </c>
      <c r="G70" s="109" t="e">
        <f>+VLOOKUP(E70,SStable,5,)</f>
        <v>#N/A</v>
      </c>
      <c r="H70" s="104" t="e">
        <f>+VLOOKUP(E70,SStable,6,)</f>
        <v>#N/A</v>
      </c>
      <c r="N70" s="404">
        <f ca="1">IF(AND(OR((INDEX(PYRL_Summary,MATCH(O71,months,0),28))="PT",( INDEX(PYRL_Summary,MATCH(O71,months,0),28))="PT_casual" ),(N72-N71&gt;=1)),1,0)</f>
        <v>1</v>
      </c>
      <c r="O70" s="909"/>
      <c r="P70" s="415" t="s">
        <v>161</v>
      </c>
      <c r="Q70" s="414">
        <f ca="1">INDEX(PYRL_Summary,MATCH(O71,months,0),5)</f>
        <v>0</v>
      </c>
      <c r="R70" s="398" t="s">
        <v>94</v>
      </c>
      <c r="S70" s="399">
        <f ca="1">INDEX(PYRL_Summary,MATCH(O71,months,0),7)</f>
        <v>0</v>
      </c>
      <c r="T70" s="400" t="s">
        <v>162</v>
      </c>
      <c r="U70" s="401" t="s">
        <v>163</v>
      </c>
      <c r="V70" s="402" t="s">
        <v>164</v>
      </c>
      <c r="Z70" s="446" t="str">
        <f ca="1">IF((INDIRECT("[EMPINFO.xlsm]"&amp;$O$2&amp;"!M70")) = 0," ",(INDIRECT("[EMPINFO.xlsm]"&amp;$O$2&amp;"!M70")
))</f>
        <v xml:space="preserve"> </v>
      </c>
      <c r="AA70" s="446" t="str">
        <f ca="1">IF((INDIRECT("[EMPINFO.xlsm]"&amp;$O$2&amp;"!n70")) = 0," ",(INDIRECT("[EMPINFO.xlsm]"&amp;$O$2&amp;"!n70")
))</f>
        <v xml:space="preserve"> </v>
      </c>
      <c r="AB70" s="444" t="s">
        <v>165</v>
      </c>
      <c r="AC70" s="446" t="str">
        <f ca="1">IF((INDIRECT("[EMPINFO.xlsm]"&amp;$O$2&amp;"!p70")) = 0," ",(INDIRECT("[EMPINFO.xlsm]"&amp;$O$2&amp;"!p70")
))</f>
        <v xml:space="preserve"> </v>
      </c>
      <c r="AD70" s="446" t="str">
        <f ca="1">IF((INDIRECT("[EMPINFO.xlsm]"&amp;$O$2&amp;"!q70")) = 0," ",(INDIRECT("[EMPINFO.xlsm]"&amp;$O$2&amp;"!q70")
))</f>
        <v xml:space="preserve"> </v>
      </c>
    </row>
    <row r="71" spans="5:37" ht="15.75" customHeight="1" thickBot="1" x14ac:dyDescent="0.3">
      <c r="E71" s="80" t="str">
        <f>CONCATENATE(FS4_Status,"max",4)</f>
        <v>0max4</v>
      </c>
      <c r="F71" s="66" t="e">
        <f>+VLOOKUP(E71,SStable,4,)</f>
        <v>#N/A</v>
      </c>
      <c r="G71" s="109" t="e">
        <f>+VLOOKUP(E71,SStable,5,)</f>
        <v>#N/A</v>
      </c>
      <c r="H71" s="104" t="e">
        <f>+VLOOKUP(E71,SStable,6,)</f>
        <v>#N/A</v>
      </c>
      <c r="N71" s="405">
        <f>IF(TERMDATE&lt;O71,0,IF(StartEmp&lt;=O71,O71,(IF(AND(StartEmp&gt;=O71,StartEmp&lt;=O81),StartEmp,0))))</f>
        <v>46174</v>
      </c>
      <c r="O71" s="343">
        <f>+W69</f>
        <v>46174</v>
      </c>
      <c r="P71" s="191" t="str">
        <f>IF(AN54="PT","Hours Worked","Extra/ under Hours")</f>
        <v>Extra/ under Hours</v>
      </c>
      <c r="Q71" s="192"/>
      <c r="R71" s="192" t="str">
        <f ca="1">INDEX(PYRL_Summary,MATCH(O71,months,0),41)&amp;" HRS"</f>
        <v>0 HRS</v>
      </c>
      <c r="S71" s="193">
        <f ca="1">INDEX(PYRL_Summary,MATCH(O71,months,0),41)*junhrrt</f>
        <v>0</v>
      </c>
      <c r="T71" s="357">
        <f ca="1">+U71+V71</f>
        <v>0</v>
      </c>
      <c r="U71" s="358">
        <f ca="1">INDEX(PYRL_Summary,MATCH(O71,months,0),22)</f>
        <v>0</v>
      </c>
      <c r="V71" s="359">
        <f ca="1">INDEX(PYRL_Summary,MATCH(O71,months,0),23)</f>
        <v>0</v>
      </c>
      <c r="Z71" s="446" t="str">
        <f ca="1">IF((INDIRECT("[EMPINFO.xlsm]"&amp;$O$2&amp;"!M71")) = 0," ",(INDIRECT("[EMPINFO.xlsm]"&amp;$O$2&amp;"!M71")
))</f>
        <v xml:space="preserve"> </v>
      </c>
      <c r="AA71" s="446" t="str">
        <f ca="1">IF((INDIRECT("[EMPINFO.xlsm]"&amp;$O$2&amp;"!n71")) = 0," ",(INDIRECT("[EMPINFO.xlsm]"&amp;$O$2&amp;"!n71")
))</f>
        <v xml:space="preserve"> </v>
      </c>
      <c r="AB71" s="445" t="s">
        <v>165</v>
      </c>
      <c r="AC71" s="446" t="str">
        <f ca="1">IF((INDIRECT("[EMPINFO.xlsm]"&amp;$O$2&amp;"!p71")) = 0," ",(INDIRECT("[EMPINFO.xlsm]"&amp;$O$2&amp;"!p71")
))</f>
        <v xml:space="preserve"> </v>
      </c>
      <c r="AD71" s="446" t="str">
        <f ca="1">IF((INDIRECT("[EMPINFO.xlsm]"&amp;$O$2&amp;"!q71")) = 0," ",(INDIRECT("[EMPINFO.xlsm]"&amp;$O$2&amp;"!q71")
))</f>
        <v xml:space="preserve"> </v>
      </c>
    </row>
    <row r="72" spans="5:37" ht="22.5" customHeight="1" thickBot="1" x14ac:dyDescent="0.3">
      <c r="E72" s="80" t="str">
        <f>CONCATENATE(FS4_Status,"max",5)</f>
        <v>0max5</v>
      </c>
      <c r="F72" s="66" t="s">
        <v>230</v>
      </c>
      <c r="G72" s="109" t="e">
        <f>+VLOOKUP(E72,SStable,5,)</f>
        <v>#N/A</v>
      </c>
      <c r="H72" s="104" t="e">
        <f>+VLOOKUP(E72,SStable,6,)</f>
        <v>#N/A</v>
      </c>
      <c r="N72" s="405">
        <f>+IF(StartEmp&gt;=O81,0,IF(TERMDATE&gt;=O81,O81-1,(IF(AND(TERMDATE&lt;O81,TERMDATE&gt;=O71),TERMDATE,0))))</f>
        <v>46203</v>
      </c>
      <c r="O72" s="341" t="s">
        <v>170</v>
      </c>
      <c r="P72" s="342" t="s">
        <v>171</v>
      </c>
      <c r="Q72" s="300">
        <f>+O61</f>
        <v>46143</v>
      </c>
      <c r="R72" s="184" t="str">
        <f ca="1">INDEX(PYRL_Summary,MATCH(O61,months,0),39)&amp;" HRS"</f>
        <v>0 HRS</v>
      </c>
      <c r="S72" s="193">
        <f ca="1">INDEX(PYRL_Summary,MATCH(O61,months,0),9)</f>
        <v>0</v>
      </c>
      <c r="T72" s="186" t="s">
        <v>72</v>
      </c>
      <c r="U72" s="187">
        <f ca="1">INDEX(PYRL_Summary,MATCH(O71,months,0),25)</f>
        <v>0</v>
      </c>
      <c r="V72" s="348"/>
      <c r="Z72" s="446" t="str">
        <f ca="1">IF((INDIRECT("[EMPINFO.xlsm]"&amp;$O$2&amp;"!M72")) = 0," ",(INDIRECT("[EMPINFO.xlsm]"&amp;$O$2&amp;"!M72")
))</f>
        <v xml:space="preserve"> </v>
      </c>
      <c r="AA72" s="446" t="str">
        <f ca="1">IF((INDIRECT("[EMPINFO.xlsm]"&amp;$O$2&amp;"!n72")) = 0," ",(INDIRECT("[EMPINFO.xlsm]"&amp;$O$2&amp;"!n72")
))</f>
        <v xml:space="preserve"> </v>
      </c>
      <c r="AB72" s="445" t="s">
        <v>165</v>
      </c>
      <c r="AC72" s="446" t="str">
        <f ca="1">IF((INDIRECT("[EMPINFO.xlsm]"&amp;$O$2&amp;"!p72")) = 0," ",(INDIRECT("[EMPINFO.xlsm]"&amp;$O$2&amp;"!p72")
))</f>
        <v xml:space="preserve"> </v>
      </c>
      <c r="AD72" s="446" t="str">
        <f ca="1">IF((INDIRECT("[EMPINFO.xlsm]"&amp;$O$2&amp;"!q72")) = 0," ",(INDIRECT("[EMPINFO.xlsm]"&amp;$O$2&amp;"!q72")
))</f>
        <v xml:space="preserve"> </v>
      </c>
      <c r="AJ72" s="55"/>
      <c r="AK72" s="67"/>
    </row>
    <row r="73" spans="5:37" ht="16.149999999999999" customHeight="1" thickBot="1" x14ac:dyDescent="0.3">
      <c r="E73" s="80" t="s">
        <v>231</v>
      </c>
      <c r="G73" s="110">
        <f>+PT_Rate</f>
        <v>0.1</v>
      </c>
      <c r="H73" s="101"/>
      <c r="N73" s="404"/>
      <c r="O73" s="344">
        <f>+ID</f>
        <v>2024002</v>
      </c>
      <c r="P73" s="195" t="s">
        <v>172</v>
      </c>
      <c r="Q73" s="195"/>
      <c r="R73" s="194"/>
      <c r="S73" s="193">
        <f ca="1">INDEX(PYRL_Summary,MATCH(O71,months,0),11)</f>
        <v>15.245515384615386</v>
      </c>
      <c r="T73" s="196" t="str">
        <f ca="1">IF((INDEX(PYRL_Summary,MATCH(O71,months,0),19))&gt;=0.01, "Overtime Tax"," ")</f>
        <v xml:space="preserve"> </v>
      </c>
      <c r="U73" s="197"/>
      <c r="V73" s="349">
        <f ca="1">INDEX(PYRL_Summary,MATCH(O71,months,0),19)</f>
        <v>0</v>
      </c>
      <c r="X73" s="412">
        <f>+$O$9</f>
        <v>46174</v>
      </c>
      <c r="AJ73" s="55"/>
    </row>
    <row r="74" spans="5:37" ht="17.25" customHeight="1" thickBot="1" x14ac:dyDescent="0.35">
      <c r="E74" s="111" t="s">
        <v>232</v>
      </c>
      <c r="F74" s="105"/>
      <c r="G74" s="105"/>
      <c r="H74" s="106"/>
      <c r="N74" s="404"/>
      <c r="O74" s="188" t="s">
        <v>175</v>
      </c>
      <c r="P74" s="188"/>
      <c r="Q74" s="188"/>
      <c r="R74" s="200">
        <v>0</v>
      </c>
      <c r="S74" s="185">
        <f ca="1">INDEX(PYRL_Summary,MATCH(O71,months,0),10)</f>
        <v>0</v>
      </c>
      <c r="T74" s="189" t="s">
        <v>176</v>
      </c>
      <c r="U74" s="190"/>
      <c r="V74" s="350">
        <f ca="1">INDEX(PYRL_Summary,MATCH(O71,months,0),15)</f>
        <v>1</v>
      </c>
      <c r="X74" s="577"/>
    </row>
    <row r="75" spans="5:37" ht="15.75" customHeight="1" thickBot="1" x14ac:dyDescent="0.3">
      <c r="E75" s="293"/>
      <c r="F75" s="294" t="s">
        <v>130</v>
      </c>
      <c r="G75" s="295" t="e">
        <f ca="1">IF(AND(Timer="pt",grossyearly&lt;10000),+ptrate,IF(grossyearly&lt;$F$68,$G$68,IF(grossyearly&lt;$F$69,$G$69,IF(grossyearly&lt;$F$70,$G$70,IF(grossyearly&lt;$F$71,$G$71,$G$72)))))</f>
        <v>#N/A</v>
      </c>
      <c r="H75" s="296" t="e">
        <f ca="1">IF(grossyearly&lt;$F$68,$H$68,IF(grossyearly&lt;$F$69,$H$69,IF(grossyearly&lt;$F$70,$H$70,IF(grossyearly&lt;$F$71,$H$71,$H$72))))</f>
        <v>#N/A</v>
      </c>
      <c r="N75" s="404"/>
      <c r="O75" s="345" t="str">
        <f ca="1">IF(INDEX(INDAT,MATCH(O71,(INDIRECT(("months"),TRUE)),0),4)&gt;=0.01, "Performance Bonus"," ")</f>
        <v>Performance Bonus</v>
      </c>
      <c r="P75" s="100">
        <f ca="1">IF((INDEX(PYRL_Summary,MATCH(O71,months,0),12)&gt;=0.01),(INDEX(PYRL_Summary,MATCH(O71,months,0),12)),0)</f>
        <v>0</v>
      </c>
      <c r="Q75" s="99" t="str">
        <f ca="1">IF(INDEX(INDAT,MATCH(O71,(INDIRECT(("months"),TRUE)),0),5)&gt;=0.01, "Sup
 Bonus"," ")</f>
        <v xml:space="preserve"> </v>
      </c>
      <c r="R75" s="100">
        <f ca="1">IF((INDEX(PYRL_Summary,MATCH(O71,months,0),13)&gt;=0.01),(INDEX(PYRL_Summary,MATCH(O71,months,0),13)),0)</f>
        <v>0</v>
      </c>
      <c r="S75" s="102">
        <f ca="1">+P75+R75</f>
        <v>0</v>
      </c>
      <c r="T75" s="889" t="str">
        <f>+IBAN</f>
        <v>MT97VALL22013000000017316123017</v>
      </c>
      <c r="U75" s="890"/>
      <c r="V75" s="891"/>
    </row>
    <row r="76" spans="5:37" ht="17.25" customHeight="1" thickBot="1" x14ac:dyDescent="0.3">
      <c r="N76" s="404"/>
      <c r="O76" s="346" t="str">
        <f ca="1">IF(INDEX(INDAT,MATCH(O71,(INDIRECT(("months"),TRUE)),0),14)&gt;=0.01, "Overtime Hours"," ")</f>
        <v xml:space="preserve"> </v>
      </c>
      <c r="P76" s="199"/>
      <c r="Q76" s="199">
        <f ca="1">IF((INDEX(PYRL_Summary,MATCH(O71,months,0),16)&gt;=0.01),(INDEX(PYRL_Summary,MATCH(O71,months,0),16)&amp;" HRS"),0)</f>
        <v>0</v>
      </c>
      <c r="R76" s="198"/>
      <c r="S76" s="355">
        <f ca="1">IF((INDEX(PYRL_Summary,MATCH(O71,months,0),18)&gt;=0.01),(INDEX(PYRL_Summary,MATCH(O71,months,0),18)&amp;" HRS"),0)</f>
        <v>0</v>
      </c>
      <c r="T76" s="417" t="s">
        <v>178</v>
      </c>
      <c r="U76" s="418">
        <f ca="1">+(SUM(S70:S76))-(SUM(V71:V74))</f>
        <v>14.245515384615386</v>
      </c>
      <c r="V76" s="418"/>
    </row>
    <row r="77" spans="5:37" ht="26.25" customHeight="1" thickBot="1" x14ac:dyDescent="0.3">
      <c r="N77" s="413" t="s">
        <v>180</v>
      </c>
      <c r="O77" s="352" t="s">
        <v>181</v>
      </c>
      <c r="P77" s="351">
        <f>+O61</f>
        <v>46143</v>
      </c>
      <c r="Q77" s="353">
        <f ca="1">(INDEX(PYRL_Summary,MATCH(P77,months,1),32))</f>
        <v>0</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f ca="1">INDEX(PYRL_Summary,MATCH(O71,months,0),4)</f>
        <v>5</v>
      </c>
      <c r="O78" s="407" t="s">
        <v>187</v>
      </c>
      <c r="P78" s="408">
        <f>+O61</f>
        <v>46143</v>
      </c>
      <c r="Q78" s="409">
        <f ca="1">INDEX(PYRL_Summary,MATCH(P78,months,0),31)</f>
        <v>0</v>
      </c>
      <c r="R78" s="410" t="s">
        <v>188</v>
      </c>
      <c r="S78" s="411">
        <f ca="1">INDEX(PYRL_Summary,MATCH(O71,months,0),33)</f>
        <v>0</v>
      </c>
      <c r="T78" s="428" t="str">
        <f>+Clinic_add</f>
        <v>7,  Mediatrix, Sanctuary Str. Zabbar ZBR1010
8, Mediatrix, Guze Duca Str., Qormi QRM9088</v>
      </c>
      <c r="U78" s="429"/>
      <c r="V78" s="430" t="s">
        <v>189</v>
      </c>
    </row>
    <row r="79" spans="5:37" ht="27" customHeight="1" thickBot="1" x14ac:dyDescent="0.3">
      <c r="N79" s="386">
        <f ca="1">IF(OR(INDEX(PYRL_Summary,MATCH(O81,months,0),28)="pt",INDEX(PYRL_Summary,MATCH(O81,months,0),28)="pt_casual"),0,IF(N82-N81&gt;=1,1,0))</f>
        <v>0</v>
      </c>
      <c r="O79" s="894" t="str">
        <f>Surname&amp;" "&amp;Name</f>
        <v>Ellul Maria</v>
      </c>
      <c r="P79" s="374" t="str">
        <f>+IDCard</f>
        <v>302481M</v>
      </c>
      <c r="Q79" s="375" t="str">
        <f>+designation</f>
        <v>9. Receptionist</v>
      </c>
      <c r="R79" s="376" t="s">
        <v>156</v>
      </c>
      <c r="S79" s="377">
        <f ca="1">+S80+S83+S82+S84+S85+S86+S81</f>
        <v>0</v>
      </c>
      <c r="T79" s="378">
        <f>+FS4_Status</f>
        <v>0</v>
      </c>
      <c r="U79" s="572" t="str">
        <f ca="1">INDEX(INDAT,MATCH(O81,(INDIRECT(("months"),TRUE)),0),26)</f>
        <v>PT_CASUAL</v>
      </c>
      <c r="V79" s="379">
        <f ca="1">INDEX(INDAT,MATCH(O81,(INDIRECT(("months"),TRUE)),0),25)</f>
        <v>0</v>
      </c>
      <c r="W79" s="422">
        <f>+$O$10</f>
        <v>46204</v>
      </c>
      <c r="X79" s="423"/>
      <c r="Y79" s="423"/>
      <c r="Z79" s="73"/>
      <c r="AA79" s="73"/>
    </row>
    <row r="80" spans="5:37" ht="20.25" customHeight="1" thickBot="1" x14ac:dyDescent="0.3">
      <c r="N80" s="387">
        <f ca="1">IF(AND(OR((INDEX(PYRL_Summary,MATCH(O81,months,0),28))="PT",( INDEX(PYRL_Summary,MATCH(O81,months,0),28))="PT_casual" ),(N82-N81&gt;=1)),1,0)</f>
        <v>1</v>
      </c>
      <c r="O80" s="895"/>
      <c r="P80" s="416" t="s">
        <v>161</v>
      </c>
      <c r="Q80" s="380">
        <f ca="1">INDEX(PYRL_Summary,MATCH(O81,months,0),5)</f>
        <v>0</v>
      </c>
      <c r="R80" s="381" t="s">
        <v>94</v>
      </c>
      <c r="S80" s="382">
        <f ca="1">INDEX(PYRL_Summary,MATCH(O81,months,0),7)</f>
        <v>0</v>
      </c>
      <c r="T80" s="383" t="s">
        <v>162</v>
      </c>
      <c r="U80" s="384" t="s">
        <v>163</v>
      </c>
      <c r="V80" s="385" t="s">
        <v>164</v>
      </c>
      <c r="Z80" s="446" t="str">
        <f ca="1">IF((INDIRECT("[EMPINFO.xlsm]"&amp;$O$2&amp;"!M80")) = 0," ",(INDIRECT("[EMPINFO.xlsm]"&amp;$O$2&amp;"!M80")
))</f>
        <v xml:space="preserve"> </v>
      </c>
      <c r="AA80" s="446" t="str">
        <f ca="1">IF((INDIRECT("[EMPINFO.xlsm]"&amp;$O$2&amp;"!n80")) = 0," ",(INDIRECT("[EMPINFO.xlsm]"&amp;$O$2&amp;"!n80")
))</f>
        <v xml:space="preserve"> </v>
      </c>
      <c r="AB80" s="444" t="s">
        <v>165</v>
      </c>
      <c r="AC80" s="446" t="str">
        <f ca="1">IF((INDIRECT("[EMPINFO.xlsm]"&amp;$O$2&amp;"!p80")) = 0," ",(INDIRECT("[EMPINFO.xlsm]"&amp;$O$2&amp;"!p80")
))</f>
        <v xml:space="preserve"> </v>
      </c>
      <c r="AD80" s="446" t="str">
        <f ca="1">IF((INDIRECT("[EMPINFO.xlsm]"&amp;$O$2&amp;"!q80")) = 0," ",(INDIRECT("[EMPINFO.xlsm]"&amp;$O$2&amp;"!q80")
))</f>
        <v xml:space="preserve"> </v>
      </c>
    </row>
    <row r="81" spans="14:37" ht="15.75" customHeight="1" thickBot="1" x14ac:dyDescent="0.3">
      <c r="N81" s="419">
        <f>IF(TERMDATE&lt;O81,0,IF(StartEmp&lt;=O81,O81,(IF(AND(StartEmp&gt;=O81,StartEmp&lt;=O91),StartEmp,0))))</f>
        <v>46204</v>
      </c>
      <c r="O81" s="343">
        <f>+W79</f>
        <v>46204</v>
      </c>
      <c r="P81" s="371" t="str">
        <f>IF(AN64="PT","Hours Worked","Extra/ under Hours")</f>
        <v>Extra/ under Hours</v>
      </c>
      <c r="Q81" s="99"/>
      <c r="R81" s="99" t="str">
        <f ca="1">INDEX(PYRL_Summary,MATCH(O81,months,0),41)&amp;" HRS"</f>
        <v>0 HRS</v>
      </c>
      <c r="S81" s="367">
        <f ca="1">INDEX(PYRL_Summary,MATCH(O81,months,0),41)*julhrrt</f>
        <v>0</v>
      </c>
      <c r="T81" s="372">
        <f ca="1">+U81+V81</f>
        <v>0</v>
      </c>
      <c r="U81" s="372">
        <f ca="1">INDEX(PYRL_Summary,MATCH(O81,months,0),22)</f>
        <v>0</v>
      </c>
      <c r="V81" s="373">
        <f ca="1">INDEX(PYRL_Summary,MATCH(O81,months,0),23)</f>
        <v>0</v>
      </c>
      <c r="Z81" s="446" t="str">
        <f ca="1">IF((INDIRECT("[EMPINFO.xlsm]"&amp;$O$2&amp;"!M81")) = 0," ",(INDIRECT("[EMPINFO.xlsm]"&amp;$O$2&amp;"!M81")
))</f>
        <v xml:space="preserve"> </v>
      </c>
      <c r="AA81" s="446" t="str">
        <f ca="1">IF((INDIRECT("[EMPINFO.xlsm]"&amp;$O$2&amp;"!n81")) = 0," ",(INDIRECT("[EMPINFO.xlsm]"&amp;$O$2&amp;"!n81")
))</f>
        <v xml:space="preserve"> </v>
      </c>
      <c r="AB81" s="445" t="s">
        <v>165</v>
      </c>
      <c r="AC81" s="446" t="str">
        <f ca="1">IF((INDIRECT("[EMPINFO.xlsm]"&amp;$O$2&amp;"!p81")) = 0," ",(INDIRECT("[EMPINFO.xlsm]"&amp;$O$2&amp;"!p81")
))</f>
        <v xml:space="preserve"> </v>
      </c>
      <c r="AD81" s="446" t="str">
        <f ca="1">IF((INDIRECT("[EMPINFO.xlsm]"&amp;$O$2&amp;"!q81")) = 0," ",(INDIRECT("[EMPINFO.xlsm]"&amp;$O$2&amp;"!q81")
))</f>
        <v xml:space="preserve"> </v>
      </c>
    </row>
    <row r="82" spans="14:37" ht="20.25" customHeight="1" thickBot="1" x14ac:dyDescent="0.3">
      <c r="N82" s="419">
        <f>+IF(StartEmp&gt;=O91,0,IF(TERMDATE&gt;=O91,O91-1,(IF(AND(TERMDATE&lt;O91,TERMDATE&gt;=O81),TERMDATE,0))))</f>
        <v>46234</v>
      </c>
      <c r="O82" s="341" t="s">
        <v>170</v>
      </c>
      <c r="P82" s="342" t="s">
        <v>171</v>
      </c>
      <c r="Q82" s="300">
        <f>+O71</f>
        <v>46174</v>
      </c>
      <c r="R82" s="184" t="str">
        <f ca="1">INDEX(PYRL_Summary,MATCH(O71,months,0),39)&amp;" HRS"</f>
        <v>0 HRS</v>
      </c>
      <c r="S82" s="193">
        <f ca="1">INDEX(PYRL_Summary,MATCH(O71,months,0),9)</f>
        <v>0</v>
      </c>
      <c r="T82" s="186" t="s">
        <v>72</v>
      </c>
      <c r="U82" s="187">
        <f ca="1">INDEX(PYRL_Summary,MATCH(O81,months,0),25)</f>
        <v>0</v>
      </c>
      <c r="V82" s="348"/>
      <c r="X82" s="55"/>
      <c r="Z82" s="446" t="str">
        <f ca="1">IF((INDIRECT("[EMPINFO.xlsm]"&amp;$O$2&amp;"!M82")) = 0," ",(INDIRECT("[EMPINFO.xlsm]"&amp;$O$2&amp;"!M82")
))</f>
        <v xml:space="preserve"> </v>
      </c>
      <c r="AA82" s="446" t="str">
        <f ca="1">IF((INDIRECT("[EMPINFO.xlsm]"&amp;$O$2&amp;"!n82")) = 0," ",(INDIRECT("[EMPINFO.xlsm]"&amp;$O$2&amp;"!n82")
))</f>
        <v xml:space="preserve"> </v>
      </c>
      <c r="AB82" s="445" t="s">
        <v>165</v>
      </c>
      <c r="AC82" s="446" t="str">
        <f ca="1">IF((INDIRECT("[EMPINFO.xlsm]"&amp;$O$2&amp;"!p82")) = 0," ",(INDIRECT("[EMPINFO.xlsm]"&amp;$O$2&amp;"!p82")
))</f>
        <v xml:space="preserve"> </v>
      </c>
      <c r="AD82" s="446" t="str">
        <f ca="1">IF((INDIRECT("[EMPINFO.xlsm]"&amp;$O$2&amp;"!q82")) = 0," ",(INDIRECT("[EMPINFO.xlsm]"&amp;$O$2&amp;"!q82")
))</f>
        <v xml:space="preserve"> </v>
      </c>
      <c r="AJ82" s="55"/>
      <c r="AK82" s="67"/>
    </row>
    <row r="83" spans="14:37" ht="16.149999999999999" customHeight="1" thickBot="1" x14ac:dyDescent="0.3">
      <c r="N83" s="420"/>
      <c r="O83" s="344">
        <f>+ID</f>
        <v>2024002</v>
      </c>
      <c r="P83" s="365" t="s">
        <v>172</v>
      </c>
      <c r="Q83" s="365"/>
      <c r="R83" s="366"/>
      <c r="S83" s="367">
        <f>INDEX(PYRL_Summary,MATCH(O81,months,0),11)</f>
        <v>0</v>
      </c>
      <c r="T83" s="368" t="str">
        <f ca="1">IF((INDEX(PYRL_Summary,MATCH(O81,months,0),19))&gt;=0.01, "Overtime Tax"," ")</f>
        <v xml:space="preserve"> </v>
      </c>
      <c r="U83" s="369"/>
      <c r="V83" s="370">
        <f ca="1">INDEX(PYRL_Summary,MATCH(O81,months,0),19)</f>
        <v>0</v>
      </c>
      <c r="X83" s="422">
        <f>+$O$10</f>
        <v>46204</v>
      </c>
      <c r="AJ83" s="55"/>
    </row>
    <row r="84" spans="14:37" ht="21.75" customHeight="1" thickBot="1" x14ac:dyDescent="0.35">
      <c r="N84" s="420"/>
      <c r="O84" s="188" t="s">
        <v>175</v>
      </c>
      <c r="P84" s="188"/>
      <c r="Q84" s="188"/>
      <c r="R84" s="200">
        <v>0</v>
      </c>
      <c r="S84" s="185">
        <f ca="1">INDEX(PYRL_Summary,MATCH(O81,months,0),10)</f>
        <v>0</v>
      </c>
      <c r="T84" s="189" t="s">
        <v>176</v>
      </c>
      <c r="U84" s="190"/>
      <c r="V84" s="350">
        <f ca="1">INDEX(PYRL_Summary,MATCH(O81,months,0),15)</f>
        <v>0</v>
      </c>
      <c r="X84" s="577"/>
    </row>
    <row r="85" spans="14:37" ht="15.75" customHeight="1" thickBot="1" x14ac:dyDescent="0.3">
      <c r="N85" s="420"/>
      <c r="O85" s="345" t="str">
        <f ca="1">IF(INDEX(INDAT,MATCH(O81,(INDIRECT(("months"),TRUE)),0),4)&gt;=0.01, "Performance Bonus"," ")</f>
        <v>Performance Bonus</v>
      </c>
      <c r="P85" s="100">
        <f ca="1">IF((INDEX(PYRL_Summary,MATCH(O81,months,0),12)&gt;=0.01),(INDEX(PYRL_Summary,MATCH(O81,months,0),12)),0)</f>
        <v>0</v>
      </c>
      <c r="Q85" s="99" t="str">
        <f ca="1">IF(INDEX(INDAT,MATCH(O81,(INDIRECT(("months"),TRUE)),0),5)&gt;=0.01, "Sup
 Bonus"," ")</f>
        <v xml:space="preserve"> </v>
      </c>
      <c r="R85" s="100">
        <f ca="1">IF((INDEX(PYRL_Summary,MATCH(O81,months,0),13)&gt;=0.01),(INDEX(PYRL_Summary,MATCH(O81,months,0),13)),0)</f>
        <v>0</v>
      </c>
      <c r="S85" s="102">
        <f ca="1">+P85+R85</f>
        <v>0</v>
      </c>
      <c r="T85" s="889" t="str">
        <f>+IBAN</f>
        <v>MT97VALL22013000000017316123017</v>
      </c>
      <c r="U85" s="890"/>
      <c r="V85" s="891"/>
    </row>
    <row r="86" spans="14:37" ht="17.25" customHeight="1" thickBot="1" x14ac:dyDescent="0.3">
      <c r="N86" s="420"/>
      <c r="O86" s="346" t="str">
        <f ca="1">IF(INDEX(INDAT,MATCH(O81,(INDIRECT(("months"),TRUE)),0),14)&gt;=0.01, "Overtime Hours"," ")</f>
        <v xml:space="preserve"> </v>
      </c>
      <c r="P86" s="199"/>
      <c r="Q86" s="199">
        <f ca="1">IF((INDEX(PYRL_Summary,MATCH(O81,months,0),16)&gt;=0.01),(INDEX(PYRL_Summary,MATCH(O81,months,0),16)&amp;" HRS"),0)</f>
        <v>0</v>
      </c>
      <c r="R86" s="198"/>
      <c r="S86" s="355">
        <f ca="1">IF((INDEX(PYRL_Summary,MATCH(O81,months,0),18)&gt;=0.01),(INDEX(PYRL_Summary,MATCH(O81,months,0),18)&amp;" HRS"),0)</f>
        <v>0</v>
      </c>
      <c r="T86" s="417" t="s">
        <v>178</v>
      </c>
      <c r="U86" s="418">
        <f ca="1">+(SUM(S80:S86))-(SUM(V81:V84))</f>
        <v>0</v>
      </c>
      <c r="V86" s="418"/>
    </row>
    <row r="87" spans="14:37" ht="23.25" customHeight="1" thickBot="1" x14ac:dyDescent="0.3">
      <c r="N87" s="421" t="s">
        <v>180</v>
      </c>
      <c r="O87" s="360" t="s">
        <v>181</v>
      </c>
      <c r="P87" s="361">
        <f>+O71</f>
        <v>46174</v>
      </c>
      <c r="Q87" s="362">
        <f ca="1">(INDEX(PYRL_Summary,MATCH(P77,months,1),32))</f>
        <v>0</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f ca="1">INDEX(PYRL_Summary,MATCH(O81,months,0),4)</f>
        <v>4</v>
      </c>
      <c r="O88" s="389" t="s">
        <v>187</v>
      </c>
      <c r="P88" s="390">
        <f>+X82</f>
        <v>0</v>
      </c>
      <c r="Q88" s="391" t="e">
        <f ca="1">INDEX(PYRL_Summary,MATCH(P88,months,0),31)</f>
        <v>#N/A</v>
      </c>
      <c r="R88" s="392" t="s">
        <v>188</v>
      </c>
      <c r="S88" s="393">
        <f ca="1">INDEX(PYRL_Summary,MATCH(O81,months,0),33)</f>
        <v>0</v>
      </c>
      <c r="T88" s="425" t="str">
        <f>+Clinic_add</f>
        <v>7,  Mediatrix, Sanctuary Str. Zabbar ZBR1010
8, Mediatrix, Guze Duca Str., Qormi QRM9088</v>
      </c>
      <c r="U88" s="426"/>
      <c r="V88" s="427" t="s">
        <v>189</v>
      </c>
    </row>
    <row r="89" spans="14:37" ht="27" customHeight="1" thickBot="1" x14ac:dyDescent="0.3">
      <c r="N89" s="403">
        <f ca="1">IF(OR(INDEX(PYRL_Summary,MATCH(O91,months,0),28)="pt",INDEX(PYRL_Summary,MATCH(O91,months,0),28)="pt_casual"),0,IF(N92-N91&gt;=1,1,0))</f>
        <v>0</v>
      </c>
      <c r="O89" s="908" t="str">
        <f>Surname&amp;" "&amp;Name</f>
        <v>Ellul Maria</v>
      </c>
      <c r="P89" s="394" t="str">
        <f>+IDCard</f>
        <v>302481M</v>
      </c>
      <c r="Q89" s="395" t="str">
        <f>+designation</f>
        <v>9. Receptionist</v>
      </c>
      <c r="R89" s="396" t="s">
        <v>156</v>
      </c>
      <c r="S89" s="397">
        <f ca="1">+S90+S93+S92+S94+S95+S96+S91</f>
        <v>0</v>
      </c>
      <c r="T89" s="431">
        <f>+FS4_Status</f>
        <v>0</v>
      </c>
      <c r="U89" s="573" t="str">
        <f ca="1">INDEX(INDAT,MATCH(O91,(INDIRECT(("months"),TRUE)),0),26)</f>
        <v>PT_CASUAL</v>
      </c>
      <c r="V89" s="432">
        <f ca="1">INDEX(INDAT,MATCH(O91,(INDIRECT(("months"),TRUE)),0),25)</f>
        <v>0</v>
      </c>
      <c r="W89" s="412">
        <f>+$O$11</f>
        <v>46235</v>
      </c>
      <c r="X89" s="424"/>
      <c r="Y89" s="424"/>
      <c r="Z89" s="73"/>
      <c r="AA89" s="73"/>
    </row>
    <row r="90" spans="14:37" ht="20.25" customHeight="1" thickBot="1" x14ac:dyDescent="0.3">
      <c r="N90" s="404">
        <f ca="1">IF(AND(OR((INDEX(PYRL_Summary,MATCH(O91,months,0),28))="PT",( INDEX(PYRL_Summary,MATCH(O91,months,0),28))="PT_casual" ),(N92-N91&gt;=1)),1,0)</f>
        <v>1</v>
      </c>
      <c r="O90" s="909"/>
      <c r="P90" s="415" t="s">
        <v>161</v>
      </c>
      <c r="Q90" s="414">
        <f ca="1">INDEX(PYRL_Summary,MATCH(O91,months,0),5)</f>
        <v>0</v>
      </c>
      <c r="R90" s="398" t="s">
        <v>94</v>
      </c>
      <c r="S90" s="399">
        <f ca="1">INDEX(PYRL_Summary,MATCH(O91,months,0),7)</f>
        <v>0</v>
      </c>
      <c r="T90" s="400" t="s">
        <v>162</v>
      </c>
      <c r="U90" s="401" t="s">
        <v>163</v>
      </c>
      <c r="V90" s="402" t="s">
        <v>164</v>
      </c>
      <c r="Z90" s="446" t="str">
        <f ca="1">IF((INDIRECT("[EMPINFO.xlsm]"&amp;$O$2&amp;"!M90")) = 0," ",(INDIRECT("[EMPINFO.xlsm]"&amp;$O$2&amp;"!M90")
))</f>
        <v xml:space="preserve"> </v>
      </c>
      <c r="AA90" s="446" t="str">
        <f ca="1">IF((INDIRECT("[EMPINFO.xlsm]"&amp;$O$2&amp;"!n90")) = 0," ",(INDIRECT("[EMPINFO.xlsm]"&amp;$O$2&amp;"!n90")
))</f>
        <v xml:space="preserve"> </v>
      </c>
      <c r="AB90" s="444" t="s">
        <v>165</v>
      </c>
      <c r="AC90" s="446" t="str">
        <f ca="1">IF((INDIRECT("[EMPINFO.xlsm]"&amp;$O$2&amp;"!p90")) = 0," ",(INDIRECT("[EMPINFO.xlsm]"&amp;$O$2&amp;"!p90")
))</f>
        <v xml:space="preserve"> </v>
      </c>
      <c r="AD90" s="446" t="str">
        <f ca="1">IF((INDIRECT("[EMPINFO.xlsm]"&amp;$O$2&amp;"!q90")) = 0," ",(INDIRECT("[EMPINFO.xlsm]"&amp;$O$2&amp;"!q90")
))</f>
        <v xml:space="preserve"> </v>
      </c>
    </row>
    <row r="91" spans="14:37" ht="15.75" customHeight="1" thickBot="1" x14ac:dyDescent="0.3">
      <c r="N91" s="405">
        <f>IF(TERMDATE&lt;O91,0,IF(StartEmp&lt;=O91,O91,(IF(AND(StartEmp&gt;=O91,StartEmp&lt;=O101),StartEmp,0))))</f>
        <v>46235</v>
      </c>
      <c r="O91" s="343">
        <f>+W89</f>
        <v>46235</v>
      </c>
      <c r="P91" s="191" t="str">
        <f>IF(AN74="PT","Hours Worked","Extra/ under Hours")</f>
        <v>Extra/ under Hours</v>
      </c>
      <c r="Q91" s="192"/>
      <c r="R91" s="192" t="str">
        <f ca="1">INDEX(PYRL_Summary,MATCH(O91,months,0),41)&amp;" HRS"</f>
        <v>0 HRS</v>
      </c>
      <c r="S91" s="193">
        <f ca="1">INDEX(PYRL_Summary,MATCH(O91,months,0),41)*aughrrt</f>
        <v>0</v>
      </c>
      <c r="T91" s="357">
        <f ca="1">+U91+V91</f>
        <v>0</v>
      </c>
      <c r="U91" s="358">
        <f ca="1">INDEX(PYRL_Summary,MATCH(O91,months,0),22)</f>
        <v>0</v>
      </c>
      <c r="V91" s="359">
        <f ca="1">INDEX(PYRL_Summary,MATCH(O91,months,0),23)</f>
        <v>0</v>
      </c>
      <c r="Z91" s="446" t="str">
        <f ca="1">IF((INDIRECT("[EMPINFO.xlsm]"&amp;$O$2&amp;"!M91")) = 0," ",(INDIRECT("[EMPINFO.xlsm]"&amp;$O$2&amp;"!M91")
))</f>
        <v xml:space="preserve"> </v>
      </c>
      <c r="AA91" s="446" t="str">
        <f ca="1">IF((INDIRECT("[EMPINFO.xlsm]"&amp;$O$2&amp;"!n91")) = 0," ",(INDIRECT("[EMPINFO.xlsm]"&amp;$O$2&amp;"!n91")
))</f>
        <v xml:space="preserve"> </v>
      </c>
      <c r="AB91" s="445" t="s">
        <v>165</v>
      </c>
      <c r="AC91" s="446" t="str">
        <f ca="1">IF((INDIRECT("[EMPINFO.xlsm]"&amp;$O$2&amp;"!p91")) = 0," ",(INDIRECT("[EMPINFO.xlsm]"&amp;$O$2&amp;"!p91")
))</f>
        <v xml:space="preserve"> </v>
      </c>
      <c r="AD91" s="446" t="str">
        <f ca="1">IF((INDIRECT("[EMPINFO.xlsm]"&amp;$O$2&amp;"!q91")) = 0," ",(INDIRECT("[EMPINFO.xlsm]"&amp;$O$2&amp;"!q91")
))</f>
        <v xml:space="preserve"> </v>
      </c>
    </row>
    <row r="92" spans="14:37" ht="21" customHeight="1" thickBot="1" x14ac:dyDescent="0.3">
      <c r="N92" s="405">
        <f>+IF(StartEmp&gt;=O101,0,IF(TERMDATE&gt;=O101,O101-1,(IF(AND(TERMDATE&lt;O101,TERMDATE&gt;=O91),TERMDATE,0))))</f>
        <v>46265</v>
      </c>
      <c r="O92" s="341" t="s">
        <v>170</v>
      </c>
      <c r="P92" s="342" t="s">
        <v>171</v>
      </c>
      <c r="Q92" s="300">
        <f>+O81</f>
        <v>46204</v>
      </c>
      <c r="R92" s="184" t="str">
        <f ca="1">INDEX(PYRL_Summary,MATCH(O81,months,0),39)&amp;" HRS"</f>
        <v>0 HRS</v>
      </c>
      <c r="S92" s="193">
        <f ca="1">INDEX(PYRL_Summary,MATCH(O81,months,0),9)</f>
        <v>0</v>
      </c>
      <c r="T92" s="186" t="s">
        <v>72</v>
      </c>
      <c r="U92" s="187">
        <f ca="1">INDEX(PYRL_Summary,MATCH(O91,months,0),25)</f>
        <v>0</v>
      </c>
      <c r="V92" s="348"/>
      <c r="Z92" s="446" t="str">
        <f ca="1">IF((INDIRECT("[EMPINFO.xlsm]"&amp;$O$2&amp;"!M92")) = 0," ",(INDIRECT("[EMPINFO.xlsm]"&amp;$O$2&amp;"!M92")
))</f>
        <v xml:space="preserve"> </v>
      </c>
      <c r="AA92" s="446" t="str">
        <f ca="1">IF((INDIRECT("[EMPINFO.xlsm]"&amp;$O$2&amp;"!n92")) = 0," ",(INDIRECT("[EMPINFO.xlsm]"&amp;$O$2&amp;"!n92")
))</f>
        <v xml:space="preserve"> </v>
      </c>
      <c r="AB92" s="445" t="s">
        <v>165</v>
      </c>
      <c r="AC92" s="446" t="str">
        <f ca="1">IF((INDIRECT("[EMPINFO.xlsm]"&amp;$O$2&amp;"!p92")) = 0," ",(INDIRECT("[EMPINFO.xlsm]"&amp;$O$2&amp;"!p92")
))</f>
        <v xml:space="preserve"> </v>
      </c>
      <c r="AD92" s="446" t="str">
        <f ca="1">IF((INDIRECT("[EMPINFO.xlsm]"&amp;$O$2&amp;"!q92")) = 0," ",(INDIRECT("[EMPINFO.xlsm]"&amp;$O$2&amp;"!q92")
))</f>
        <v xml:space="preserve"> </v>
      </c>
      <c r="AJ92" s="55"/>
      <c r="AK92" s="67"/>
    </row>
    <row r="93" spans="14:37" ht="16.149999999999999" customHeight="1" thickBot="1" x14ac:dyDescent="0.3">
      <c r="N93" s="404"/>
      <c r="O93" s="344">
        <f>+ID</f>
        <v>2024002</v>
      </c>
      <c r="P93" s="195" t="s">
        <v>172</v>
      </c>
      <c r="Q93" s="195"/>
      <c r="R93" s="194"/>
      <c r="S93" s="193">
        <f>INDEX(PYRL_Summary,MATCH(O91,months,0),11)</f>
        <v>0</v>
      </c>
      <c r="T93" s="196" t="str">
        <f ca="1">IF((INDEX(PYRL_Summary,MATCH(O91,months,0),19))&gt;=0.01, "Overtime Tax"," ")</f>
        <v xml:space="preserve"> </v>
      </c>
      <c r="U93" s="197"/>
      <c r="V93" s="349">
        <f ca="1">INDEX(PYRL_Summary,MATCH(O91,months,0),19)</f>
        <v>0</v>
      </c>
      <c r="X93" s="412">
        <f>+$O$11</f>
        <v>46235</v>
      </c>
      <c r="AJ93" s="55"/>
    </row>
    <row r="94" spans="14:37" ht="18.75" customHeight="1" thickBot="1" x14ac:dyDescent="0.35">
      <c r="N94" s="404"/>
      <c r="O94" s="188" t="s">
        <v>175</v>
      </c>
      <c r="P94" s="188"/>
      <c r="Q94" s="188"/>
      <c r="R94" s="200">
        <v>0</v>
      </c>
      <c r="S94" s="185">
        <f ca="1">INDEX(PYRL_Summary,MATCH(O91,months,0),10)</f>
        <v>0</v>
      </c>
      <c r="T94" s="189" t="s">
        <v>176</v>
      </c>
      <c r="U94" s="190"/>
      <c r="V94" s="350">
        <f ca="1">INDEX(PYRL_Summary,MATCH(O91,months,0),15)</f>
        <v>0</v>
      </c>
      <c r="X94" s="577"/>
    </row>
    <row r="95" spans="14:37" ht="15.75" customHeight="1" thickBot="1" x14ac:dyDescent="0.3">
      <c r="N95" s="404"/>
      <c r="O95" s="345" t="str">
        <f ca="1">IF(INDEX(INDAT,MATCH(O91,(INDIRECT(("months"),TRUE)),0),4)&gt;=0.01, "Performance Bonus"," ")</f>
        <v>Performance Bonus</v>
      </c>
      <c r="P95" s="100">
        <f ca="1">IF((INDEX(PYRL_Summary,MATCH(O91,months,0),12)&gt;=0.01),(INDEX(PYRL_Summary,MATCH(O91,months,0),12)),0)</f>
        <v>0</v>
      </c>
      <c r="Q95" s="99" t="str">
        <f ca="1">IF(INDEX(INDAT,MATCH(O91,(INDIRECT(("months"),TRUE)),0),5)&gt;=0.01, "Sup
 Bonus"," ")</f>
        <v xml:space="preserve"> </v>
      </c>
      <c r="R95" s="100">
        <f ca="1">IF((INDEX(PYRL_Summary,MATCH(O91,months,0),13)&gt;=0.01),(INDEX(PYRL_Summary,MATCH(O91,months,0),13)),0)</f>
        <v>0</v>
      </c>
      <c r="S95" s="102">
        <f ca="1">+P95+R95</f>
        <v>0</v>
      </c>
      <c r="T95" s="889" t="str">
        <f>+IBAN</f>
        <v>MT97VALL22013000000017316123017</v>
      </c>
      <c r="U95" s="890"/>
      <c r="V95" s="891"/>
    </row>
    <row r="96" spans="14:37" ht="17.25" customHeight="1" thickBot="1" x14ac:dyDescent="0.3">
      <c r="N96" s="404"/>
      <c r="O96" s="346" t="str">
        <f ca="1">IF(INDEX(INDAT,MATCH(O91,(INDIRECT(("months"),TRUE)),0),14)&gt;=0.01, "Overtime Hours"," ")</f>
        <v xml:space="preserve"> </v>
      </c>
      <c r="P96" s="199"/>
      <c r="Q96" s="199">
        <f ca="1">IF((INDEX(PYRL_Summary,MATCH(O91,months,0),16)&gt;=0.01),(INDEX(PYRL_Summary,MATCH(O91,months,0),16)&amp;" HRS"),0)</f>
        <v>0</v>
      </c>
      <c r="R96" s="198"/>
      <c r="S96" s="355">
        <f ca="1">IF((INDEX(PYRL_Summary,MATCH(O91,months,0),18)&gt;=0.01),(INDEX(PYRL_Summary,MATCH(O91,months,0),18)&amp;" HRS"),0)</f>
        <v>0</v>
      </c>
      <c r="T96" s="417" t="s">
        <v>178</v>
      </c>
      <c r="U96" s="418">
        <f ca="1">+(SUM(S90:S96))-(SUM(V91:V94))</f>
        <v>0</v>
      </c>
      <c r="V96" s="418"/>
    </row>
    <row r="97" spans="14:37" ht="26.25" customHeight="1" thickBot="1" x14ac:dyDescent="0.3">
      <c r="N97" s="413" t="s">
        <v>180</v>
      </c>
      <c r="O97" s="352" t="s">
        <v>181</v>
      </c>
      <c r="P97" s="351">
        <f>+O81</f>
        <v>46204</v>
      </c>
      <c r="Q97" s="353">
        <f ca="1">(INDEX(PYRL_Summary,MATCH(P97,months,1),32))</f>
        <v>0</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f ca="1">INDEX(PYRL_Summary,MATCH(O91,months,0),4)</f>
        <v>5</v>
      </c>
      <c r="O98" s="407" t="s">
        <v>187</v>
      </c>
      <c r="P98" s="408">
        <f>+O81</f>
        <v>46204</v>
      </c>
      <c r="Q98" s="409">
        <f ca="1">INDEX(PYRL_Summary,MATCH(P98,months,0),31)</f>
        <v>0</v>
      </c>
      <c r="R98" s="410" t="s">
        <v>188</v>
      </c>
      <c r="S98" s="411">
        <f ca="1">INDEX(PYRL_Summary,MATCH(O91,months,0),33)</f>
        <v>0</v>
      </c>
      <c r="T98" s="428" t="str">
        <f>+Clinic_add</f>
        <v>7,  Mediatrix, Sanctuary Str. Zabbar ZBR1010
8, Mediatrix, Guze Duca Str., Qormi QRM9088</v>
      </c>
      <c r="U98" s="429"/>
      <c r="V98" s="430" t="s">
        <v>189</v>
      </c>
    </row>
    <row r="99" spans="14:37" ht="27" customHeight="1" thickBot="1" x14ac:dyDescent="0.3">
      <c r="N99" s="386">
        <f ca="1">IF(OR(INDEX(PYRL_Summary,MATCH(O101,months,0),28)="pt",INDEX(PYRL_Summary,MATCH(O101,months,0),28)="pt_casual"),0,IF(N102-N101&gt;=1,1,0))</f>
        <v>0</v>
      </c>
      <c r="O99" s="894" t="str">
        <f>Surname&amp;" "&amp;Name</f>
        <v>Ellul Maria</v>
      </c>
      <c r="P99" s="374" t="str">
        <f>+IDCard</f>
        <v>302481M</v>
      </c>
      <c r="Q99" s="375" t="str">
        <f>+designation</f>
        <v>9. Receptionist</v>
      </c>
      <c r="R99" s="376" t="s">
        <v>156</v>
      </c>
      <c r="S99" s="377">
        <f ca="1">+S100+S103+S102+S104+S105+S106+S101</f>
        <v>0</v>
      </c>
      <c r="T99" s="378">
        <f>+FS4_Status</f>
        <v>0</v>
      </c>
      <c r="U99" s="572" t="str">
        <f ca="1">INDEX(INDAT,MATCH(O101,(INDIRECT(("months"),TRUE)),0),26)</f>
        <v>PT_CASUAL</v>
      </c>
      <c r="V99" s="379">
        <f ca="1">INDEX(INDAT,MATCH(O101,(INDIRECT(("months"),TRUE)),0),25)</f>
        <v>0</v>
      </c>
      <c r="W99" s="422">
        <f>+$O$12</f>
        <v>46266</v>
      </c>
      <c r="X99" s="423" t="s">
        <v>165</v>
      </c>
      <c r="Y99" s="423"/>
      <c r="Z99" s="73"/>
      <c r="AA99" s="73"/>
    </row>
    <row r="100" spans="14:37" ht="20.25" customHeight="1" thickBot="1" x14ac:dyDescent="0.3">
      <c r="N100" s="387">
        <f ca="1">IF(AND(OR((INDEX(PYRL_Summary,MATCH(O101,months,0),28))="PT",( INDEX(PYRL_Summary,MATCH(O101,months,0),28))="PT_casual" ),(N102-N101&gt;=1)),1,0)</f>
        <v>1</v>
      </c>
      <c r="O100" s="895"/>
      <c r="P100" s="416" t="s">
        <v>161</v>
      </c>
      <c r="Q100" s="380">
        <f ca="1">INDEX(PYRL_Summary,MATCH(O101,months,0),5)</f>
        <v>0</v>
      </c>
      <c r="R100" s="381" t="s">
        <v>94</v>
      </c>
      <c r="S100" s="382">
        <f ca="1">INDEX(PYRL_Summary,MATCH(O101,months,0),7)</f>
        <v>0</v>
      </c>
      <c r="T100" s="383" t="s">
        <v>162</v>
      </c>
      <c r="U100" s="384" t="s">
        <v>163</v>
      </c>
      <c r="V100" s="385" t="s">
        <v>164</v>
      </c>
      <c r="Z100" s="446" t="str">
        <f ca="1">IF((INDIRECT("[EMPINFO.xlsm]"&amp;$O$2&amp;"!M100")) = 0," ",(INDIRECT("[EMPINFO.xlsm]"&amp;$O$2&amp;"!M100")
))</f>
        <v xml:space="preserve"> </v>
      </c>
      <c r="AA100" s="446" t="str">
        <f ca="1">IF((INDIRECT("[EMPINFO.xlsm]"&amp;$O$2&amp;"!n100")) = 0," ",(INDIRECT("[EMPINFO.xlsm]"&amp;$O$2&amp;"!n100")
))</f>
        <v xml:space="preserve"> </v>
      </c>
      <c r="AB100" s="444" t="s">
        <v>165</v>
      </c>
      <c r="AC100" s="446" t="str">
        <f ca="1">IF((INDIRECT("[EMPINFO.xlsm]"&amp;$O$2&amp;"!p100")) = 0," ",(INDIRECT("[EMPINFO.xlsm]"&amp;$O$2&amp;"!p100")
))</f>
        <v xml:space="preserve"> </v>
      </c>
      <c r="AD100" s="446" t="str">
        <f ca="1">IF((INDIRECT("[EMPINFO.xlsm]"&amp;$O$2&amp;"!q100")) = 0," ",(INDIRECT("[EMPINFO.xlsm]"&amp;$O$2&amp;"!q100")
))</f>
        <v xml:space="preserve"> </v>
      </c>
    </row>
    <row r="101" spans="14:37" ht="15.75" customHeight="1" thickBot="1" x14ac:dyDescent="0.3">
      <c r="N101" s="419">
        <f>IF(TERMDATE&lt;O101,0,IF(StartEmp&lt;=O101,O101,(IF(AND(StartEmp&gt;=O101,StartEmp&lt;=W109),StartEmp,0))))</f>
        <v>46266</v>
      </c>
      <c r="O101" s="343">
        <f>+W99</f>
        <v>46266</v>
      </c>
      <c r="P101" s="371" t="str">
        <f>IF(AN84="PT","Hours Worked","Extra/ under Hours")</f>
        <v>Extra/ under Hours</v>
      </c>
      <c r="Q101" s="99"/>
      <c r="R101" s="99" t="str">
        <f ca="1">INDEX(PYRL_Summary,MATCH(O101,months,0),41)&amp;" HRS"</f>
        <v>0 HRS</v>
      </c>
      <c r="S101" s="367">
        <f ca="1">INDEX(PYRL_Summary,MATCH(O101,months,0),41)*sephrrt</f>
        <v>0</v>
      </c>
      <c r="T101" s="372">
        <f ca="1">+U101+V101</f>
        <v>0</v>
      </c>
      <c r="U101" s="372">
        <f ca="1">INDEX(PYRL_Summary,MATCH(O101,months,0),22)</f>
        <v>0</v>
      </c>
      <c r="V101" s="373">
        <f ca="1">INDEX(PYRL_Summary,MATCH(O101,months,0),23)</f>
        <v>0</v>
      </c>
      <c r="Z101" s="446" t="str">
        <f ca="1">IF((INDIRECT("[EMPINFO.xlsm]"&amp;$O$2&amp;"!M101")) = 0," ",(INDIRECT("[EMPINFO.xlsm]"&amp;$O$2&amp;"!M101")
))</f>
        <v xml:space="preserve"> </v>
      </c>
      <c r="AA101" s="446" t="str">
        <f ca="1">IF((INDIRECT("[EMPINFO.xlsm]"&amp;$O$2&amp;"!n101")) = 0," ",(INDIRECT("[EMPINFO.xlsm]"&amp;$O$2&amp;"!n101")
))</f>
        <v xml:space="preserve"> </v>
      </c>
      <c r="AB101" s="445" t="s">
        <v>165</v>
      </c>
      <c r="AC101" s="446" t="str">
        <f ca="1">IF((INDIRECT("[EMPINFO.xlsm]"&amp;$O$2&amp;"!p101")) = 0," ",(INDIRECT("[EMPINFO.xlsm]"&amp;$O$2&amp;"!p101")
))</f>
        <v xml:space="preserve"> </v>
      </c>
      <c r="AD101" s="446" t="str">
        <f ca="1">IF((INDIRECT("[EMPINFO.xlsm]"&amp;$O$2&amp;"!q101")) = 0," ",(INDIRECT("[EMPINFO.xlsm]"&amp;$O$2&amp;"!q101")
))</f>
        <v xml:space="preserve"> </v>
      </c>
    </row>
    <row r="102" spans="14:37" ht="21.75" customHeight="1" thickBot="1" x14ac:dyDescent="0.3">
      <c r="N102" s="419">
        <f>+IF(StartEmp&gt;=W109,0,IF(TERMDATE&gt;=W109,W109-1,(IF(AND(TERMDATE&lt;W109,TERMDATE&gt;=O101),TERMDATE,0))))</f>
        <v>46295</v>
      </c>
      <c r="O102" s="341" t="s">
        <v>170</v>
      </c>
      <c r="P102" s="342" t="s">
        <v>171</v>
      </c>
      <c r="Q102" s="300">
        <f>+O91</f>
        <v>46235</v>
      </c>
      <c r="R102" s="184" t="str">
        <f ca="1">INDEX(PYRL_Summary,MATCH(O91,months,0),39)&amp;" HRS"</f>
        <v>0 HRS</v>
      </c>
      <c r="S102" s="193">
        <f ca="1">INDEX(PYRL_Summary,MATCH(O91,months,0),9)</f>
        <v>0</v>
      </c>
      <c r="T102" s="186" t="s">
        <v>72</v>
      </c>
      <c r="U102" s="187">
        <f ca="1">INDEX(PYRL_Summary,MATCH(O101,months,0),25)</f>
        <v>0</v>
      </c>
      <c r="V102" s="348"/>
      <c r="Z102" s="446" t="str">
        <f ca="1">IF((INDIRECT("[EMPINFO.xlsm]"&amp;$O$2&amp;"!M102")) = 0," ",(INDIRECT("[EMPINFO.xlsm]"&amp;$O$2&amp;"!M102")
))</f>
        <v xml:space="preserve"> </v>
      </c>
      <c r="AA102" s="446" t="str">
        <f ca="1">IF((INDIRECT("[EMPINFO.xlsm]"&amp;$O$2&amp;"!n102")) = 0," ",(INDIRECT("[EMPINFO.xlsm]"&amp;$O$2&amp;"!n102")
))</f>
        <v xml:space="preserve"> </v>
      </c>
      <c r="AB102" s="445" t="s">
        <v>165</v>
      </c>
      <c r="AC102" s="446" t="str">
        <f ca="1">IF((INDIRECT("[EMPINFO.xlsm]"&amp;$O$2&amp;"!p102")) = 0," ",(INDIRECT("[EMPINFO.xlsm]"&amp;$O$2&amp;"!p102")
))</f>
        <v xml:space="preserve"> </v>
      </c>
      <c r="AD102" s="446" t="str">
        <f ca="1">IF((INDIRECT("[EMPINFO.xlsm]"&amp;$O$2&amp;"!q102")) = 0," ",(INDIRECT("[EMPINFO.xlsm]"&amp;$O$2&amp;"!q102")
))</f>
        <v xml:space="preserve"> </v>
      </c>
      <c r="AJ102" s="55"/>
      <c r="AK102" s="67"/>
    </row>
    <row r="103" spans="14:37" ht="16.149999999999999" customHeight="1" thickBot="1" x14ac:dyDescent="0.3">
      <c r="N103" s="420"/>
      <c r="O103" s="344">
        <f>+ID</f>
        <v>2024002</v>
      </c>
      <c r="P103" s="365" t="s">
        <v>172</v>
      </c>
      <c r="Q103" s="365"/>
      <c r="R103" s="366"/>
      <c r="S103" s="367">
        <f ca="1">INDEX(PYRL_Summary,MATCH(O101,months,0),11)</f>
        <v>0</v>
      </c>
      <c r="T103" s="368" t="str">
        <f ca="1">IF((INDEX(PYRL_Summary,MATCH(O101,months,0),19))&gt;=0.01, "Overtime Tax"," ")</f>
        <v xml:space="preserve"> </v>
      </c>
      <c r="U103" s="369"/>
      <c r="V103" s="370">
        <f ca="1">INDEX(PYRL_Summary,MATCH(O101,months,0),19)</f>
        <v>0</v>
      </c>
      <c r="X103" s="422">
        <f>+$O$12</f>
        <v>46266</v>
      </c>
      <c r="AJ103" s="55"/>
    </row>
    <row r="104" spans="14:37" ht="21.75" customHeight="1" thickBot="1" x14ac:dyDescent="0.35">
      <c r="N104" s="420"/>
      <c r="O104" s="188" t="s">
        <v>175</v>
      </c>
      <c r="P104" s="188"/>
      <c r="Q104" s="188"/>
      <c r="R104" s="200">
        <v>0</v>
      </c>
      <c r="S104" s="185">
        <f ca="1">INDEX(PYRL_Summary,MATCH(O101,months,0),10)</f>
        <v>0</v>
      </c>
      <c r="T104" s="189" t="s">
        <v>176</v>
      </c>
      <c r="U104" s="190"/>
      <c r="V104" s="350">
        <f ca="1">INDEX(PYRL_Summary,MATCH(O101,months,0),15)</f>
        <v>0</v>
      </c>
      <c r="X104" s="577"/>
    </row>
    <row r="105" spans="14:37" ht="15.75" customHeight="1" thickBot="1" x14ac:dyDescent="0.3">
      <c r="N105" s="420"/>
      <c r="O105" s="345" t="str">
        <f ca="1">IF(INDEX(INDAT,MATCH(O101,(INDIRECT(("months"),TRUE)),0),4)&gt;=0.01, "Performance Bonus"," ")</f>
        <v>Performance Bonus</v>
      </c>
      <c r="P105" s="100">
        <f ca="1">IF((INDEX(PYRL_Summary,MATCH(O101,months,0),12)&gt;=0.01),(INDEX(PYRL_Summary,MATCH(O101,months,0),12)),0)</f>
        <v>0</v>
      </c>
      <c r="Q105" s="99" t="str">
        <f ca="1">IF(INDEX(INDAT,MATCH(O101,(INDIRECT(("months"),TRUE)),0),5)&gt;=0.01, "Sup
 Bonus"," ")</f>
        <v xml:space="preserve"> </v>
      </c>
      <c r="R105" s="100">
        <f ca="1">IF((INDEX(PYRL_Summary,MATCH(O101,months,0),13)&gt;=0.01),(INDEX(PYRL_Summary,MATCH(O101,months,0),13)),0)</f>
        <v>0</v>
      </c>
      <c r="S105" s="102">
        <f ca="1">+P105+R105</f>
        <v>0</v>
      </c>
      <c r="T105" s="889" t="str">
        <f>+IBAN</f>
        <v>MT97VALL22013000000017316123017</v>
      </c>
      <c r="U105" s="890"/>
      <c r="V105" s="891"/>
    </row>
    <row r="106" spans="14:37" ht="17.25" customHeight="1" thickBot="1" x14ac:dyDescent="0.3">
      <c r="N106" s="420"/>
      <c r="O106" s="346" t="str">
        <f ca="1">IF(INDEX(INDAT,MATCH(O101,(INDIRECT(("months"),TRUE)),0),14)&gt;=0.01, "Overtime Hours"," ")</f>
        <v xml:space="preserve"> </v>
      </c>
      <c r="P106" s="199"/>
      <c r="Q106" s="199">
        <f ca="1">IF((INDEX(PYRL_Summary,MATCH(O101,months,0),16)&gt;=0.01),(INDEX(PYRL_Summary,MATCH(O101,months,0),16)&amp;" HRS"),0)</f>
        <v>0</v>
      </c>
      <c r="R106" s="198"/>
      <c r="S106" s="355">
        <f ca="1">IF((INDEX(PYRL_Summary,MATCH(O101,months,0),18)&gt;=0.01),(INDEX(PYRL_Summary,MATCH(O101,months,0),18)&amp;" HRS"),0)</f>
        <v>0</v>
      </c>
      <c r="T106" s="417" t="s">
        <v>178</v>
      </c>
      <c r="U106" s="418">
        <f ca="1">+(SUM(S100:S106))-(SUM(V101:V104))</f>
        <v>0</v>
      </c>
      <c r="V106" s="418"/>
    </row>
    <row r="107" spans="14:37" ht="24.75" customHeight="1" thickBot="1" x14ac:dyDescent="0.3">
      <c r="N107" s="421" t="s">
        <v>180</v>
      </c>
      <c r="O107" s="360" t="s">
        <v>181</v>
      </c>
      <c r="P107" s="361">
        <f>+O91</f>
        <v>46235</v>
      </c>
      <c r="Q107" s="362">
        <f ca="1">(INDEX(PYRL_Summary,MATCH(P107,months,1),32))</f>
        <v>0</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f ca="1">INDEX(PYRL_Summary,MATCH(O101,months,0),4)</f>
        <v>4</v>
      </c>
      <c r="O108" s="389" t="s">
        <v>187</v>
      </c>
      <c r="P108" s="390">
        <f>+O91</f>
        <v>46235</v>
      </c>
      <c r="Q108" s="391">
        <f ca="1">INDEX(PYRL_Summary,MATCH(P108,months,0),31)</f>
        <v>0</v>
      </c>
      <c r="R108" s="392" t="s">
        <v>188</v>
      </c>
      <c r="S108" s="393">
        <f ca="1">INDEX(PYRL_Summary,MATCH(O101,months,0),33)</f>
        <v>0</v>
      </c>
      <c r="T108" s="425" t="str">
        <f>+Clinic_add</f>
        <v>7,  Mediatrix, Sanctuary Str. Zabbar ZBR1010
8, Mediatrix, Guze Duca Str., Qormi QRM9088</v>
      </c>
      <c r="U108" s="426"/>
      <c r="V108" s="427" t="s">
        <v>189</v>
      </c>
    </row>
    <row r="109" spans="14:37" ht="27" customHeight="1" thickBot="1" x14ac:dyDescent="0.3">
      <c r="N109" s="403">
        <f ca="1">IF(OR(INDEX(PYRL_Summary,MATCH(W109,months,0),28)="pt",INDEX(PYRL_Summary,MATCH(W109,months,0),28)="pt_casual"),0,IF(N112-N111&gt;=1,1,0))</f>
        <v>0</v>
      </c>
      <c r="O109" s="908" t="str">
        <f>Surname&amp;" "&amp;Name</f>
        <v>Ellul Maria</v>
      </c>
      <c r="P109" s="394" t="str">
        <f>+IDCard</f>
        <v>302481M</v>
      </c>
      <c r="Q109" s="395" t="str">
        <f>+designation</f>
        <v>9. Receptionist</v>
      </c>
      <c r="R109" s="396" t="s">
        <v>156</v>
      </c>
      <c r="S109" s="397">
        <f ca="1">+S110+S113+S112+S114+S115+S116+S111</f>
        <v>0</v>
      </c>
      <c r="T109" s="431">
        <f>+FS4_Status</f>
        <v>0</v>
      </c>
      <c r="U109" s="573" t="str">
        <f ca="1">INDEX(INDAT,MATCH(W109,(INDIRECT(("months"),TRUE)),0),26)</f>
        <v>PT_CASUAL</v>
      </c>
      <c r="V109" s="432">
        <f ca="1">INDEX(INDAT,MATCH(W109,(INDIRECT(("months"),TRUE)),0),25)</f>
        <v>0</v>
      </c>
      <c r="W109" s="412">
        <f>+$O$111</f>
        <v>46296</v>
      </c>
      <c r="X109" s="424"/>
      <c r="Y109" s="424"/>
      <c r="Z109" s="73"/>
      <c r="AA109" s="73"/>
    </row>
    <row r="110" spans="14:37" ht="20.25" customHeight="1" thickBot="1" x14ac:dyDescent="0.3">
      <c r="N110" s="404">
        <f ca="1">IF(AND(OR((INDEX(PYRL_Summary,MATCH(W109,months,0),28))="PT",( INDEX(PYRL_Summary,MATCH(W109,months,0),28))="PT_casual" ),(N112-N111&gt;=1)),1,0)</f>
        <v>1</v>
      </c>
      <c r="O110" s="909"/>
      <c r="P110" s="415" t="s">
        <v>161</v>
      </c>
      <c r="Q110" s="414">
        <f ca="1">INDEX(PYRL_Summary,MATCH(W109,months,0),5)</f>
        <v>0</v>
      </c>
      <c r="R110" s="398" t="s">
        <v>94</v>
      </c>
      <c r="S110" s="399">
        <f ca="1">INDEX(PYRL_Summary,MATCH(W109,months,0),7)</f>
        <v>0</v>
      </c>
      <c r="T110" s="400" t="s">
        <v>162</v>
      </c>
      <c r="U110" s="401" t="s">
        <v>163</v>
      </c>
      <c r="V110" s="402" t="s">
        <v>164</v>
      </c>
      <c r="Z110" s="446" t="str">
        <f ca="1">IF((INDIRECT("[EMPINFO.xlsm]"&amp;$O$2&amp;"!M110")) = 0," ",(INDIRECT("[EMPINFO.xlsm]"&amp;$O$2&amp;"!M110")
))</f>
        <v xml:space="preserve"> </v>
      </c>
      <c r="AA110" s="446" t="str">
        <f ca="1">IF((INDIRECT("[EMPINFO.xlsm]"&amp;$O$2&amp;"!n110")) = 0," ",(INDIRECT("[EMPINFO.xlsm]"&amp;$O$2&amp;"!n110")
))</f>
        <v xml:space="preserve"> </v>
      </c>
      <c r="AB110" s="444" t="s">
        <v>165</v>
      </c>
      <c r="AC110" s="446" t="str">
        <f ca="1">IF((INDIRECT("[EMPINFO.xlsm]"&amp;$O$2&amp;"!p110")) = 0," ",(INDIRECT("[EMPINFO.xlsm]"&amp;$O$2&amp;"!p110")
))</f>
        <v xml:space="preserve"> </v>
      </c>
      <c r="AD110" s="446" t="str">
        <f ca="1">IF((INDIRECT("[EMPINFO.xlsm]"&amp;$O$2&amp;"!q110")) = 0," ",(INDIRECT("[EMPINFO.xlsm]"&amp;$O$2&amp;"!q110")
))</f>
        <v xml:space="preserve"> </v>
      </c>
    </row>
    <row r="111" spans="14:37" ht="15.75" customHeight="1" thickBot="1" x14ac:dyDescent="0.3">
      <c r="N111" s="405">
        <f>IF(TERMDATE&lt;W109,0,IF(StartEmp&lt;=W109,W109,(IF(AND(StartEmp&gt;=W109,StartEmp&lt;=W119),StartEmp,0))))</f>
        <v>46296</v>
      </c>
      <c r="O111" s="343">
        <f>+O13</f>
        <v>46296</v>
      </c>
      <c r="P111" s="191" t="str">
        <f>IF(AN94="PT","Hours Worked","Extra/ under Hours")</f>
        <v>Extra/ under Hours</v>
      </c>
      <c r="Q111" s="192"/>
      <c r="R111" s="192" t="str">
        <f ca="1">INDEX(PYRL_Summary,MATCH(W109,months,0),41)&amp;" HRS"</f>
        <v>0 HRS</v>
      </c>
      <c r="S111" s="193">
        <f ca="1">INDEX(PYRL_Summary,MATCH(W109,months,0),41)*octhrrt</f>
        <v>0</v>
      </c>
      <c r="T111" s="357">
        <f ca="1">+U111+V111</f>
        <v>0</v>
      </c>
      <c r="U111" s="358">
        <f ca="1">INDEX(PYRL_Summary,MATCH(W109,months,0),22)</f>
        <v>0</v>
      </c>
      <c r="V111" s="359">
        <f ca="1">INDEX(PYRL_Summary,MATCH(W109,months,0),23)</f>
        <v>0</v>
      </c>
      <c r="Z111" s="446" t="str">
        <f ca="1">IF((INDIRECT("[EMPINFO.xlsm]"&amp;$O$2&amp;"!M111")) = 0," ",(INDIRECT("[EMPINFO.xlsm]"&amp;$O$2&amp;"!M111")
))</f>
        <v xml:space="preserve"> </v>
      </c>
      <c r="AA111" s="446" t="str">
        <f ca="1">IF((INDIRECT("[EMPINFO.xlsm]"&amp;$O$2&amp;"!n111")) = 0," ",(INDIRECT("[EMPINFO.xlsm]"&amp;$O$2&amp;"!n111")
))</f>
        <v xml:space="preserve"> </v>
      </c>
      <c r="AB111" s="445" t="s">
        <v>165</v>
      </c>
      <c r="AC111" s="446" t="str">
        <f ca="1">IF((INDIRECT("[EMPINFO.xlsm]"&amp;$O$2&amp;"!p111")) = 0," ",(INDIRECT("[EMPINFO.xlsm]"&amp;$O$2&amp;"!p111")
))</f>
        <v xml:space="preserve"> </v>
      </c>
      <c r="AD111" s="446" t="str">
        <f ca="1">IF((INDIRECT("[EMPINFO.xlsm]"&amp;$O$2&amp;"!q111")) = 0," ",(INDIRECT("[EMPINFO.xlsm]"&amp;$O$2&amp;"!q111")
))</f>
        <v xml:space="preserve"> </v>
      </c>
    </row>
    <row r="112" spans="14:37" ht="15" customHeight="1" thickBot="1" x14ac:dyDescent="0.3">
      <c r="N112" s="405">
        <f>+IF(StartEmp&gt;=W119,0,IF(TERMDATE&gt;=W119,W119-1,(IF(AND(TERMDATE&lt;W119,TERMDATE&gt;=W109),TERMDATE,0))))</f>
        <v>46326</v>
      </c>
      <c r="O112" s="341" t="s">
        <v>170</v>
      </c>
      <c r="P112" s="342" t="s">
        <v>171</v>
      </c>
      <c r="Q112" s="300">
        <f>+O101</f>
        <v>46266</v>
      </c>
      <c r="R112" s="184" t="str">
        <f ca="1">INDEX(PYRL_Summary,MATCH(O101,months,0),39)&amp;" HRS"</f>
        <v>0 HRS</v>
      </c>
      <c r="S112" s="193">
        <f ca="1">INDEX(PYRL_Summary,MATCH(O101,months,0),9)</f>
        <v>0</v>
      </c>
      <c r="T112" s="186" t="s">
        <v>72</v>
      </c>
      <c r="U112" s="187">
        <f ca="1">INDEX(PYRL_Summary,MATCH(W109,months,0),25)</f>
        <v>0</v>
      </c>
      <c r="V112" s="348"/>
      <c r="Z112" s="446" t="str">
        <f ca="1">IF((INDIRECT("[EMPINFO.xlsm]"&amp;$O$2&amp;"!M112")) = 0," ",(INDIRECT("[EMPINFO.xlsm]"&amp;$O$2&amp;"!M112")
))</f>
        <v xml:space="preserve"> </v>
      </c>
      <c r="AA112" s="446" t="str">
        <f ca="1">IF((INDIRECT("[EMPINFO.xlsm]"&amp;$O$2&amp;"!n112")) = 0," ",(INDIRECT("[EMPINFO.xlsm]"&amp;$O$2&amp;"!n112")
))</f>
        <v xml:space="preserve"> </v>
      </c>
      <c r="AB112" s="445" t="s">
        <v>165</v>
      </c>
      <c r="AC112" s="446" t="str">
        <f ca="1">IF((INDIRECT("[EMPINFO.xlsm]"&amp;$O$2&amp;"!p112")) = 0," ",(INDIRECT("[EMPINFO.xlsm]"&amp;$O$2&amp;"!p112")
))</f>
        <v xml:space="preserve"> </v>
      </c>
      <c r="AD112" s="446" t="str">
        <f ca="1">IF((INDIRECT("[EMPINFO.xlsm]"&amp;$O$2&amp;"!q112")) = 0," ",(INDIRECT("[EMPINFO.xlsm]"&amp;$O$2&amp;"!q112")
))</f>
        <v xml:space="preserve"> </v>
      </c>
      <c r="AJ112" s="55"/>
      <c r="AK112" s="67"/>
    </row>
    <row r="113" spans="14:37" ht="16.149999999999999" customHeight="1" thickBot="1" x14ac:dyDescent="0.3">
      <c r="N113" s="404"/>
      <c r="O113" s="344">
        <f>+ID</f>
        <v>2024002</v>
      </c>
      <c r="P113" s="195" t="s">
        <v>172</v>
      </c>
      <c r="Q113" s="195"/>
      <c r="R113" s="194"/>
      <c r="S113" s="193">
        <f>INDEX(PYRL_Summary,MATCH(W109,months,0),11)</f>
        <v>0</v>
      </c>
      <c r="T113" s="196" t="str">
        <f ca="1">IF((INDEX(PYRL_Summary,MATCH(W109,months,0),19))&gt;=0.01, "Overtime Tax"," ")</f>
        <v xml:space="preserve"> </v>
      </c>
      <c r="U113" s="197"/>
      <c r="V113" s="349">
        <f ca="1">INDEX(PYRL_Summary,MATCH(W109,months,0),19)</f>
        <v>0</v>
      </c>
      <c r="X113" s="412">
        <f>+$O$111</f>
        <v>46296</v>
      </c>
      <c r="AJ113" s="55"/>
    </row>
    <row r="114" spans="14:37" ht="18" customHeight="1" thickBot="1" x14ac:dyDescent="0.35">
      <c r="N114" s="404"/>
      <c r="O114" s="188" t="s">
        <v>175</v>
      </c>
      <c r="P114" s="188"/>
      <c r="Q114" s="188"/>
      <c r="R114" s="200">
        <v>0</v>
      </c>
      <c r="S114" s="185">
        <f ca="1">INDEX(PYRL_Summary,MATCH(W109,months,0),10)</f>
        <v>0</v>
      </c>
      <c r="T114" s="189" t="s">
        <v>176</v>
      </c>
      <c r="U114" s="190"/>
      <c r="V114" s="350">
        <f ca="1">INDEX(PYRL_Summary,MATCH(W109,months,0),15)</f>
        <v>0</v>
      </c>
      <c r="X114" s="577"/>
    </row>
    <row r="115" spans="14:37" ht="15.75" customHeight="1" thickBot="1" x14ac:dyDescent="0.3">
      <c r="N115" s="404"/>
      <c r="O115" s="345" t="str">
        <f ca="1">IF(INDEX(INDAT,MATCH(W109,(INDIRECT(("months"),TRUE)),0),4)&gt;=0.01, "Performance Bonus"," ")</f>
        <v>Performance Bonus</v>
      </c>
      <c r="P115" s="100">
        <f ca="1">IF((INDEX(PYRL_Summary,MATCH(W109,months,0),12)&gt;=0.01),(INDEX(PYRL_Summary,MATCH(W109,months,0),12)),0)</f>
        <v>0</v>
      </c>
      <c r="Q115" s="99" t="str">
        <f ca="1">IF(INDEX(INDAT,MATCH(W109,(INDIRECT(("months"),TRUE)),0),5)&gt;=0.01, "Sup
 Bonus"," ")</f>
        <v xml:space="preserve"> </v>
      </c>
      <c r="R115" s="100">
        <f ca="1">IF((INDEX(PYRL_Summary,MATCH(W109,months,0),13)&gt;=0.01),(INDEX(PYRL_Summary,MATCH(W109,months,0),13)),0)</f>
        <v>0</v>
      </c>
      <c r="S115" s="102">
        <f ca="1">+P115+R115</f>
        <v>0</v>
      </c>
      <c r="T115" s="889" t="str">
        <f>+IBAN</f>
        <v>MT97VALL22013000000017316123017</v>
      </c>
      <c r="U115" s="890"/>
      <c r="V115" s="891"/>
    </row>
    <row r="116" spans="14:37" ht="17.25" customHeight="1" thickBot="1" x14ac:dyDescent="0.3">
      <c r="N116" s="404"/>
      <c r="O116" s="346" t="str">
        <f ca="1">IF(INDEX(INDAT,MATCH(W109,(INDIRECT(("months"),TRUE)),0),14)&gt;=0.01, "Overtime Hours"," ")</f>
        <v xml:space="preserve"> </v>
      </c>
      <c r="P116" s="199"/>
      <c r="Q116" s="199">
        <f ca="1">IF((INDEX(PYRL_Summary,MATCH(W109,months,0),16)&gt;=0.01),(INDEX(PYRL_Summary,MATCH(W109,months,0),16)&amp;" HRS"),0)</f>
        <v>0</v>
      </c>
      <c r="R116" s="198"/>
      <c r="S116" s="355">
        <f ca="1">IF((INDEX(PYRL_Summary,MATCH(W109,months,0),18)&gt;=0.01),(INDEX(PYRL_Summary,MATCH(W109,months,0),18)&amp;" HRS"),0)</f>
        <v>0</v>
      </c>
      <c r="T116" s="417" t="s">
        <v>178</v>
      </c>
      <c r="U116" s="418">
        <f ca="1">+(SUM(S110:S116))-(SUM(V111:V114))</f>
        <v>0</v>
      </c>
      <c r="V116" s="418"/>
    </row>
    <row r="117" spans="14:37" ht="24.75" customHeight="1" thickBot="1" x14ac:dyDescent="0.3">
      <c r="N117" s="413" t="s">
        <v>180</v>
      </c>
      <c r="O117" s="352" t="s">
        <v>181</v>
      </c>
      <c r="P117" s="351">
        <f>+O101</f>
        <v>46266</v>
      </c>
      <c r="Q117" s="353">
        <f ca="1">(INDEX(PYRL_Summary,MATCH(P117,months,1),32))</f>
        <v>0</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f ca="1">INDEX(PYRL_Summary,MATCH(W109,months,0),4)</f>
        <v>4</v>
      </c>
      <c r="O118" s="407" t="s">
        <v>187</v>
      </c>
      <c r="P118" s="408">
        <f>+O101</f>
        <v>46266</v>
      </c>
      <c r="Q118" s="409">
        <f ca="1">INDEX(PYRL_Summary,MATCH(P118,months,0),31)</f>
        <v>0</v>
      </c>
      <c r="R118" s="410" t="s">
        <v>188</v>
      </c>
      <c r="S118" s="411">
        <f ca="1">INDEX(PYRL_Summary,MATCH(W109,months,0),33)</f>
        <v>0</v>
      </c>
      <c r="T118" s="428" t="str">
        <f>+Clinic_add</f>
        <v>7,  Mediatrix, Sanctuary Str. Zabbar ZBR1010
8, Mediatrix, Guze Duca Str., Qormi QRM9088</v>
      </c>
      <c r="U118" s="429"/>
      <c r="V118" s="430" t="s">
        <v>189</v>
      </c>
    </row>
    <row r="119" spans="14:37" ht="27" customHeight="1" thickBot="1" x14ac:dyDescent="0.3">
      <c r="N119" s="386">
        <f ca="1">IF(OR(INDEX(PYRL_Summary,MATCH(W119,months,0),28)="pt",INDEX(PYRL_Summary,MATCH(W119,months,0),28)="pt_casual"),0,IF(N122-N121&gt;=1,1,0))</f>
        <v>0</v>
      </c>
      <c r="O119" s="894" t="str">
        <f>Surname&amp;" "&amp;Name</f>
        <v>Ellul Maria</v>
      </c>
      <c r="P119" s="374" t="str">
        <f>+IDCard</f>
        <v>302481M</v>
      </c>
      <c r="Q119" s="375" t="str">
        <f>+designation</f>
        <v>9. Receptionist</v>
      </c>
      <c r="R119" s="376" t="s">
        <v>156</v>
      </c>
      <c r="S119" s="377">
        <f ca="1">+S120+S123+S122+S124+S125+S126+S121</f>
        <v>0</v>
      </c>
      <c r="T119" s="378">
        <f>+FS4_Status</f>
        <v>0</v>
      </c>
      <c r="U119" s="572" t="str">
        <f ca="1">INDEX(INDAT,MATCH(W119,(INDIRECT(("months"),TRUE)),0),26)</f>
        <v>PT_CASUAL</v>
      </c>
      <c r="V119" s="379">
        <f ca="1">INDEX(INDAT,MATCH(W119,(INDIRECT(("months"),TRUE)),0),25)</f>
        <v>0</v>
      </c>
      <c r="W119" s="422">
        <f>+$O$121</f>
        <v>46327</v>
      </c>
      <c r="X119" s="423"/>
      <c r="Y119" s="423"/>
      <c r="Z119" s="73"/>
      <c r="AA119" s="73"/>
    </row>
    <row r="120" spans="14:37" ht="20.25" customHeight="1" thickBot="1" x14ac:dyDescent="0.3">
      <c r="N120" s="387">
        <f ca="1">IF(AND(OR((INDEX(PYRL_Summary,MATCH(W119,months,0),28))="PT",( INDEX(PYRL_Summary,MATCH(W119,months,0),28))="PT_casual" ),(N122-N121&gt;=1)),1,0)</f>
        <v>1</v>
      </c>
      <c r="O120" s="895"/>
      <c r="P120" s="416" t="s">
        <v>161</v>
      </c>
      <c r="Q120" s="380">
        <f ca="1">INDEX(PYRL_Summary,MATCH(W119,months,0),5)</f>
        <v>0</v>
      </c>
      <c r="R120" s="381" t="s">
        <v>94</v>
      </c>
      <c r="S120" s="382">
        <f ca="1">INDEX(PYRL_Summary,MATCH(W119,months,0),7)</f>
        <v>0</v>
      </c>
      <c r="T120" s="383" t="s">
        <v>162</v>
      </c>
      <c r="U120" s="384" t="s">
        <v>163</v>
      </c>
      <c r="V120" s="385" t="s">
        <v>164</v>
      </c>
      <c r="Z120" s="446" t="str">
        <f ca="1">IF((INDIRECT("[EMPINFO.xlsm]"&amp;$O$2&amp;"!M120")) = 0," ",(INDIRECT("[EMPINFO.xlsm]"&amp;$O$2&amp;"!M120")
))</f>
        <v xml:space="preserve"> </v>
      </c>
      <c r="AA120" s="446" t="str">
        <f ca="1">IF((INDIRECT("[EMPINFO.xlsm]"&amp;$O$2&amp;"!n120")) = 0," ",(INDIRECT("[EMPINFO.xlsm]"&amp;$O$2&amp;"!n120")
))</f>
        <v xml:space="preserve"> </v>
      </c>
      <c r="AB120" s="444" t="s">
        <v>165</v>
      </c>
      <c r="AC120" s="446" t="str">
        <f ca="1">IF((INDIRECT("[EMPINFO.xlsm]"&amp;$O$2&amp;"!p120")) = 0," ",(INDIRECT("[EMPINFO.xlsm]"&amp;$O$2&amp;"!p120")
))</f>
        <v xml:space="preserve"> </v>
      </c>
      <c r="AD120" s="446" t="str">
        <f ca="1">IF((INDIRECT("[EMPINFO.xlsm]"&amp;$O$2&amp;"!q120")) = 0," ",(INDIRECT("[EMPINFO.xlsm]"&amp;$O$2&amp;"!q120")
))</f>
        <v xml:space="preserve"> </v>
      </c>
    </row>
    <row r="121" spans="14:37" ht="15.75" customHeight="1" thickBot="1" x14ac:dyDescent="0.3">
      <c r="N121" s="419">
        <f>IF(TERMDATE&lt;W119,0,IF(StartEmp&lt;=W119,W119,(IF(AND(StartEmp&gt;=W119,StartEmp&lt;=W129),StartEmp,0))))</f>
        <v>46327</v>
      </c>
      <c r="O121" s="343">
        <f>+O14</f>
        <v>46327</v>
      </c>
      <c r="P121" s="371" t="str">
        <f>IF(AN104="PT","Hours Worked","Extra/ under Hours")</f>
        <v>Extra/ under Hours</v>
      </c>
      <c r="Q121" s="99"/>
      <c r="R121" s="99" t="str">
        <f ca="1">INDEX(PYRL_Summary,MATCH(W119,months,0),41)&amp;" HRS"</f>
        <v>0 HRS</v>
      </c>
      <c r="S121" s="367">
        <f ca="1">INDEX(PYRL_Summary,MATCH(W119,months,0),41)*novhrrt</f>
        <v>0</v>
      </c>
      <c r="T121" s="372">
        <f ca="1">+U121+V121</f>
        <v>0</v>
      </c>
      <c r="U121" s="372">
        <f ca="1">INDEX(PYRL_Summary,MATCH(W119,months,0),22)</f>
        <v>0</v>
      </c>
      <c r="V121" s="373">
        <f ca="1">INDEX(PYRL_Summary,MATCH(W119,months,0),23)</f>
        <v>0</v>
      </c>
      <c r="Z121" s="446" t="str">
        <f ca="1">IF((INDIRECT("[EMPINFO.xlsm]"&amp;$O$2&amp;"!M121")) = 0," ",(INDIRECT("[EMPINFO.xlsm]"&amp;$O$2&amp;"!M121")
))</f>
        <v xml:space="preserve"> </v>
      </c>
      <c r="AA121" s="446" t="str">
        <f ca="1">IF((INDIRECT("[EMPINFO.xlsm]"&amp;$O$2&amp;"!n121")) = 0," ",(INDIRECT("[EMPINFO.xlsm]"&amp;$O$2&amp;"!n121")
))</f>
        <v xml:space="preserve"> </v>
      </c>
      <c r="AB121" s="445" t="s">
        <v>165</v>
      </c>
      <c r="AC121" s="446" t="str">
        <f ca="1">IF((INDIRECT("[EMPINFO.xlsm]"&amp;$O$2&amp;"!p121")) = 0," ",(INDIRECT("[EMPINFO.xlsm]"&amp;$O$2&amp;"!p121")
))</f>
        <v xml:space="preserve"> </v>
      </c>
      <c r="AD121" s="446" t="str">
        <f ca="1">IF((INDIRECT("[EMPINFO.xlsm]"&amp;$O$2&amp;"!q121")) = 0," ",(INDIRECT("[EMPINFO.xlsm]"&amp;$O$2&amp;"!q121")
))</f>
        <v xml:space="preserve"> </v>
      </c>
    </row>
    <row r="122" spans="14:37" ht="15" customHeight="1" thickBot="1" x14ac:dyDescent="0.3">
      <c r="N122" s="419">
        <f>+IF(StartEmp&gt;=W129,0,IF(TERMDATE&gt;=W129,W129-1,(IF(AND(TERMDATE&lt;W129,TERMDATE&gt;=W119),TERMDATE,0))))</f>
        <v>46356</v>
      </c>
      <c r="O122" s="341" t="s">
        <v>170</v>
      </c>
      <c r="P122" s="342" t="s">
        <v>171</v>
      </c>
      <c r="Q122" s="300">
        <f>+W109</f>
        <v>46296</v>
      </c>
      <c r="R122" s="184" t="str">
        <f ca="1">INDEX(PYRL_Summary,MATCH(W109,months,0),39)&amp;" HRS"</f>
        <v>0 HRS</v>
      </c>
      <c r="S122" s="193">
        <f ca="1">INDEX(PYRL_Summary,MATCH(W109,months,0),9)</f>
        <v>0</v>
      </c>
      <c r="T122" s="186" t="s">
        <v>72</v>
      </c>
      <c r="U122" s="187">
        <f ca="1">INDEX(PYRL_Summary,MATCH(W119,months,0),25)</f>
        <v>0</v>
      </c>
      <c r="V122" s="348"/>
      <c r="Z122" s="446" t="str">
        <f ca="1">IF((INDIRECT("[EMPINFO.xlsm]"&amp;$O$2&amp;"!M122")) = 0," ",(INDIRECT("[EMPINFO.xlsm]"&amp;$O$2&amp;"!M122")
))</f>
        <v xml:space="preserve"> </v>
      </c>
      <c r="AA122" s="446" t="str">
        <f ca="1">IF((INDIRECT("[EMPINFO.xlsm]"&amp;$O$2&amp;"!n122")) = 0," ",(INDIRECT("[EMPINFO.xlsm]"&amp;$O$2&amp;"!n122")
))</f>
        <v xml:space="preserve"> </v>
      </c>
      <c r="AB122" s="445" t="s">
        <v>165</v>
      </c>
      <c r="AC122" s="446" t="str">
        <f ca="1">IF((INDIRECT("[EMPINFO.xlsm]"&amp;$O$2&amp;"!p122")) = 0," ",(INDIRECT("[EMPINFO.xlsm]"&amp;$O$2&amp;"!p122")
))</f>
        <v xml:space="preserve"> </v>
      </c>
      <c r="AD122" s="446" t="str">
        <f ca="1">IF((INDIRECT("[EMPINFO.xlsm]"&amp;$O$2&amp;"!q122")) = 0," ",(INDIRECT("[EMPINFO.xlsm]"&amp;$O$2&amp;"!q122")
))</f>
        <v xml:space="preserve"> </v>
      </c>
      <c r="AJ122" s="55"/>
      <c r="AK122" s="67"/>
    </row>
    <row r="123" spans="14:37" ht="16.149999999999999" customHeight="1" thickBot="1" x14ac:dyDescent="0.3">
      <c r="N123" s="420"/>
      <c r="O123" s="344">
        <f>+ID</f>
        <v>2024002</v>
      </c>
      <c r="P123" s="365" t="s">
        <v>172</v>
      </c>
      <c r="Q123" s="365"/>
      <c r="R123" s="366"/>
      <c r="S123" s="367">
        <f>INDEX(PYRL_Summary,MATCH(W119,months,0),11)</f>
        <v>0</v>
      </c>
      <c r="T123" s="368" t="str">
        <f ca="1">IF((INDEX(PYRL_Summary,MATCH(W119,months,0),19))&gt;=0.01, "Overtime Tax"," ")</f>
        <v xml:space="preserve"> </v>
      </c>
      <c r="U123" s="369"/>
      <c r="V123" s="370">
        <f ca="1">INDEX(PYRL_Summary,MATCH(W119,months,0),19)</f>
        <v>0</v>
      </c>
      <c r="X123" s="422">
        <f>+$O$121</f>
        <v>46327</v>
      </c>
      <c r="AJ123" s="55"/>
    </row>
    <row r="124" spans="14:37" ht="18.75" customHeight="1" thickBot="1" x14ac:dyDescent="0.35">
      <c r="N124" s="420"/>
      <c r="O124" s="188" t="s">
        <v>175</v>
      </c>
      <c r="P124" s="188"/>
      <c r="Q124" s="188"/>
      <c r="R124" s="200">
        <v>0</v>
      </c>
      <c r="S124" s="185">
        <f ca="1">INDEX(PYRL_Summary,MATCH(W119,months,0),10)</f>
        <v>0</v>
      </c>
      <c r="T124" s="189" t="s">
        <v>176</v>
      </c>
      <c r="U124" s="190"/>
      <c r="V124" s="350">
        <f ca="1">INDEX(PYRL_Summary,MATCH(W119,months,0),15)</f>
        <v>0</v>
      </c>
      <c r="X124" s="577"/>
    </row>
    <row r="125" spans="14:37" ht="15.75" customHeight="1" thickBot="1" x14ac:dyDescent="0.3">
      <c r="N125" s="420"/>
      <c r="O125" s="345" t="str">
        <f ca="1">IF(INDEX(INDAT,MATCH(W119,(INDIRECT(("months"),TRUE)),0),4)&gt;=0.01, "Performance Bonus"," ")</f>
        <v>Performance Bonus</v>
      </c>
      <c r="P125" s="100">
        <f ca="1">IF((INDEX(PYRL_Summary,MATCH(W119,months,0),12)&gt;=0.01),(INDEX(PYRL_Summary,MATCH(W119,months,0),12)),0)</f>
        <v>0</v>
      </c>
      <c r="Q125" s="99" t="str">
        <f ca="1">IF(INDEX(INDAT,MATCH(W119,(INDIRECT(("months"),TRUE)),0),5)&gt;=0.01, "Sup
 Bonus"," ")</f>
        <v xml:space="preserve"> </v>
      </c>
      <c r="R125" s="100">
        <f ca="1">IF((INDEX(PYRL_Summary,MATCH(W119,months,0),13)&gt;=0.01),(INDEX(PYRL_Summary,MATCH(W119,months,0),13)),0)</f>
        <v>0</v>
      </c>
      <c r="S125" s="102">
        <f ca="1">+P125+R125</f>
        <v>0</v>
      </c>
      <c r="T125" s="889" t="str">
        <f>+IBAN</f>
        <v>MT97VALL22013000000017316123017</v>
      </c>
      <c r="U125" s="890"/>
      <c r="V125" s="891"/>
    </row>
    <row r="126" spans="14:37" ht="17.25" customHeight="1" thickBot="1" x14ac:dyDescent="0.3">
      <c r="N126" s="420"/>
      <c r="O126" s="346" t="str">
        <f ca="1">IF(INDEX(INDAT,MATCH(W119,(INDIRECT(("months"),TRUE)),0),14)&gt;=0.01, "Overtime Hours"," ")</f>
        <v xml:space="preserve"> </v>
      </c>
      <c r="P126" s="199"/>
      <c r="Q126" s="199">
        <f ca="1">IF((INDEX(PYRL_Summary,MATCH(W119,months,0),16)&gt;=0.01),(INDEX(PYRL_Summary,MATCH(W119,months,0),16)&amp;" HRS"),0)</f>
        <v>0</v>
      </c>
      <c r="R126" s="198"/>
      <c r="S126" s="355">
        <f ca="1">IF((INDEX(PYRL_Summary,MATCH(W119,months,0),18)&gt;=0.01),(INDEX(PYRL_Summary,MATCH(W119,months,0),18)&amp;" HRS"),0)</f>
        <v>0</v>
      </c>
      <c r="T126" s="417" t="s">
        <v>178</v>
      </c>
      <c r="U126" s="418">
        <f ca="1">+(SUM(S120:S126))-(SUM(V121:V124))</f>
        <v>0</v>
      </c>
      <c r="V126" s="418"/>
    </row>
    <row r="127" spans="14:37" ht="24" customHeight="1" thickBot="1" x14ac:dyDescent="0.3">
      <c r="N127" s="421" t="s">
        <v>180</v>
      </c>
      <c r="O127" s="360" t="s">
        <v>181</v>
      </c>
      <c r="P127" s="361">
        <f>+W109</f>
        <v>46296</v>
      </c>
      <c r="Q127" s="362">
        <f ca="1">(INDEX(PYRL_Summary,MATCH(P127,months,1),32))</f>
        <v>0</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f ca="1">INDEX(PYRL_Summary,MATCH(W119,months,0),4)</f>
        <v>5</v>
      </c>
      <c r="O128" s="389" t="s">
        <v>187</v>
      </c>
      <c r="P128" s="390">
        <f>+W109</f>
        <v>46296</v>
      </c>
      <c r="Q128" s="391">
        <f ca="1">INDEX(PYRL_Summary,MATCH(P128,months,0),31)</f>
        <v>0</v>
      </c>
      <c r="R128" s="392" t="s">
        <v>188</v>
      </c>
      <c r="S128" s="393">
        <f ca="1">INDEX(PYRL_Summary,MATCH(W119,months,0),33)</f>
        <v>0</v>
      </c>
      <c r="T128" s="425" t="str">
        <f>+Clinic_add</f>
        <v>7,  Mediatrix, Sanctuary Str. Zabbar ZBR1010
8, Mediatrix, Guze Duca Str., Qormi QRM9088</v>
      </c>
      <c r="U128" s="426"/>
      <c r="V128" s="427" t="s">
        <v>189</v>
      </c>
    </row>
    <row r="129" spans="14:37" ht="27" customHeight="1" thickBot="1" x14ac:dyDescent="0.3">
      <c r="N129" s="403">
        <f ca="1">IF(OR(INDEX(PYRL_Summary,MATCH(W129,months,0),28)="pt",INDEX(PYRL_Summary,MATCH(W129,months,0),28)="pt_casual"),0,IF(N132-N131&gt;=1,1,0))</f>
        <v>0</v>
      </c>
      <c r="O129" s="908" t="str">
        <f>Surname&amp;" "&amp;Name</f>
        <v>Ellul Maria</v>
      </c>
      <c r="P129" s="394" t="str">
        <f>+IDCard</f>
        <v>302481M</v>
      </c>
      <c r="Q129" s="395" t="str">
        <f>+designation</f>
        <v>9. Receptionist</v>
      </c>
      <c r="R129" s="396" t="s">
        <v>156</v>
      </c>
      <c r="S129" s="397">
        <f ca="1">+S130+S133+S132+S134+S135+S136+S131</f>
        <v>0</v>
      </c>
      <c r="T129" s="431">
        <f>+FS4_Status</f>
        <v>0</v>
      </c>
      <c r="U129" s="573" t="str">
        <f ca="1">INDEX(INDAT,MATCH(W129,(INDIRECT(("months"),TRUE)),0),26)</f>
        <v>PT_CASUAL</v>
      </c>
      <c r="V129" s="432">
        <f ca="1">INDEX(INDAT,MATCH(W129,(INDIRECT(("months"),TRUE)),0),25)</f>
        <v>0</v>
      </c>
      <c r="W129" s="412">
        <f>+$O$131</f>
        <v>46357</v>
      </c>
      <c r="X129" s="424"/>
      <c r="Y129" s="424"/>
      <c r="Z129" s="73"/>
      <c r="AA129" s="73"/>
    </row>
    <row r="130" spans="14:37" ht="20.25" customHeight="1" thickBot="1" x14ac:dyDescent="0.3">
      <c r="N130" s="404"/>
      <c r="O130" s="909"/>
      <c r="P130" s="415" t="s">
        <v>161</v>
      </c>
      <c r="Q130" s="414">
        <f ca="1">INDEX(PYRL_Summary,MATCH(W129,months,0),5)</f>
        <v>0</v>
      </c>
      <c r="R130" s="398" t="s">
        <v>94</v>
      </c>
      <c r="S130" s="399">
        <f ca="1">INDEX(PYRL_Summary,MATCH(W129,months,0),7)</f>
        <v>0</v>
      </c>
      <c r="T130" s="400" t="s">
        <v>162</v>
      </c>
      <c r="U130" s="401" t="s">
        <v>163</v>
      </c>
      <c r="V130" s="402" t="s">
        <v>164</v>
      </c>
      <c r="Z130" s="446" t="str">
        <f ca="1">IF((INDIRECT("[EMPINFO.xlsm]"&amp;$O$2&amp;"!M130")) = 0," ",(INDIRECT("[EMPINFO.xlsm]"&amp;$O$2&amp;"!M130")
))</f>
        <v xml:space="preserve"> </v>
      </c>
      <c r="AA130" s="446" t="str">
        <f ca="1">IF((INDIRECT("[EMPINFO.xlsm]"&amp;$O$2&amp;"!n130")) = 0," ",(INDIRECT("[EMPINFO.xlsm]"&amp;$O$2&amp;"!n130")
))</f>
        <v xml:space="preserve"> </v>
      </c>
      <c r="AB130" s="444" t="s">
        <v>165</v>
      </c>
      <c r="AC130" s="446" t="str">
        <f ca="1">IF((INDIRECT("[EMPINFO.xlsm]"&amp;$O$2&amp;"!p130")) = 0," ",(INDIRECT("[EMPINFO.xlsm]"&amp;$O$2&amp;"!p130")
))</f>
        <v xml:space="preserve"> </v>
      </c>
      <c r="AD130" s="446" t="str">
        <f ca="1">IF((INDIRECT("[EMPINFO.xlsm]"&amp;$O$2&amp;"!q130")) = 0," ",(INDIRECT("[EMPINFO.xlsm]"&amp;$O$2&amp;"!q130")
))</f>
        <v xml:space="preserve"> </v>
      </c>
    </row>
    <row r="131" spans="14:37" ht="15.75" customHeight="1" thickBot="1" x14ac:dyDescent="0.3">
      <c r="N131" s="405">
        <f>IF(TERMDATE&lt;W129,0,IF(StartEmp&lt;=W129,W129,(IF(AND(StartEmp&gt;=W129,StartEmp&lt;=W146),StartEmp,0))))</f>
        <v>46357</v>
      </c>
      <c r="O131" s="343">
        <f>+O15</f>
        <v>46357</v>
      </c>
      <c r="P131" s="191" t="str">
        <f>IF(AN114="PT","Hours Worked","Extra/ under Hours")</f>
        <v>Extra/ under Hours</v>
      </c>
      <c r="Q131" s="192"/>
      <c r="R131" s="192" t="str">
        <f ca="1">INDEX(PYRL_Summary,MATCH(W129,months,0),41)&amp;" HRS"</f>
        <v>0 HRS</v>
      </c>
      <c r="S131" s="193">
        <f ca="1">INDEX(PYRL_Summary,MATCH(W129,months,0),41)*dechrrt</f>
        <v>0</v>
      </c>
      <c r="T131" s="357">
        <f ca="1">+U131+V131</f>
        <v>0</v>
      </c>
      <c r="U131" s="358">
        <f ca="1">INDEX(PYRL_Summary,MATCH(W129,months,0),22)</f>
        <v>0</v>
      </c>
      <c r="V131" s="359">
        <f ca="1">INDEX(PYRL_Summary,MATCH(W129,months,0),23)</f>
        <v>0</v>
      </c>
      <c r="Z131" s="446" t="str">
        <f ca="1">IF((INDIRECT("[EMPINFO.xlsm]"&amp;$O$2&amp;"!M131")) = 0," ",(INDIRECT("[EMPINFO.xlsm]"&amp;$O$2&amp;"!M131")
))</f>
        <v xml:space="preserve"> </v>
      </c>
      <c r="AA131" s="446" t="str">
        <f ca="1">IF((INDIRECT("[EMPINFO.xlsm]"&amp;$O$2&amp;"!n131")) = 0," ",(INDIRECT("[EMPINFO.xlsm]"&amp;$O$2&amp;"!n131")
))</f>
        <v xml:space="preserve"> </v>
      </c>
      <c r="AB131" s="445" t="s">
        <v>165</v>
      </c>
      <c r="AC131" s="446" t="str">
        <f ca="1">IF((INDIRECT("[EMPINFO.xlsm]"&amp;$O$2&amp;"!p131")) = 0," ",(INDIRECT("[EMPINFO.xlsm]"&amp;$O$2&amp;"!p131")
))</f>
        <v xml:space="preserve"> </v>
      </c>
      <c r="AD131" s="446" t="str">
        <f ca="1">IF((INDIRECT("[EMPINFO.xlsm]"&amp;$O$2&amp;"!q131")) = 0," ",(INDIRECT("[EMPINFO.xlsm]"&amp;$O$2&amp;"!q131")
))</f>
        <v xml:space="preserve"> </v>
      </c>
    </row>
    <row r="132" spans="14:37" ht="20.25" customHeight="1" thickBot="1" x14ac:dyDescent="0.3">
      <c r="N132" s="405">
        <f>+IF(StartEmp&gt;=W146,0,IF(TERMDATE&gt;=W146,W146-1,(IF(AND(TERMDATE&lt;W146,TERMDATE&gt;=W129),TERMDATE,0))))</f>
        <v>46387</v>
      </c>
      <c r="O132" s="341" t="s">
        <v>170</v>
      </c>
      <c r="P132" s="342" t="s">
        <v>171</v>
      </c>
      <c r="Q132" s="300">
        <f>+W119</f>
        <v>46327</v>
      </c>
      <c r="R132" s="184" t="str">
        <f ca="1">INDEX(PYRL_Summary,MATCH(W119,months,0),39)&amp;" HRS"</f>
        <v>0 HRS</v>
      </c>
      <c r="S132" s="193">
        <f ca="1">INDEX(PYRL_Summary,MATCH(W119,months,0),9)</f>
        <v>0</v>
      </c>
      <c r="T132" s="186" t="s">
        <v>72</v>
      </c>
      <c r="U132" s="187">
        <f ca="1">INDEX(PYRL_Summary,MATCH(W129,months,0),25)</f>
        <v>0</v>
      </c>
      <c r="V132" s="348"/>
      <c r="Z132" s="446" t="str">
        <f ca="1">IF((INDIRECT("[EMPINFO.xlsm]"&amp;$O$2&amp;"!M132")) = 0," ",(INDIRECT("[EMPINFO.xlsm]"&amp;$O$2&amp;"!M132")
))</f>
        <v xml:space="preserve"> </v>
      </c>
      <c r="AA132" s="446" t="str">
        <f ca="1">IF((INDIRECT("[EMPINFO.xlsm]"&amp;$O$2&amp;"!n132")) = 0," ",(INDIRECT("[EMPINFO.xlsm]"&amp;$O$2&amp;"!n132")
))</f>
        <v xml:space="preserve"> </v>
      </c>
      <c r="AB132" s="445" t="s">
        <v>165</v>
      </c>
      <c r="AC132" s="446" t="str">
        <f ca="1">IF((INDIRECT("[EMPINFO.xlsm]"&amp;$O$2&amp;"!p132")) = 0," ",(INDIRECT("[EMPINFO.xlsm]"&amp;$O$2&amp;"!p132")
))</f>
        <v xml:space="preserve"> </v>
      </c>
      <c r="AD132" s="446" t="str">
        <f ca="1">IF((INDIRECT("[EMPINFO.xlsm]"&amp;$O$2&amp;"!q132")) = 0," ",(INDIRECT("[EMPINFO.xlsm]"&amp;$O$2&amp;"!q132")
))</f>
        <v xml:space="preserve"> </v>
      </c>
      <c r="AJ132" s="55"/>
      <c r="AK132" s="67"/>
    </row>
    <row r="133" spans="14:37" ht="16.149999999999999" customHeight="1" thickBot="1" x14ac:dyDescent="0.3">
      <c r="N133" s="404"/>
      <c r="O133" s="344">
        <f>+ID</f>
        <v>2024002</v>
      </c>
      <c r="P133" s="195" t="s">
        <v>172</v>
      </c>
      <c r="Q133" s="195"/>
      <c r="R133" s="194"/>
      <c r="S133" s="193">
        <f ca="1">INDEX(PYRL_Summary,MATCH(W129,months,0),11)</f>
        <v>0</v>
      </c>
      <c r="T133" s="196" t="str">
        <f ca="1">IF((INDEX(PYRL_Summary,MATCH(W129,months,0),19))&gt;=0.01, "Overtime Tax"," ")</f>
        <v xml:space="preserve"> </v>
      </c>
      <c r="U133" s="197"/>
      <c r="V133" s="349">
        <f ca="1">INDEX(PYRL_Summary,MATCH(W129,months,0),19)</f>
        <v>0</v>
      </c>
      <c r="X133" s="412">
        <f>+$O$131</f>
        <v>46357</v>
      </c>
      <c r="AJ133" s="55"/>
    </row>
    <row r="134" spans="14:37" ht="18" customHeight="1" thickBot="1" x14ac:dyDescent="0.35">
      <c r="N134" s="404"/>
      <c r="O134" s="188" t="s">
        <v>175</v>
      </c>
      <c r="P134" s="188"/>
      <c r="Q134" s="188"/>
      <c r="R134" s="200">
        <v>0</v>
      </c>
      <c r="S134" s="185">
        <f ca="1">INDEX(PYRL_Summary,MATCH(W129,months,0),10)</f>
        <v>0</v>
      </c>
      <c r="T134" s="189" t="s">
        <v>176</v>
      </c>
      <c r="U134" s="190"/>
      <c r="V134" s="350">
        <f ca="1">INDEX(PYRL_Summary,MATCH(W129,months,0),15)</f>
        <v>0</v>
      </c>
      <c r="X134" s="577"/>
    </row>
    <row r="135" spans="14:37" ht="15.75" customHeight="1" thickBot="1" x14ac:dyDescent="0.3">
      <c r="N135" s="404"/>
      <c r="O135" s="345" t="str">
        <f ca="1">IF(INDEX(INDAT,MATCH(W129,(INDIRECT(("months"),TRUE)),0),4)&gt;=0.01, "Performance Bonus"," ")</f>
        <v>Performance Bonus</v>
      </c>
      <c r="P135" s="100">
        <f ca="1">IF((INDEX(PYRL_Summary,MATCH(W129,months,0),12)&gt;=0.01),(INDEX(PYRL_Summary,MATCH(W129,months,0),12)),0)</f>
        <v>0</v>
      </c>
      <c r="Q135" s="99" t="str">
        <f ca="1">IF(INDEX(INDAT,MATCH(W129,(INDIRECT(("months"),TRUE)),0),5)&gt;=0.01, "Sup
 Bonus"," ")</f>
        <v xml:space="preserve"> </v>
      </c>
      <c r="R135" s="100">
        <f ca="1">IF((INDEX(PYRL_Summary,MATCH(W129,months,0),13)&gt;=0.01),(INDEX(PYRL_Summary,MATCH(W129,months,0),13)),0)</f>
        <v>0</v>
      </c>
      <c r="S135" s="102">
        <f ca="1">+P135+R135</f>
        <v>0</v>
      </c>
      <c r="T135" s="889" t="str">
        <f>+IBAN</f>
        <v>MT97VALL22013000000017316123017</v>
      </c>
      <c r="U135" s="890"/>
      <c r="V135" s="891"/>
    </row>
    <row r="136" spans="14:37" ht="17.25" customHeight="1" thickBot="1" x14ac:dyDescent="0.3">
      <c r="N136" s="404"/>
      <c r="O136" s="346" t="str">
        <f ca="1">IF(INDEX(INDAT,MATCH(W129,(INDIRECT(("months"),TRUE)),0),14)&gt;=0.01, "Overtime Hours"," ")</f>
        <v xml:space="preserve"> </v>
      </c>
      <c r="P136" s="199"/>
      <c r="Q136" s="199">
        <f ca="1">IF((INDEX(PYRL_Summary,MATCH(W129,months,0),16)&gt;=0.01),(INDEX(PYRL_Summary,MATCH(W129,months,0),16)&amp;" HRS"),0)</f>
        <v>0</v>
      </c>
      <c r="R136" s="198"/>
      <c r="S136" s="355">
        <f ca="1">IF((INDEX(PYRL_Summary,MATCH(W129,months,0),18)&gt;=0.01),(INDEX(PYRL_Summary,MATCH(W129,months,0),18)&amp;" HRS"),0)</f>
        <v>0</v>
      </c>
      <c r="T136" s="417" t="s">
        <v>178</v>
      </c>
      <c r="U136" s="418">
        <f ca="1">+(SUM(S130:S136))-(SUM(V131:V134))</f>
        <v>0</v>
      </c>
      <c r="V136" s="418"/>
    </row>
    <row r="137" spans="14:37" ht="25.5" customHeight="1" thickBot="1" x14ac:dyDescent="0.3">
      <c r="N137" s="413" t="s">
        <v>180</v>
      </c>
      <c r="O137" s="352" t="s">
        <v>181</v>
      </c>
      <c r="P137" s="351">
        <f>+W119</f>
        <v>46327</v>
      </c>
      <c r="Q137" s="353">
        <f ca="1">(INDEX(PYRL_Summary,MATCH(P137,months,1),32))</f>
        <v>0</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f ca="1">INDEX(PYRL_Summary,MATCH(W129,months,0),4)</f>
        <v>4</v>
      </c>
      <c r="O138" s="407" t="s">
        <v>187</v>
      </c>
      <c r="P138" s="408">
        <f>+W119</f>
        <v>46327</v>
      </c>
      <c r="Q138" s="409">
        <f ca="1">INDEX(PYRL_Summary,MATCH(P138,months,0),31)</f>
        <v>0</v>
      </c>
      <c r="R138" s="410" t="s">
        <v>188</v>
      </c>
      <c r="S138" s="411">
        <f ca="1">INDEX(PYRL_Summary,MATCH(W129,months,0),33)</f>
        <v>0</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57" priority="29">
      <formula>$P25=0</formula>
    </cfRule>
  </conditionalFormatting>
  <conditionalFormatting sqref="Q25:R25">
    <cfRule type="expression" dxfId="56" priority="28">
      <formula>$R25=0</formula>
    </cfRule>
  </conditionalFormatting>
  <conditionalFormatting sqref="S25">
    <cfRule type="expression" dxfId="55" priority="27">
      <formula>$S25=0</formula>
    </cfRule>
  </conditionalFormatting>
  <conditionalFormatting sqref="S26">
    <cfRule type="expression" dxfId="54" priority="25">
      <formula>$S$46&gt;0.01</formula>
    </cfRule>
    <cfRule type="expression" dxfId="53" priority="26">
      <formula>$S$46=0</formula>
    </cfRule>
  </conditionalFormatting>
  <conditionalFormatting sqref="T23 T33 T43 T53 T63 T73 T83 T93 T103 T113 T123 T133">
    <cfRule type="expression" dxfId="52" priority="24" stopIfTrue="1">
      <formula>"$R$23=0"""</formula>
    </cfRule>
  </conditionalFormatting>
  <conditionalFormatting sqref="O26:Q26">
    <cfRule type="expression" dxfId="51" priority="23">
      <formula>$Q$26=0</formula>
    </cfRule>
  </conditionalFormatting>
  <conditionalFormatting sqref="V23">
    <cfRule type="expression" dxfId="50" priority="22">
      <formula>$V$23=0</formula>
    </cfRule>
  </conditionalFormatting>
  <conditionalFormatting sqref="O35:P35">
    <cfRule type="expression" dxfId="49" priority="21">
      <formula>$P35=0</formula>
    </cfRule>
  </conditionalFormatting>
  <conditionalFormatting sqref="Q35:R35">
    <cfRule type="expression" dxfId="48" priority="20">
      <formula>$R35=0</formula>
    </cfRule>
  </conditionalFormatting>
  <conditionalFormatting sqref="S35">
    <cfRule type="expression" dxfId="47" priority="19">
      <formula>$S35=0</formula>
    </cfRule>
  </conditionalFormatting>
  <conditionalFormatting sqref="S36">
    <cfRule type="expression" dxfId="46" priority="17">
      <formula>$S$46&gt;0.01</formula>
    </cfRule>
    <cfRule type="expression" dxfId="45" priority="18">
      <formula>$S$46=0</formula>
    </cfRule>
  </conditionalFormatting>
  <conditionalFormatting sqref="O36:Q36">
    <cfRule type="expression" dxfId="44" priority="16">
      <formula>$Q$26=0</formula>
    </cfRule>
  </conditionalFormatting>
  <conditionalFormatting sqref="V33">
    <cfRule type="expression" dxfId="43" priority="15">
      <formula>$V$23=0</formula>
    </cfRule>
  </conditionalFormatting>
  <conditionalFormatting sqref="O45:P45 O65:P65 O85:P85 O105:P105 O125:P125">
    <cfRule type="expression" dxfId="42" priority="14">
      <formula>$P45=0</formula>
    </cfRule>
  </conditionalFormatting>
  <conditionalFormatting sqref="Q45:R45 Q65:R65 Q85:R85 Q105:R105 Q125:R125">
    <cfRule type="expression" dxfId="41" priority="13">
      <formula>$R45=0</formula>
    </cfRule>
  </conditionalFormatting>
  <conditionalFormatting sqref="S45 S65 S85 S105 S125">
    <cfRule type="expression" dxfId="40" priority="12">
      <formula>$S45=0</formula>
    </cfRule>
  </conditionalFormatting>
  <conditionalFormatting sqref="S46 S66 S86 S106 S126">
    <cfRule type="expression" dxfId="39" priority="10">
      <formula>$S$46&gt;0.01</formula>
    </cfRule>
    <cfRule type="expression" dxfId="38" priority="11">
      <formula>$S$46=0</formula>
    </cfRule>
  </conditionalFormatting>
  <conditionalFormatting sqref="O46:Q46 O66:Q66 O86:Q86 O106:Q106 O126:Q126">
    <cfRule type="expression" dxfId="37" priority="9">
      <formula>$Q$26=0</formula>
    </cfRule>
  </conditionalFormatting>
  <conditionalFormatting sqref="V43 V63 V83 V103 V123">
    <cfRule type="expression" dxfId="36" priority="8">
      <formula>$V$23=0</formula>
    </cfRule>
  </conditionalFormatting>
  <conditionalFormatting sqref="O55:P55 O75:P75 O95:P95 O115:P115 O135:P135">
    <cfRule type="expression" dxfId="35" priority="7">
      <formula>$P55=0</formula>
    </cfRule>
  </conditionalFormatting>
  <conditionalFormatting sqref="Q55:R55 Q75:R75 Q95:R95 Q115:R115 Q135:R135">
    <cfRule type="expression" dxfId="34" priority="6">
      <formula>$R55=0</formula>
    </cfRule>
  </conditionalFormatting>
  <conditionalFormatting sqref="S55 S75 S95 S115 S135">
    <cfRule type="expression" dxfId="33" priority="5">
      <formula>$S55=0</formula>
    </cfRule>
  </conditionalFormatting>
  <conditionalFormatting sqref="S56 S76 S96 S116 S136">
    <cfRule type="expression" dxfId="32" priority="3">
      <formula>$S$46&gt;0.01</formula>
    </cfRule>
    <cfRule type="expression" dxfId="31" priority="4">
      <formula>$S$46=0</formula>
    </cfRule>
  </conditionalFormatting>
  <conditionalFormatting sqref="O56:Q56 O76:Q76 O96:Q96 O116:Q116 O136:Q136">
    <cfRule type="expression" dxfId="30" priority="2">
      <formula>$Q$26=0</formula>
    </cfRule>
  </conditionalFormatting>
  <conditionalFormatting sqref="V53 V73 V93 V113 V133">
    <cfRule type="expression" dxfId="29" priority="1">
      <formula>$V$23=0</formula>
    </cfRule>
  </conditionalFormatting>
  <hyperlinks>
    <hyperlink ref="F57" r:id="rId1" display="drchrisgauci@gmail.com" xr:uid="{00000000-0004-0000-2400-000000000000}"/>
  </hyperlinks>
  <printOptions horizontalCentered="1"/>
  <pageMargins left="0.25" right="0.25" top="0.25" bottom="0.25" header="0.3" footer="0.3"/>
  <pageSetup paperSize="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613825"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613826"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613827"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613828"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613829"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613830"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613831"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613832"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613833"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613834"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613835"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613836"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613837"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4">
    <tabColor rgb="FF04CCB9"/>
  </sheetPr>
  <dimension ref="A1"/>
  <sheetViews>
    <sheetView workbookViewId="0"/>
  </sheetViews>
  <sheetFormatPr defaultRowHeight="15" x14ac:dyDescent="0.25"/>
  <sheetData>
    <row r="1" spans="1:1" x14ac:dyDescent="0.25">
      <c r="A1" s="44" t="s">
        <v>259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64">
    <tabColor rgb="FF00B050"/>
  </sheetPr>
  <dimension ref="N1:AI132"/>
  <sheetViews>
    <sheetView workbookViewId="0"/>
  </sheetViews>
  <sheetFormatPr defaultColWidth="17.28515625" defaultRowHeight="15" customHeight="1" x14ac:dyDescent="0.25"/>
  <cols>
    <col min="1" max="13" width="17.28515625" style="73" customWidth="1"/>
    <col min="14" max="14" width="17.28515625" style="29" customWidth="1"/>
    <col min="15" max="25" width="17.28515625" style="73" customWidth="1"/>
    <col min="26" max="27" width="17.28515625" customWidth="1"/>
    <col min="28" max="28" width="17.28515625" style="73" customWidth="1"/>
    <col min="29" max="16384" width="17.28515625" style="73"/>
  </cols>
  <sheetData>
    <row r="1" spans="23:35" ht="15" customHeight="1" x14ac:dyDescent="0.25">
      <c r="W1" s="73" t="s">
        <v>260</v>
      </c>
    </row>
    <row r="2" spans="23:35" x14ac:dyDescent="0.25"/>
    <row r="3" spans="23:35" x14ac:dyDescent="0.25"/>
    <row r="4" spans="23:35" ht="15" customHeight="1" x14ac:dyDescent="0.25">
      <c r="AH4" s="73" t="b">
        <f t="shared" ref="AH4:AH15" si="0">IF(AN4="PT",0,IF(AM4="B",ROUND(SSCBemployermultiplier*P4,2),IF(AM4="c",SOCSECCRATE*AG4*P4,IF(AM4="D",ROUND(socsecrateD*P4,2)))))</f>
        <v>0</v>
      </c>
      <c r="AI4" s="73" t="b">
        <f t="shared" ref="AI4:AI15" si="1">IF(AN4="PT",0,IF(AM4="B",ROUND(SSCBemployermultiplier*P4,2),IF(AM4="c",SOCSECCRATE*AG4*P4,IF(AM4="D",ROUND(socsecrateD*P4,2)))))</f>
        <v>0</v>
      </c>
    </row>
    <row r="5" spans="23:35" ht="15" customHeight="1" x14ac:dyDescent="0.25">
      <c r="AH5" s="73" t="b">
        <f t="shared" si="0"/>
        <v>0</v>
      </c>
      <c r="AI5" s="73" t="b">
        <f t="shared" si="1"/>
        <v>0</v>
      </c>
    </row>
    <row r="6" spans="23:35" ht="15" customHeight="1" x14ac:dyDescent="0.25">
      <c r="AH6" s="73" t="b">
        <f t="shared" si="0"/>
        <v>0</v>
      </c>
      <c r="AI6" s="73" t="b">
        <f t="shared" si="1"/>
        <v>0</v>
      </c>
    </row>
    <row r="7" spans="23:35" ht="15" customHeight="1" x14ac:dyDescent="0.25">
      <c r="AH7" s="73" t="b">
        <f t="shared" si="0"/>
        <v>0</v>
      </c>
      <c r="AI7" s="73" t="b">
        <f t="shared" si="1"/>
        <v>0</v>
      </c>
    </row>
    <row r="8" spans="23:35" ht="15" customHeight="1" x14ac:dyDescent="0.25">
      <c r="AH8" s="73" t="b">
        <f t="shared" si="0"/>
        <v>0</v>
      </c>
      <c r="AI8" s="73" t="b">
        <f t="shared" si="1"/>
        <v>0</v>
      </c>
    </row>
    <row r="9" spans="23:35" ht="15" customHeight="1" x14ac:dyDescent="0.25">
      <c r="AH9" s="73" t="b">
        <f t="shared" si="0"/>
        <v>0</v>
      </c>
      <c r="AI9" s="73" t="b">
        <f t="shared" si="1"/>
        <v>0</v>
      </c>
    </row>
    <row r="10" spans="23:35" ht="15" customHeight="1" x14ac:dyDescent="0.25">
      <c r="AH10" s="73" t="b">
        <f t="shared" si="0"/>
        <v>0</v>
      </c>
      <c r="AI10" s="73" t="b">
        <f t="shared" si="1"/>
        <v>0</v>
      </c>
    </row>
    <row r="11" spans="23:35" ht="15" customHeight="1" x14ac:dyDescent="0.25">
      <c r="AH11" s="73" t="b">
        <f t="shared" si="0"/>
        <v>0</v>
      </c>
      <c r="AI11" s="73" t="b">
        <f t="shared" si="1"/>
        <v>0</v>
      </c>
    </row>
    <row r="12" spans="23:35" ht="15" customHeight="1" x14ac:dyDescent="0.25">
      <c r="AH12" s="73" t="b">
        <f t="shared" si="0"/>
        <v>0</v>
      </c>
      <c r="AI12" s="73" t="b">
        <f t="shared" si="1"/>
        <v>0</v>
      </c>
    </row>
    <row r="13" spans="23:35" ht="15" customHeight="1" x14ac:dyDescent="0.25">
      <c r="AH13" s="73" t="b">
        <f t="shared" si="0"/>
        <v>0</v>
      </c>
      <c r="AI13" s="73" t="b">
        <f t="shared" si="1"/>
        <v>0</v>
      </c>
    </row>
    <row r="14" spans="23:35" ht="15" customHeight="1" x14ac:dyDescent="0.25">
      <c r="AH14" s="73" t="b">
        <f t="shared" si="0"/>
        <v>0</v>
      </c>
      <c r="AI14" s="73" t="b">
        <f t="shared" si="1"/>
        <v>0</v>
      </c>
    </row>
    <row r="15" spans="23:35" ht="15" customHeight="1" x14ac:dyDescent="0.25">
      <c r="AH15" s="73" t="b">
        <f t="shared" si="0"/>
        <v>0</v>
      </c>
      <c r="AI15" s="73" t="b">
        <f t="shared" si="1"/>
        <v>0</v>
      </c>
    </row>
    <row r="16" spans="23:35" x14ac:dyDescent="0.25"/>
    <row r="17" spans="19:24" x14ac:dyDescent="0.25"/>
    <row r="18" spans="19:24" x14ac:dyDescent="0.25"/>
    <row r="19" spans="19:24" x14ac:dyDescent="0.25"/>
    <row r="20" spans="19:24" x14ac:dyDescent="0.25"/>
    <row r="21" spans="19:24" x14ac:dyDescent="0.25"/>
    <row r="22" spans="19:24" ht="15" customHeight="1" x14ac:dyDescent="0.25">
      <c r="S22" s="73" t="e">
        <f>INDEX(PYRL_Summary,MATCH(X25,months,0),9)</f>
        <v>#NAME?</v>
      </c>
    </row>
    <row r="23" spans="19:24" x14ac:dyDescent="0.25"/>
    <row r="24" spans="19:24" ht="15" customHeight="1" x14ac:dyDescent="0.25">
      <c r="X24" s="575"/>
    </row>
    <row r="25" spans="19:24" x14ac:dyDescent="0.25"/>
    <row r="26" spans="19:24" ht="15" customHeight="1" x14ac:dyDescent="0.25">
      <c r="X26" s="575"/>
    </row>
    <row r="27" spans="19:24" x14ac:dyDescent="0.25"/>
    <row r="28" spans="19:24" x14ac:dyDescent="0.25"/>
    <row r="29" spans="19:24" x14ac:dyDescent="0.25"/>
    <row r="30" spans="19:24" x14ac:dyDescent="0.25"/>
    <row r="31" spans="19:24" x14ac:dyDescent="0.25"/>
    <row r="32" spans="19:24" ht="15" customHeight="1" x14ac:dyDescent="0.25">
      <c r="S32" s="73" t="e">
        <f>INDEX(PYRL_Summary,MATCH(W26,months,0),9)</f>
        <v>#NAME?</v>
      </c>
    </row>
    <row r="33" spans="19:19" x14ac:dyDescent="0.25"/>
    <row r="34" spans="19:19" x14ac:dyDescent="0.25"/>
    <row r="35" spans="19:19" x14ac:dyDescent="0.25"/>
    <row r="36" spans="19:19" x14ac:dyDescent="0.25"/>
    <row r="37" spans="19:19" x14ac:dyDescent="0.25"/>
    <row r="38" spans="19:19" x14ac:dyDescent="0.25"/>
    <row r="39" spans="19:19" x14ac:dyDescent="0.25"/>
    <row r="40" spans="19:19" x14ac:dyDescent="0.25"/>
    <row r="41" spans="19:19" x14ac:dyDescent="0.25"/>
    <row r="42" spans="19:19" ht="15" customHeight="1" x14ac:dyDescent="0.25">
      <c r="S42" s="73" t="e">
        <f>INDEX(PYRL_Summary,MATCH(W36,months,0),9)</f>
        <v>#NAME?</v>
      </c>
    </row>
    <row r="43" spans="19:19" x14ac:dyDescent="0.25"/>
    <row r="44" spans="19:19" x14ac:dyDescent="0.25"/>
    <row r="45" spans="19:19" x14ac:dyDescent="0.25"/>
    <row r="46" spans="19:19" x14ac:dyDescent="0.25"/>
    <row r="47" spans="19:19" x14ac:dyDescent="0.25"/>
    <row r="48" spans="19:19" x14ac:dyDescent="0.25"/>
    <row r="49" spans="19:19" x14ac:dyDescent="0.25"/>
    <row r="50" spans="19:19" x14ac:dyDescent="0.25"/>
    <row r="51" spans="19:19" x14ac:dyDescent="0.25"/>
    <row r="52" spans="19:19" ht="15" customHeight="1" x14ac:dyDescent="0.25">
      <c r="S52" s="73" t="e">
        <f>INDEX(PYRL_Summary,MATCH(W46,months,0),9)</f>
        <v>#NAME?</v>
      </c>
    </row>
    <row r="53" spans="19:19" x14ac:dyDescent="0.25"/>
    <row r="54" spans="19:19" x14ac:dyDescent="0.25"/>
    <row r="55" spans="19:19" x14ac:dyDescent="0.25"/>
    <row r="56" spans="19:19" x14ac:dyDescent="0.25"/>
    <row r="57" spans="19:19" x14ac:dyDescent="0.25"/>
    <row r="58" spans="19:19" x14ac:dyDescent="0.25"/>
    <row r="59" spans="19:19" x14ac:dyDescent="0.25"/>
    <row r="60" spans="19:19" x14ac:dyDescent="0.25"/>
    <row r="61" spans="19:19" x14ac:dyDescent="0.25"/>
    <row r="62" spans="19:19" ht="15" customHeight="1" x14ac:dyDescent="0.25">
      <c r="S62" s="73" t="e">
        <f>INDEX(PYRL_Summary,MATCH(W56,months,0),9)</f>
        <v>#NAME?</v>
      </c>
    </row>
    <row r="63" spans="19:19" x14ac:dyDescent="0.25"/>
    <row r="64" spans="19:19" x14ac:dyDescent="0.25"/>
    <row r="65" spans="19:19" x14ac:dyDescent="0.25"/>
    <row r="66" spans="19:19" x14ac:dyDescent="0.25"/>
    <row r="67" spans="19:19" x14ac:dyDescent="0.25"/>
    <row r="68" spans="19:19" x14ac:dyDescent="0.25"/>
    <row r="69" spans="19:19" x14ac:dyDescent="0.25"/>
    <row r="70" spans="19:19" x14ac:dyDescent="0.25"/>
    <row r="71" spans="19:19" x14ac:dyDescent="0.25"/>
    <row r="72" spans="19:19" ht="15" customHeight="1" x14ac:dyDescent="0.25">
      <c r="S72" s="73" t="e">
        <f>INDEX(PYRL_Summary,MATCH(W66,months,0),9)</f>
        <v>#NAME?</v>
      </c>
    </row>
    <row r="73" spans="19:19" x14ac:dyDescent="0.25"/>
    <row r="74" spans="19:19" x14ac:dyDescent="0.25"/>
    <row r="75" spans="19:19" x14ac:dyDescent="0.25"/>
    <row r="76" spans="19:19" x14ac:dyDescent="0.25"/>
    <row r="77" spans="19:19" x14ac:dyDescent="0.25"/>
    <row r="78" spans="19:19" x14ac:dyDescent="0.25"/>
    <row r="79" spans="19:19" x14ac:dyDescent="0.25"/>
    <row r="80" spans="19:19" x14ac:dyDescent="0.25"/>
    <row r="81" spans="19:19" x14ac:dyDescent="0.25"/>
    <row r="82" spans="19:19" ht="15" customHeight="1" x14ac:dyDescent="0.25">
      <c r="S82" s="73" t="e">
        <f>INDEX(PYRL_Summary,MATCH(W76,months,0),9)</f>
        <v>#NAME?</v>
      </c>
    </row>
    <row r="83" spans="19:19" x14ac:dyDescent="0.25"/>
    <row r="84" spans="19:19" x14ac:dyDescent="0.25"/>
    <row r="85" spans="19:19" x14ac:dyDescent="0.25"/>
    <row r="86" spans="19:19" x14ac:dyDescent="0.25"/>
    <row r="87" spans="19:19" x14ac:dyDescent="0.25"/>
    <row r="88" spans="19:19" x14ac:dyDescent="0.25"/>
    <row r="89" spans="19:19" x14ac:dyDescent="0.25"/>
    <row r="90" spans="19:19" x14ac:dyDescent="0.25"/>
    <row r="91" spans="19:19" x14ac:dyDescent="0.25"/>
    <row r="92" spans="19:19" ht="15" customHeight="1" x14ac:dyDescent="0.25">
      <c r="S92" s="73" t="e">
        <f>INDEX(PYRL_Summary,MATCH(W86,months,0),9)</f>
        <v>#NAME?</v>
      </c>
    </row>
    <row r="93" spans="19:19" x14ac:dyDescent="0.25"/>
    <row r="94" spans="19:19" x14ac:dyDescent="0.25"/>
    <row r="95" spans="19:19" x14ac:dyDescent="0.25"/>
    <row r="96" spans="19:19" x14ac:dyDescent="0.25"/>
    <row r="97" spans="19:19" x14ac:dyDescent="0.25"/>
    <row r="98" spans="19:19" x14ac:dyDescent="0.25"/>
    <row r="99" spans="19:19" x14ac:dyDescent="0.25"/>
    <row r="100" spans="19:19" x14ac:dyDescent="0.25"/>
    <row r="101" spans="19:19" x14ac:dyDescent="0.25"/>
    <row r="102" spans="19:19" ht="15" customHeight="1" x14ac:dyDescent="0.25">
      <c r="S102" s="73" t="e">
        <f>INDEX(PYRL_Summary,MATCH(W96,months,0),9)</f>
        <v>#NAME?</v>
      </c>
    </row>
    <row r="103" spans="19:19" x14ac:dyDescent="0.25"/>
    <row r="104" spans="19:19" x14ac:dyDescent="0.25"/>
    <row r="105" spans="19:19" x14ac:dyDescent="0.25"/>
    <row r="106" spans="19:19" x14ac:dyDescent="0.25"/>
    <row r="107" spans="19:19" x14ac:dyDescent="0.25"/>
    <row r="108" spans="19:19" x14ac:dyDescent="0.25"/>
    <row r="109" spans="19:19" x14ac:dyDescent="0.25"/>
    <row r="110" spans="19:19" x14ac:dyDescent="0.25"/>
    <row r="111" spans="19:19" x14ac:dyDescent="0.25"/>
    <row r="112" spans="19:19" ht="15" customHeight="1" x14ac:dyDescent="0.25">
      <c r="S112" s="73" t="e">
        <f>INDEX(PYRL_Summary,MATCH(W106,months,0),9)</f>
        <v>#NAME?</v>
      </c>
    </row>
    <row r="113" spans="19:19" x14ac:dyDescent="0.25"/>
    <row r="114" spans="19:19" x14ac:dyDescent="0.25"/>
    <row r="115" spans="19:19" x14ac:dyDescent="0.25"/>
    <row r="116" spans="19:19" x14ac:dyDescent="0.25"/>
    <row r="117" spans="19:19" x14ac:dyDescent="0.25"/>
    <row r="118" spans="19:19" x14ac:dyDescent="0.25"/>
    <row r="119" spans="19:19" x14ac:dyDescent="0.25"/>
    <row r="120" spans="19:19" x14ac:dyDescent="0.25"/>
    <row r="121" spans="19:19" x14ac:dyDescent="0.25"/>
    <row r="122" spans="19:19" ht="15" customHeight="1" x14ac:dyDescent="0.25">
      <c r="S122" s="73" t="e">
        <f>INDEX(PYRL_Summary,MATCH(W116,months,0),9)</f>
        <v>#NAME?</v>
      </c>
    </row>
    <row r="123" spans="19:19" x14ac:dyDescent="0.25"/>
    <row r="124" spans="19:19" x14ac:dyDescent="0.25"/>
    <row r="125" spans="19:19" x14ac:dyDescent="0.25"/>
    <row r="126" spans="19:19" x14ac:dyDescent="0.25"/>
    <row r="127" spans="19:19" x14ac:dyDescent="0.25"/>
    <row r="128" spans="19:19" x14ac:dyDescent="0.25"/>
    <row r="129" spans="19:19" x14ac:dyDescent="0.25"/>
    <row r="130" spans="19:19" x14ac:dyDescent="0.25"/>
    <row r="131" spans="19:19" x14ac:dyDescent="0.25"/>
    <row r="132" spans="19:19" ht="15" customHeight="1" x14ac:dyDescent="0.25">
      <c r="S132" s="73" t="e">
        <f>INDEX(PYRL_Summary,MATCH(W126,months,0),9)</f>
        <v>#NAME?</v>
      </c>
    </row>
  </sheetData>
  <pageMargins left="0.7" right="0.7" top="0.75" bottom="0.75" header="0.3" footer="0.3"/>
  <pageSetup paperSize="9" orientation="portrait" verticalDpi="3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3"/>
  <dimension ref="A2:V141"/>
  <sheetViews>
    <sheetView workbookViewId="0">
      <selection activeCell="D7" sqref="D7"/>
    </sheetView>
  </sheetViews>
  <sheetFormatPr defaultRowHeight="15" x14ac:dyDescent="0.25"/>
  <cols>
    <col min="1" max="1" width="18.5703125" customWidth="1"/>
    <col min="2" max="20" width="12.85546875" customWidth="1"/>
    <col min="21" max="22" width="14.28515625" customWidth="1"/>
  </cols>
  <sheetData>
    <row r="2" spans="1:22" ht="39.75" customHeight="1" thickBot="1" x14ac:dyDescent="0.4">
      <c r="A2" s="278">
        <f>DATA!$A$2</f>
        <v>46023</v>
      </c>
    </row>
    <row r="3" spans="1:22" ht="15.75" customHeight="1" thickBot="1" x14ac:dyDescent="0.3">
      <c r="A3" s="271" t="s">
        <v>261</v>
      </c>
      <c r="B3" s="49"/>
      <c r="C3" s="49"/>
      <c r="D3" s="49"/>
      <c r="E3" s="49"/>
      <c r="F3" s="49"/>
      <c r="G3" s="49"/>
      <c r="H3" s="49"/>
      <c r="I3" s="49"/>
      <c r="J3" s="49"/>
      <c r="K3" s="49"/>
      <c r="L3" s="49"/>
      <c r="M3" s="49"/>
      <c r="N3" s="49"/>
      <c r="O3" s="49"/>
      <c r="P3" s="49"/>
      <c r="Q3" s="49"/>
      <c r="R3" s="49"/>
      <c r="S3" s="49"/>
      <c r="T3" s="49"/>
      <c r="U3" s="268"/>
      <c r="V3" s="268"/>
    </row>
    <row r="4" spans="1:22" ht="24.75" customHeight="1" thickTop="1" thickBot="1" x14ac:dyDescent="0.4">
      <c r="A4" s="278"/>
      <c r="B4" s="778"/>
      <c r="C4" s="778"/>
      <c r="D4" s="778"/>
      <c r="E4" s="778"/>
      <c r="F4" s="778"/>
      <c r="G4" s="778"/>
      <c r="H4" s="778"/>
      <c r="I4" s="778"/>
      <c r="J4" s="778"/>
      <c r="K4" s="778"/>
      <c r="L4" s="778"/>
      <c r="M4" s="778"/>
      <c r="N4" s="778"/>
      <c r="O4" s="778"/>
      <c r="P4" s="778"/>
      <c r="Q4" s="778"/>
      <c r="R4" s="778"/>
      <c r="S4" s="778"/>
      <c r="T4" s="778"/>
      <c r="U4" s="759"/>
      <c r="V4" s="269"/>
    </row>
    <row r="5" spans="1:22" ht="15.75" customHeight="1" thickBot="1" x14ac:dyDescent="0.3">
      <c r="A5" s="25" t="s">
        <v>262</v>
      </c>
      <c r="B5" s="847">
        <v>2018001</v>
      </c>
      <c r="C5" s="847">
        <v>2018002</v>
      </c>
      <c r="D5" s="847">
        <v>2024006</v>
      </c>
      <c r="E5" s="847">
        <v>2025008</v>
      </c>
      <c r="F5" s="847">
        <v>2025009</v>
      </c>
      <c r="G5" s="848">
        <v>2020005</v>
      </c>
      <c r="H5" s="848">
        <v>2018004</v>
      </c>
      <c r="I5" s="849">
        <v>2021009</v>
      </c>
      <c r="J5" s="850">
        <v>2023005</v>
      </c>
      <c r="K5" s="850">
        <v>2023006</v>
      </c>
      <c r="L5" s="850">
        <v>2023007</v>
      </c>
      <c r="M5" s="850">
        <v>2023008</v>
      </c>
      <c r="N5" s="849">
        <v>2025001</v>
      </c>
      <c r="O5" s="849">
        <v>2025003</v>
      </c>
      <c r="P5" s="849">
        <v>2025005</v>
      </c>
      <c r="Q5" s="851">
        <v>2024002</v>
      </c>
      <c r="R5" s="851">
        <v>2025006</v>
      </c>
      <c r="S5" s="851">
        <v>2025007</v>
      </c>
      <c r="T5" s="851">
        <v>2025011</v>
      </c>
      <c r="U5" s="764" t="str">
        <f>+A3</f>
        <v>PSLIPVAL</v>
      </c>
      <c r="V5" s="765"/>
    </row>
    <row r="6" spans="1:22" ht="15.75" customHeight="1" thickBot="1" x14ac:dyDescent="0.3">
      <c r="A6" s="25" t="s">
        <v>263</v>
      </c>
      <c r="B6" s="270" t="str">
        <f>IF(B$5=0,0,INDEX([1]!empdata,MATCH(B$5,[1]!empid,0),16))</f>
        <v>RGaldes</v>
      </c>
      <c r="C6" s="270" t="str">
        <f>IF(C$5=0,0,INDEX([1]!empdata,MATCH(C$5,[1]!empid,0),16))</f>
        <v>LCarini</v>
      </c>
      <c r="D6" s="270" t="str">
        <f>IF(D$5=0,0,INDEX([1]!empdata,MATCH(D$5,[1]!empid,0),16))</f>
        <v>KMizzi</v>
      </c>
      <c r="E6" s="270" t="str">
        <f>IF(E$5=0,0,INDEX([1]!empdata,MATCH(E$5,[1]!empid,0),16))</f>
        <v>RCamilleri</v>
      </c>
      <c r="F6" s="270" t="str">
        <f>IF(F$5=0,0,INDEX([1]!empdata,MATCH(F$5,[1]!empid,0),16))</f>
        <v>DMifsud_Ceci</v>
      </c>
      <c r="G6" s="270" t="str">
        <f>IF(G$5=0,0,INDEX([1]!empdata,MATCH(G$5,[1]!empid,0),16))</f>
        <v>MCamilleri</v>
      </c>
      <c r="H6" s="270" t="str">
        <f>IF(H$5=0,0,INDEX([1]!empdata,MATCH(H$5,[1]!empid,0),16))</f>
        <v>LBonnici</v>
      </c>
      <c r="I6" s="270" t="str">
        <f>IF(I$5=0,0,INDEX([1]!empdata,MATCH(I$5,[1]!empid,0),16))</f>
        <v>RAttard</v>
      </c>
      <c r="J6" s="270" t="str">
        <f>IF(J$5=0,0,INDEX([1]!empdata,MATCH(J$5,[1]!empid,0),16))</f>
        <v>RSreejith</v>
      </c>
      <c r="K6" s="270" t="str">
        <f>IF(K$5=0,0,INDEX([1]!empdata,MATCH(K$5,[1]!empid,0),16))</f>
        <v>RMallan_Albani</v>
      </c>
      <c r="L6" s="270" t="str">
        <f>IF(L$5=0,0,INDEX([1]!empdata,MATCH(L$5,[1]!empid,0),16))</f>
        <v>AHaneena</v>
      </c>
      <c r="M6" s="270" t="str">
        <f>IF(M$5=0,0,INDEX([1]!empdata,MATCH(M$5,[1]!empid,0),16))</f>
        <v>ELama</v>
      </c>
      <c r="N6" s="270" t="str">
        <f>IF(N$5=0,0,INDEX([1]!empdata,MATCH(N$5,[1]!empid,0),16))</f>
        <v>MAcero_Garzon</v>
      </c>
      <c r="O6" s="270" t="str">
        <f>IF(O$5=0,0,INDEX([1]!empdata,MATCH(O$5,[1]!empid,0),16))</f>
        <v>RAcharya</v>
      </c>
      <c r="P6" s="270" t="str">
        <f>IF(P$5=0,0,INDEX([1]!empdata,MATCH(P$5,[1]!empid,0),16))</f>
        <v>AKunnamkudath</v>
      </c>
      <c r="Q6" s="270" t="str">
        <f>IF(Q$5=0,0,INDEX([1]!empdata,MATCH(Q$5,[1]!empid,0),16))</f>
        <v>MEllul</v>
      </c>
      <c r="R6" s="270" t="str">
        <f>IF(R$5=0,0,INDEX([1]!empdata,MATCH(R$5,[1]!empid,0),16))</f>
        <v>ECurmi</v>
      </c>
      <c r="S6" s="270" t="str">
        <f>IF(S$5=0,0,INDEX([1]!empdata,MATCH(S$5,[1]!empid,0),16))</f>
        <v>AFalzon</v>
      </c>
      <c r="T6" s="270" t="str">
        <f>IF(T$5=0,0,INDEX([1]!empdata,MATCH(T$5,[1]!empid,0),16))</f>
        <v>ZMifsud</v>
      </c>
      <c r="U6" s="763" t="str">
        <f>+U5</f>
        <v>PSLIPVAL</v>
      </c>
      <c r="V6" s="272" t="s">
        <v>264</v>
      </c>
    </row>
    <row r="7" spans="1:22" ht="16.5" customHeight="1" thickTop="1" thickBot="1" x14ac:dyDescent="0.3">
      <c r="A7" s="273">
        <f>+DATA!$A$3</f>
        <v>46023</v>
      </c>
      <c r="B7" s="275">
        <f t="shared" ref="B7:Q18" ca="1" si="0">IF(B$5=0,0,INDEX((INDIRECT(B$6&amp;"!INDAT")),(MATCH($A7,(INDIRECT(B$6&amp;"!$O$2:$O$15")),0)),24))</f>
        <v>8053.146666666662</v>
      </c>
      <c r="C7" s="275">
        <f t="shared" ca="1" si="0"/>
        <v>4337.3609999999971</v>
      </c>
      <c r="D7" s="275">
        <f ca="1">IF(D$5=0,0,INDEX((INDIRECT(D$6&amp;"!INDAT")),(MATCH($A7,(INDIRECT(D$6&amp;"!$O$2:$O$15")),0)),24))</f>
        <v>6643.9466666666631</v>
      </c>
      <c r="E7" s="275">
        <f t="shared" ca="1" si="0"/>
        <v>5799.8133333333299</v>
      </c>
      <c r="F7" s="275">
        <f t="shared" ca="1" si="0"/>
        <v>6839.813333333329</v>
      </c>
      <c r="G7" s="275">
        <f t="shared" ca="1" si="0"/>
        <v>2338.4199999999992</v>
      </c>
      <c r="H7" s="275">
        <f t="shared" ca="1" si="0"/>
        <v>2042.6833333333325</v>
      </c>
      <c r="I7" s="275">
        <f t="shared" ref="I7:I18" ca="1" si="1">IF(I$5=0,0,INDEX((INDIRECT(I$6&amp;"!INDAT")),(MATCH($A7,(INDIRECT(I$6&amp;"!$O$2:$O$15")),0)),24))</f>
        <v>1657.2633333333324</v>
      </c>
      <c r="J7" s="275">
        <f t="shared" ca="1" si="0"/>
        <v>1378.2433333333324</v>
      </c>
      <c r="K7" s="275">
        <f t="shared" ca="1" si="0"/>
        <v>1657.2633333333324</v>
      </c>
      <c r="L7" s="275">
        <f t="shared" ca="1" si="0"/>
        <v>1947.6833333333325</v>
      </c>
      <c r="M7" s="275">
        <f t="shared" ca="1" si="0"/>
        <v>1947.6833333333325</v>
      </c>
      <c r="N7" s="275">
        <f t="shared" ca="1" si="0"/>
        <v>1898.3266666666652</v>
      </c>
      <c r="O7" s="275">
        <f t="shared" ca="1" si="0"/>
        <v>1543.3733333333323</v>
      </c>
      <c r="P7" s="275">
        <f t="shared" ca="1" si="0"/>
        <v>1657.2633333333324</v>
      </c>
      <c r="Q7" s="275">
        <f t="shared" ca="1" si="0"/>
        <v>603.63198000000011</v>
      </c>
      <c r="R7" s="275">
        <f t="shared" ref="C7:S18" ca="1" si="2">IF(R$5=0,0,INDEX((INDIRECT(R$6&amp;"!INDAT")),(MATCH($A7,(INDIRECT(R$6&amp;"!$O$2:$O$15")),0)),24))</f>
        <v>318.02583999999996</v>
      </c>
      <c r="S7" s="275">
        <f t="shared" ca="1" si="2"/>
        <v>103.45292999999999</v>
      </c>
      <c r="T7" s="275">
        <f t="shared" ref="S7:T18" ca="1" si="3">IF(T$5=0,0,INDEX((INDIRECT(T$6&amp;"!INDAT")),(MATCH($A7,(INDIRECT(T$6&amp;"!$O$2:$O$15")),0)),24))</f>
        <v>161.01410000000001</v>
      </c>
      <c r="U7" s="273">
        <f t="shared" ref="U7:U18" si="4">+A7</f>
        <v>46023</v>
      </c>
      <c r="V7" s="274"/>
    </row>
    <row r="8" spans="1:22" ht="16.5" customHeight="1" thickTop="1" thickBot="1" x14ac:dyDescent="0.3">
      <c r="A8" s="273">
        <f>+DATA!$A$4</f>
        <v>46054</v>
      </c>
      <c r="B8" s="275">
        <f t="shared" ca="1" si="0"/>
        <v>8053.1466666666611</v>
      </c>
      <c r="C8" s="275">
        <f t="shared" ca="1" si="2"/>
        <v>4337.3609999999971</v>
      </c>
      <c r="D8" s="275">
        <f t="shared" ca="1" si="2"/>
        <v>6643.9466666666631</v>
      </c>
      <c r="E8" s="275">
        <f t="shared" ca="1" si="2"/>
        <v>5799.8133333333299</v>
      </c>
      <c r="F8" s="275">
        <f t="shared" ca="1" si="2"/>
        <v>6839.813333333329</v>
      </c>
      <c r="G8" s="275">
        <f t="shared" ca="1" si="2"/>
        <v>2338.4199999999992</v>
      </c>
      <c r="H8" s="275">
        <f t="shared" ca="1" si="2"/>
        <v>2042.6833333333325</v>
      </c>
      <c r="I8" s="275">
        <f t="shared" ca="1" si="1"/>
        <v>1657.2633333333324</v>
      </c>
      <c r="J8" s="275">
        <f t="shared" ca="1" si="2"/>
        <v>1378.2433333333324</v>
      </c>
      <c r="K8" s="275">
        <f t="shared" ca="1" si="2"/>
        <v>1711.2672395833324</v>
      </c>
      <c r="L8" s="275">
        <f t="shared" ca="1" si="2"/>
        <v>1947.6833333333325</v>
      </c>
      <c r="M8" s="275">
        <f t="shared" ca="1" si="2"/>
        <v>1947.6833333333325</v>
      </c>
      <c r="N8" s="275">
        <f t="shared" ca="1" si="2"/>
        <v>1898.3266666666655</v>
      </c>
      <c r="O8" s="275">
        <f t="shared" ca="1" si="2"/>
        <v>1543.3733333333323</v>
      </c>
      <c r="P8" s="275">
        <f t="shared" ca="1" si="2"/>
        <v>1657.2633333333324</v>
      </c>
      <c r="Q8" s="275">
        <f t="shared" ca="1" si="2"/>
        <v>483.23898000000014</v>
      </c>
      <c r="R8" s="275">
        <f t="shared" ca="1" si="2"/>
        <v>349.56998999999996</v>
      </c>
      <c r="S8" s="275">
        <f t="shared" ca="1" si="3"/>
        <v>346.52330999999998</v>
      </c>
      <c r="T8" s="275">
        <f t="shared" ca="1" si="3"/>
        <v>136.82383000000002</v>
      </c>
      <c r="U8" s="273">
        <f t="shared" si="4"/>
        <v>46054</v>
      </c>
      <c r="V8" s="274"/>
    </row>
    <row r="9" spans="1:22" ht="16.5" customHeight="1" thickTop="1" thickBot="1" x14ac:dyDescent="0.3">
      <c r="A9" s="273">
        <f>+DATA!$A$5</f>
        <v>46082</v>
      </c>
      <c r="B9" s="275">
        <f t="shared" ca="1" si="0"/>
        <v>8231.9166666666606</v>
      </c>
      <c r="C9" s="275">
        <f t="shared" ca="1" si="2"/>
        <v>4458.5799999999963</v>
      </c>
      <c r="D9" s="275">
        <f t="shared" ca="1" si="2"/>
        <v>6822.7166666666617</v>
      </c>
      <c r="E9" s="275">
        <f t="shared" ca="1" si="2"/>
        <v>5978.5833333333285</v>
      </c>
      <c r="F9" s="275">
        <f t="shared" ca="1" si="2"/>
        <v>7018.5833333333276</v>
      </c>
      <c r="G9" s="275">
        <f t="shared" ca="1" si="2"/>
        <v>1415.1372811059903</v>
      </c>
      <c r="H9" s="275">
        <f t="shared" ca="1" si="2"/>
        <v>2201.6633333333325</v>
      </c>
      <c r="I9" s="275">
        <f t="shared" ca="1" si="1"/>
        <v>1814.3933333333323</v>
      </c>
      <c r="J9" s="275">
        <f t="shared" ca="1" si="2"/>
        <v>1529.3133333333324</v>
      </c>
      <c r="K9" s="275">
        <f t="shared" ca="1" si="2"/>
        <v>1876.8933333333323</v>
      </c>
      <c r="L9" s="275">
        <f t="shared" ca="1" si="2"/>
        <v>2111.1133333333323</v>
      </c>
      <c r="M9" s="275">
        <f t="shared" ca="1" si="2"/>
        <v>2111.1133333333323</v>
      </c>
      <c r="N9" s="275">
        <f t="shared" ca="1" si="2"/>
        <v>2060.6866666666656</v>
      </c>
      <c r="O9" s="275">
        <f t="shared" ca="1" si="2"/>
        <v>1698.0333333333324</v>
      </c>
      <c r="P9" s="275">
        <f t="shared" ca="1" si="2"/>
        <v>1792.4247619047608</v>
      </c>
      <c r="Q9" s="275">
        <f t="shared" ca="1" si="2"/>
        <v>13.67244</v>
      </c>
      <c r="R9" s="275">
        <f t="shared" ca="1" si="2"/>
        <v>10.232194999999997</v>
      </c>
      <c r="S9" s="275">
        <f t="shared" ca="1" si="3"/>
        <v>6.5519600000000002</v>
      </c>
      <c r="T9" s="275">
        <f t="shared" ca="1" si="3"/>
        <v>4.5469949999999999</v>
      </c>
      <c r="U9" s="273">
        <f t="shared" si="4"/>
        <v>46082</v>
      </c>
      <c r="V9" s="274"/>
    </row>
    <row r="10" spans="1:22" ht="16.5" customHeight="1" thickTop="1" thickBot="1" x14ac:dyDescent="0.3">
      <c r="A10" s="273">
        <f>+DATA!$A$6</f>
        <v>46113</v>
      </c>
      <c r="B10" s="275">
        <f t="shared" ca="1" si="0"/>
        <v>8053.146666666662</v>
      </c>
      <c r="C10" s="275">
        <f t="shared" ca="1" si="2"/>
        <v>4337.3609999999971</v>
      </c>
      <c r="D10" s="275">
        <f t="shared" ca="1" si="2"/>
        <v>6643.9466666666631</v>
      </c>
      <c r="E10" s="275">
        <f t="shared" ca="1" si="2"/>
        <v>5799.8133333333308</v>
      </c>
      <c r="F10" s="275">
        <f t="shared" ca="1" si="2"/>
        <v>6839.813333333329</v>
      </c>
      <c r="G10" s="275">
        <f t="shared" ca="1" si="2"/>
        <v>330</v>
      </c>
      <c r="H10" s="275">
        <f t="shared" ca="1" si="2"/>
        <v>2241.7899999999986</v>
      </c>
      <c r="I10" s="275">
        <f t="shared" ca="1" si="1"/>
        <v>1657.2633333333324</v>
      </c>
      <c r="J10" s="275">
        <f t="shared" ca="1" si="2"/>
        <v>1378.2433333333324</v>
      </c>
      <c r="K10" s="275">
        <f t="shared" ca="1" si="2"/>
        <v>1719.7633333333324</v>
      </c>
      <c r="L10" s="275">
        <f t="shared" ca="1" si="2"/>
        <v>1947.6833333333325</v>
      </c>
      <c r="M10" s="275">
        <f t="shared" ca="1" si="2"/>
        <v>1947.6833333333325</v>
      </c>
      <c r="N10" s="275">
        <f t="shared" ca="1" si="2"/>
        <v>1898.3266666666652</v>
      </c>
      <c r="O10" s="275">
        <f t="shared" ca="1" si="2"/>
        <v>1543.3733333333323</v>
      </c>
      <c r="P10" s="275">
        <f t="shared" ca="1" si="2"/>
        <v>1657.2633333333324</v>
      </c>
      <c r="Q10" s="275">
        <f t="shared" ca="1" si="2"/>
        <v>0</v>
      </c>
      <c r="R10" s="275">
        <f t="shared" ca="1" si="2"/>
        <v>0</v>
      </c>
      <c r="S10" s="275">
        <f t="shared" ca="1" si="3"/>
        <v>0</v>
      </c>
      <c r="T10" s="275">
        <f t="shared" ca="1" si="3"/>
        <v>0</v>
      </c>
      <c r="U10" s="273">
        <f t="shared" si="4"/>
        <v>46113</v>
      </c>
      <c r="V10" s="274"/>
    </row>
    <row r="11" spans="1:22" ht="16.5" customHeight="1" thickTop="1" thickBot="1" x14ac:dyDescent="0.3">
      <c r="A11" s="273">
        <f>+DATA!$A$7</f>
        <v>46143</v>
      </c>
      <c r="B11" s="275">
        <f t="shared" ca="1" si="0"/>
        <v>8053.146666666662</v>
      </c>
      <c r="C11" s="275">
        <f t="shared" ca="1" si="2"/>
        <v>4337.3609999999971</v>
      </c>
      <c r="D11" s="275">
        <f t="shared" ca="1" si="2"/>
        <v>6643.9466666666631</v>
      </c>
      <c r="E11" s="275">
        <f t="shared" ca="1" si="2"/>
        <v>5799.8133333333299</v>
      </c>
      <c r="F11" s="275">
        <f t="shared" ca="1" si="2"/>
        <v>6839.813333333329</v>
      </c>
      <c r="G11" s="275">
        <f t="shared" ca="1" si="2"/>
        <v>330</v>
      </c>
      <c r="H11" s="275">
        <f t="shared" ca="1" si="2"/>
        <v>2241.7899999999986</v>
      </c>
      <c r="I11" s="275">
        <f t="shared" ca="1" si="1"/>
        <v>1657.2633333333324</v>
      </c>
      <c r="J11" s="275">
        <f t="shared" ca="1" si="2"/>
        <v>1378.2433333333324</v>
      </c>
      <c r="K11" s="275">
        <f t="shared" ca="1" si="2"/>
        <v>1719.7633333333324</v>
      </c>
      <c r="L11" s="275">
        <f t="shared" ca="1" si="2"/>
        <v>1947.6833333333325</v>
      </c>
      <c r="M11" s="275">
        <f t="shared" ca="1" si="2"/>
        <v>1947.6833333333325</v>
      </c>
      <c r="N11" s="275">
        <f t="shared" ca="1" si="2"/>
        <v>1898.3266666666652</v>
      </c>
      <c r="O11" s="275">
        <f t="shared" ca="1" si="2"/>
        <v>1543.3733333333323</v>
      </c>
      <c r="P11" s="275">
        <f t="shared" ca="1" si="2"/>
        <v>1657.2633333333324</v>
      </c>
      <c r="Q11" s="275">
        <f t="shared" ca="1" si="2"/>
        <v>0</v>
      </c>
      <c r="R11" s="275">
        <f t="shared" ca="1" si="2"/>
        <v>0</v>
      </c>
      <c r="S11" s="275">
        <f t="shared" ca="1" si="3"/>
        <v>0</v>
      </c>
      <c r="T11" s="275">
        <f t="shared" ca="1" si="3"/>
        <v>0</v>
      </c>
      <c r="U11" s="273">
        <f t="shared" si="4"/>
        <v>46143</v>
      </c>
      <c r="V11" s="274"/>
    </row>
    <row r="12" spans="1:22" ht="16.5" customHeight="1" thickTop="1" thickBot="1" x14ac:dyDescent="0.3">
      <c r="A12" s="273">
        <f>+DATA!$A$8</f>
        <v>46174</v>
      </c>
      <c r="B12" s="275">
        <f t="shared" ca="1" si="0"/>
        <v>8245.8566666666611</v>
      </c>
      <c r="C12" s="275">
        <f t="shared" ca="1" si="2"/>
        <v>4465.8984999999957</v>
      </c>
      <c r="D12" s="275">
        <f t="shared" ca="1" si="2"/>
        <v>6836.6566666666622</v>
      </c>
      <c r="E12" s="275">
        <f t="shared" ca="1" si="2"/>
        <v>5992.5233333333299</v>
      </c>
      <c r="F12" s="275">
        <f t="shared" ca="1" si="2"/>
        <v>7032.5233333333281</v>
      </c>
      <c r="G12" s="275">
        <f t="shared" ca="1" si="2"/>
        <v>330</v>
      </c>
      <c r="H12" s="275">
        <f t="shared" ca="1" si="2"/>
        <v>2419.0399999999991</v>
      </c>
      <c r="I12" s="275">
        <f t="shared" ca="1" si="1"/>
        <v>1828.3333333333323</v>
      </c>
      <c r="J12" s="275">
        <f t="shared" ca="1" si="2"/>
        <v>1543.2533333333322</v>
      </c>
      <c r="K12" s="275">
        <f t="shared" ca="1" si="2"/>
        <v>1890.8333333333323</v>
      </c>
      <c r="L12" s="275">
        <f t="shared" ca="1" si="2"/>
        <v>2125.0533333333319</v>
      </c>
      <c r="M12" s="275">
        <f t="shared" ca="1" si="2"/>
        <v>2125.0533333333319</v>
      </c>
      <c r="N12" s="275">
        <f t="shared" ca="1" si="2"/>
        <v>2074.6266666666652</v>
      </c>
      <c r="O12" s="275">
        <f t="shared" ca="1" si="2"/>
        <v>1711.9733333333324</v>
      </c>
      <c r="P12" s="275">
        <f t="shared" ca="1" si="2"/>
        <v>1828.3333333333323</v>
      </c>
      <c r="Q12" s="275">
        <f t="shared" ca="1" si="2"/>
        <v>15.245515384615386</v>
      </c>
      <c r="R12" s="275">
        <f t="shared" ca="1" si="2"/>
        <v>11.409454807692304</v>
      </c>
      <c r="S12" s="275">
        <f t="shared" ca="1" si="3"/>
        <v>7.3057923076923075</v>
      </c>
      <c r="T12" s="275">
        <f t="shared" ca="1" si="3"/>
        <v>5.0701471153846152</v>
      </c>
      <c r="U12" s="273">
        <f t="shared" si="4"/>
        <v>46174</v>
      </c>
      <c r="V12" s="274"/>
    </row>
    <row r="13" spans="1:22" ht="16.5" customHeight="1" thickTop="1" thickBot="1" x14ac:dyDescent="0.3">
      <c r="A13" s="273">
        <f>+DATA!$A$9</f>
        <v>46204</v>
      </c>
      <c r="B13" s="275">
        <f t="shared" ca="1" si="0"/>
        <v>8053.146666666662</v>
      </c>
      <c r="C13" s="275">
        <f t="shared" ca="1" si="2"/>
        <v>4337.3609999999971</v>
      </c>
      <c r="D13" s="275">
        <f t="shared" ca="1" si="2"/>
        <v>6643.9466666666631</v>
      </c>
      <c r="E13" s="275">
        <f t="shared" ca="1" si="2"/>
        <v>5799.8133333333299</v>
      </c>
      <c r="F13" s="275">
        <f t="shared" ca="1" si="2"/>
        <v>6839.813333333329</v>
      </c>
      <c r="G13" s="275">
        <f t="shared" ca="1" si="2"/>
        <v>330</v>
      </c>
      <c r="H13" s="275">
        <f t="shared" ca="1" si="2"/>
        <v>2241.7899999999986</v>
      </c>
      <c r="I13" s="275">
        <f t="shared" ca="1" si="1"/>
        <v>1657.2633333333324</v>
      </c>
      <c r="J13" s="275">
        <f t="shared" ca="1" si="2"/>
        <v>1378.2433333333324</v>
      </c>
      <c r="K13" s="275">
        <f t="shared" ca="1" si="2"/>
        <v>1719.7633333333324</v>
      </c>
      <c r="L13" s="275">
        <f t="shared" ca="1" si="2"/>
        <v>1947.6833333333325</v>
      </c>
      <c r="M13" s="275">
        <f t="shared" ca="1" si="2"/>
        <v>1947.6833333333325</v>
      </c>
      <c r="N13" s="275">
        <f t="shared" ca="1" si="2"/>
        <v>1898.3266666666652</v>
      </c>
      <c r="O13" s="275">
        <f t="shared" ca="1" si="2"/>
        <v>1543.3733333333323</v>
      </c>
      <c r="P13" s="275">
        <f t="shared" ca="1" si="2"/>
        <v>1657.2633333333324</v>
      </c>
      <c r="Q13" s="275">
        <f t="shared" ca="1" si="2"/>
        <v>0</v>
      </c>
      <c r="R13" s="275">
        <f t="shared" ca="1" si="2"/>
        <v>0</v>
      </c>
      <c r="S13" s="275">
        <f t="shared" ca="1" si="3"/>
        <v>0</v>
      </c>
      <c r="T13" s="275">
        <f t="shared" ca="1" si="3"/>
        <v>0</v>
      </c>
      <c r="U13" s="273">
        <f t="shared" si="4"/>
        <v>46204</v>
      </c>
      <c r="V13" s="274"/>
    </row>
    <row r="14" spans="1:22" ht="16.5" customHeight="1" thickTop="1" thickBot="1" x14ac:dyDescent="0.3">
      <c r="A14" s="273">
        <f>+DATA!$A$10</f>
        <v>46235</v>
      </c>
      <c r="B14" s="275">
        <f t="shared" ca="1" si="0"/>
        <v>8110.7566666666607</v>
      </c>
      <c r="C14" s="275">
        <f t="shared" ca="1" si="2"/>
        <v>4394.9709999999959</v>
      </c>
      <c r="D14" s="275">
        <f t="shared" ca="1" si="2"/>
        <v>6701.5566666666618</v>
      </c>
      <c r="E14" s="275">
        <f t="shared" ca="1" si="2"/>
        <v>5857.4233333333286</v>
      </c>
      <c r="F14" s="275">
        <f t="shared" ca="1" si="2"/>
        <v>6897.4233333333277</v>
      </c>
      <c r="G14" s="275">
        <f t="shared" ca="1" si="2"/>
        <v>330</v>
      </c>
      <c r="H14" s="275">
        <f t="shared" ca="1" si="2"/>
        <v>2283.9399999999987</v>
      </c>
      <c r="I14" s="275">
        <f t="shared" ca="1" si="1"/>
        <v>1693.2333333333324</v>
      </c>
      <c r="J14" s="275">
        <f t="shared" ca="1" si="2"/>
        <v>1408.1533333333323</v>
      </c>
      <c r="K14" s="275">
        <f t="shared" ca="1" si="2"/>
        <v>1755.7333333333324</v>
      </c>
      <c r="L14" s="275">
        <f t="shared" ca="1" si="2"/>
        <v>1989.9533333333325</v>
      </c>
      <c r="M14" s="275">
        <f t="shared" ca="1" si="2"/>
        <v>1989.9533333333325</v>
      </c>
      <c r="N14" s="275">
        <f t="shared" ca="1" si="2"/>
        <v>1939.5266666666653</v>
      </c>
      <c r="O14" s="275">
        <f t="shared" ca="1" si="2"/>
        <v>1576.8733333333325</v>
      </c>
      <c r="P14" s="275">
        <f t="shared" ca="1" si="2"/>
        <v>1693.2333333333324</v>
      </c>
      <c r="Q14" s="275">
        <f t="shared" ca="1" si="2"/>
        <v>0</v>
      </c>
      <c r="R14" s="275">
        <f t="shared" ca="1" si="2"/>
        <v>0</v>
      </c>
      <c r="S14" s="275">
        <f t="shared" ca="1" si="3"/>
        <v>0</v>
      </c>
      <c r="T14" s="275">
        <f t="shared" ca="1" si="3"/>
        <v>0</v>
      </c>
      <c r="U14" s="273">
        <f t="shared" si="4"/>
        <v>46235</v>
      </c>
      <c r="V14" s="274"/>
    </row>
    <row r="15" spans="1:22" ht="16.5" customHeight="1" thickTop="1" thickBot="1" x14ac:dyDescent="0.3">
      <c r="A15" s="273">
        <f>+DATA!$A$11</f>
        <v>46266</v>
      </c>
      <c r="B15" s="275">
        <f t="shared" ca="1" si="0"/>
        <v>8174.3066666666618</v>
      </c>
      <c r="C15" s="275">
        <f t="shared" ca="1" si="2"/>
        <v>4400.9699999999975</v>
      </c>
      <c r="D15" s="275">
        <f t="shared" ca="1" si="2"/>
        <v>6765.1066666666629</v>
      </c>
      <c r="E15" s="275">
        <f t="shared" ca="1" si="2"/>
        <v>5920.9733333333306</v>
      </c>
      <c r="F15" s="275">
        <f t="shared" ca="1" si="2"/>
        <v>6960.9733333333288</v>
      </c>
      <c r="G15" s="275">
        <f t="shared" ca="1" si="2"/>
        <v>330</v>
      </c>
      <c r="H15" s="275">
        <f t="shared" ca="1" si="2"/>
        <v>2362.9499999999989</v>
      </c>
      <c r="I15" s="275">
        <f t="shared" ca="1" si="1"/>
        <v>1778.4233333333325</v>
      </c>
      <c r="J15" s="275">
        <f t="shared" ca="1" si="2"/>
        <v>1499.4033333333325</v>
      </c>
      <c r="K15" s="275">
        <f t="shared" ca="1" si="2"/>
        <v>1840.9233333333325</v>
      </c>
      <c r="L15" s="275">
        <f t="shared" ca="1" si="2"/>
        <v>2068.8433333333323</v>
      </c>
      <c r="M15" s="275">
        <f t="shared" ca="1" si="2"/>
        <v>2068.8433333333323</v>
      </c>
      <c r="N15" s="275">
        <f t="shared" ca="1" si="2"/>
        <v>2019.4866666666653</v>
      </c>
      <c r="O15" s="275">
        <f t="shared" ca="1" si="2"/>
        <v>1664.5333333333324</v>
      </c>
      <c r="P15" s="275">
        <f t="shared" ca="1" si="2"/>
        <v>1778.4233333333325</v>
      </c>
      <c r="Q15" s="275">
        <f t="shared" ca="1" si="2"/>
        <v>0</v>
      </c>
      <c r="R15" s="275">
        <f t="shared" ca="1" si="2"/>
        <v>0</v>
      </c>
      <c r="S15" s="275">
        <f t="shared" ca="1" si="3"/>
        <v>0</v>
      </c>
      <c r="T15" s="275">
        <f t="shared" ca="1" si="3"/>
        <v>0</v>
      </c>
      <c r="U15" s="273">
        <f t="shared" si="4"/>
        <v>46266</v>
      </c>
      <c r="V15" s="274"/>
    </row>
    <row r="16" spans="1:22" ht="16.5" customHeight="1" thickTop="1" thickBot="1" x14ac:dyDescent="0.3">
      <c r="A16" s="273">
        <f>+DATA!$A$12</f>
        <v>46296</v>
      </c>
      <c r="B16" s="275">
        <f t="shared" ca="1" si="0"/>
        <v>8053.146666666662</v>
      </c>
      <c r="C16" s="275">
        <f t="shared" ca="1" si="2"/>
        <v>4337.3609999999971</v>
      </c>
      <c r="D16" s="275">
        <f t="shared" ca="1" si="2"/>
        <v>6643.9466666666631</v>
      </c>
      <c r="E16" s="275">
        <f t="shared" ca="1" si="2"/>
        <v>5799.8133333333299</v>
      </c>
      <c r="F16" s="275">
        <f t="shared" ca="1" si="2"/>
        <v>6839.813333333329</v>
      </c>
      <c r="G16" s="275">
        <f t="shared" ca="1" si="2"/>
        <v>330</v>
      </c>
      <c r="H16" s="275">
        <f t="shared" ca="1" si="2"/>
        <v>2241.7899999999986</v>
      </c>
      <c r="I16" s="275">
        <f t="shared" ca="1" si="1"/>
        <v>1657.2633333333324</v>
      </c>
      <c r="J16" s="275">
        <f t="shared" ca="1" si="2"/>
        <v>1378.2433333333324</v>
      </c>
      <c r="K16" s="275">
        <f t="shared" ca="1" si="2"/>
        <v>1719.7633333333324</v>
      </c>
      <c r="L16" s="275">
        <f t="shared" ca="1" si="2"/>
        <v>1947.6833333333325</v>
      </c>
      <c r="M16" s="275">
        <f t="shared" ca="1" si="2"/>
        <v>1947.6833333333325</v>
      </c>
      <c r="N16" s="275">
        <f t="shared" ca="1" si="2"/>
        <v>1898.3266666666652</v>
      </c>
      <c r="O16" s="275">
        <f t="shared" ca="1" si="2"/>
        <v>1543.3733333333323</v>
      </c>
      <c r="P16" s="275">
        <f t="shared" ca="1" si="2"/>
        <v>1657.2633333333324</v>
      </c>
      <c r="Q16" s="275">
        <f t="shared" ca="1" si="2"/>
        <v>0</v>
      </c>
      <c r="R16" s="275">
        <f t="shared" ca="1" si="2"/>
        <v>0</v>
      </c>
      <c r="S16" s="275">
        <f t="shared" ca="1" si="3"/>
        <v>0</v>
      </c>
      <c r="T16" s="275">
        <f t="shared" ca="1" si="3"/>
        <v>0</v>
      </c>
      <c r="U16" s="273">
        <f t="shared" si="4"/>
        <v>46296</v>
      </c>
      <c r="V16" s="274"/>
    </row>
    <row r="17" spans="1:22" ht="16.5" customHeight="1" thickTop="1" thickBot="1" x14ac:dyDescent="0.3">
      <c r="A17" s="273">
        <f>+DATA!$A$13</f>
        <v>46327</v>
      </c>
      <c r="B17" s="275">
        <f t="shared" ca="1" si="0"/>
        <v>8110.7566666666607</v>
      </c>
      <c r="C17" s="275">
        <f t="shared" ca="1" si="2"/>
        <v>4394.9709999999959</v>
      </c>
      <c r="D17" s="275">
        <f t="shared" ca="1" si="2"/>
        <v>6701.5566666666618</v>
      </c>
      <c r="E17" s="275">
        <f t="shared" ca="1" si="2"/>
        <v>5857.4233333333295</v>
      </c>
      <c r="F17" s="275">
        <f t="shared" ca="1" si="2"/>
        <v>6897.4233333333277</v>
      </c>
      <c r="G17" s="275">
        <f t="shared" ca="1" si="2"/>
        <v>330</v>
      </c>
      <c r="H17" s="275">
        <f t="shared" ca="1" si="2"/>
        <v>2283.9399999999987</v>
      </c>
      <c r="I17" s="275">
        <f t="shared" ca="1" si="1"/>
        <v>1693.2333333333324</v>
      </c>
      <c r="J17" s="275">
        <f t="shared" ca="1" si="2"/>
        <v>1408.1533333333323</v>
      </c>
      <c r="K17" s="275">
        <f t="shared" ca="1" si="2"/>
        <v>1755.7333333333324</v>
      </c>
      <c r="L17" s="275">
        <f t="shared" ca="1" si="2"/>
        <v>1989.9533333333325</v>
      </c>
      <c r="M17" s="275">
        <f t="shared" ca="1" si="2"/>
        <v>1989.9533333333325</v>
      </c>
      <c r="N17" s="275">
        <f t="shared" ca="1" si="2"/>
        <v>1939.5266666666653</v>
      </c>
      <c r="O17" s="275">
        <f t="shared" ca="1" si="2"/>
        <v>1576.8733333333325</v>
      </c>
      <c r="P17" s="275">
        <f t="shared" ca="1" si="2"/>
        <v>1693.2333333333324</v>
      </c>
      <c r="Q17" s="275">
        <f t="shared" ca="1" si="2"/>
        <v>0</v>
      </c>
      <c r="R17" s="275">
        <f t="shared" ca="1" si="2"/>
        <v>0</v>
      </c>
      <c r="S17" s="275">
        <f t="shared" ca="1" si="3"/>
        <v>0</v>
      </c>
      <c r="T17" s="275">
        <f t="shared" ca="1" si="3"/>
        <v>0</v>
      </c>
      <c r="U17" s="273">
        <f t="shared" si="4"/>
        <v>46327</v>
      </c>
      <c r="V17" s="274"/>
    </row>
    <row r="18" spans="1:22" ht="16.5" customHeight="1" thickTop="1" thickBot="1" x14ac:dyDescent="0.3">
      <c r="A18" s="273">
        <f>+DATA!$A$14</f>
        <v>46357</v>
      </c>
      <c r="B18" s="275">
        <f t="shared" ca="1" si="0"/>
        <v>8188.2466666666623</v>
      </c>
      <c r="C18" s="275">
        <f t="shared" ca="1" si="2"/>
        <v>4408.2884999999969</v>
      </c>
      <c r="D18" s="275">
        <f t="shared" ca="1" si="2"/>
        <v>6779.0466666666634</v>
      </c>
      <c r="E18" s="275">
        <f t="shared" ca="1" si="2"/>
        <v>5934.9133333333302</v>
      </c>
      <c r="F18" s="275">
        <f t="shared" ca="1" si="2"/>
        <v>6974.9133333333293</v>
      </c>
      <c r="G18" s="275">
        <f t="shared" ca="1" si="2"/>
        <v>330</v>
      </c>
      <c r="H18" s="275">
        <f t="shared" ca="1" si="2"/>
        <v>2376.8899999999985</v>
      </c>
      <c r="I18" s="275">
        <f t="shared" ca="1" si="1"/>
        <v>1792.3633333333323</v>
      </c>
      <c r="J18" s="275">
        <f t="shared" ca="1" si="2"/>
        <v>1513.3433333333323</v>
      </c>
      <c r="K18" s="275">
        <f t="shared" ca="1" si="2"/>
        <v>1854.8633333333323</v>
      </c>
      <c r="L18" s="275">
        <f t="shared" ca="1" si="2"/>
        <v>2082.7833333333319</v>
      </c>
      <c r="M18" s="275">
        <f t="shared" ca="1" si="2"/>
        <v>2082.7833333333319</v>
      </c>
      <c r="N18" s="275">
        <f t="shared" ca="1" si="2"/>
        <v>2033.4266666666651</v>
      </c>
      <c r="O18" s="275">
        <f t="shared" ca="1" si="2"/>
        <v>1678.4733333333322</v>
      </c>
      <c r="P18" s="275">
        <f t="shared" ca="1" si="2"/>
        <v>1792.3633333333323</v>
      </c>
      <c r="Q18" s="275">
        <f t="shared" ca="1" si="2"/>
        <v>0</v>
      </c>
      <c r="R18" s="275">
        <f t="shared" ca="1" si="2"/>
        <v>0</v>
      </c>
      <c r="S18" s="275">
        <f t="shared" ca="1" si="3"/>
        <v>0</v>
      </c>
      <c r="T18" s="275">
        <f t="shared" ca="1" si="3"/>
        <v>0</v>
      </c>
      <c r="U18" s="766">
        <f t="shared" si="4"/>
        <v>46357</v>
      </c>
      <c r="V18" s="767"/>
    </row>
    <row r="19" spans="1:22" ht="15.75" customHeight="1" thickBot="1" x14ac:dyDescent="0.3">
      <c r="A19" s="267" t="s">
        <v>265</v>
      </c>
      <c r="U19" s="339"/>
      <c r="V19" s="49"/>
    </row>
    <row r="20" spans="1:22" ht="16.5" customHeight="1" thickTop="1" thickBot="1" x14ac:dyDescent="0.3">
      <c r="A20" s="50" t="s">
        <v>266</v>
      </c>
      <c r="B20" s="762">
        <f ca="1">SUM(B7:B18)</f>
        <v>97380.719999999928</v>
      </c>
      <c r="C20" s="762">
        <f t="shared" ref="C20:R20" ca="1" si="5">SUM(C7:C18)</f>
        <v>52547.844999999958</v>
      </c>
      <c r="D20" s="762">
        <f t="shared" ca="1" si="5"/>
        <v>80470.319999999934</v>
      </c>
      <c r="E20" s="762">
        <f t="shared" ca="1" si="5"/>
        <v>70340.719999999958</v>
      </c>
      <c r="F20" s="762">
        <f t="shared" ca="1" si="5"/>
        <v>82820.719999999943</v>
      </c>
      <c r="G20" s="762">
        <f t="shared" ca="1" si="5"/>
        <v>9061.9772811059884</v>
      </c>
      <c r="H20" s="762">
        <f t="shared" ca="1" si="5"/>
        <v>26980.949999999983</v>
      </c>
      <c r="I20" s="762">
        <f t="shared" ca="1" si="5"/>
        <v>20543.55999999999</v>
      </c>
      <c r="J20" s="762">
        <f t="shared" ca="1" si="5"/>
        <v>17171.079999999987</v>
      </c>
      <c r="K20" s="762">
        <f t="shared" ca="1" si="5"/>
        <v>21222.56390624999</v>
      </c>
      <c r="L20" s="762">
        <f t="shared" ca="1" si="5"/>
        <v>24053.799999999988</v>
      </c>
      <c r="M20" s="762">
        <f t="shared" ca="1" si="5"/>
        <v>24053.799999999988</v>
      </c>
      <c r="N20" s="762">
        <f t="shared" ca="1" si="5"/>
        <v>23457.239999999983</v>
      </c>
      <c r="O20" s="762">
        <f t="shared" ca="1" si="5"/>
        <v>19166.999999999989</v>
      </c>
      <c r="P20" s="762">
        <f t="shared" ca="1" si="5"/>
        <v>20521.591428571417</v>
      </c>
      <c r="Q20" s="762">
        <f t="shared" ca="1" si="5"/>
        <v>1115.7889153846156</v>
      </c>
      <c r="R20" s="762">
        <f t="shared" ca="1" si="5"/>
        <v>689.23747980769235</v>
      </c>
      <c r="S20" s="762">
        <f t="shared" ref="S20:T20" ca="1" si="6">SUM(S7:S18)</f>
        <v>463.83399230769226</v>
      </c>
      <c r="T20" s="762">
        <f t="shared" ca="1" si="6"/>
        <v>307.45507211538461</v>
      </c>
      <c r="U20" s="273"/>
      <c r="V20" s="274">
        <f>SUM(V7:V18)</f>
        <v>0</v>
      </c>
    </row>
    <row r="21" spans="1:22" ht="16.5" customHeight="1" thickTop="1" thickBot="1" x14ac:dyDescent="0.3">
      <c r="A21" s="51"/>
      <c r="B21" s="24"/>
      <c r="C21" s="24"/>
      <c r="D21" s="24"/>
      <c r="E21" s="24"/>
      <c r="F21" s="24"/>
      <c r="G21" s="24"/>
      <c r="H21" s="24"/>
      <c r="I21" s="24"/>
      <c r="J21" s="24"/>
      <c r="K21" s="24"/>
      <c r="L21" s="24"/>
      <c r="M21" s="24"/>
      <c r="N21" s="24"/>
      <c r="O21" s="24"/>
      <c r="P21" s="24"/>
      <c r="Q21" s="24"/>
      <c r="R21" s="24"/>
      <c r="S21" s="24"/>
      <c r="T21" s="24"/>
      <c r="U21" s="51"/>
      <c r="V21" s="52"/>
    </row>
    <row r="22" spans="1:22" ht="15.75" customHeight="1" thickBot="1" x14ac:dyDescent="0.3"/>
    <row r="23" spans="1:22" ht="15.75" customHeight="1" thickBot="1" x14ac:dyDescent="0.3">
      <c r="A23" s="271" t="s">
        <v>267</v>
      </c>
      <c r="B23" s="760"/>
      <c r="C23" s="760"/>
      <c r="D23" s="760"/>
      <c r="E23" s="760"/>
      <c r="F23" s="760"/>
      <c r="G23" s="760"/>
      <c r="H23" s="760"/>
      <c r="I23" s="760"/>
      <c r="J23" s="760"/>
      <c r="K23" s="760"/>
      <c r="L23" s="760"/>
      <c r="M23" s="760"/>
      <c r="N23" s="760"/>
      <c r="O23" s="760"/>
      <c r="P23" s="760"/>
      <c r="Q23" s="760"/>
      <c r="R23" s="760"/>
      <c r="S23" s="760"/>
      <c r="T23" s="760"/>
      <c r="U23" s="761"/>
      <c r="V23" s="268"/>
    </row>
    <row r="24" spans="1:22" ht="24.75" customHeight="1" thickTop="1" thickBot="1" x14ac:dyDescent="0.4">
      <c r="A24" s="278">
        <f>DATA!$A$2</f>
        <v>46023</v>
      </c>
      <c r="B24" s="778"/>
      <c r="C24" s="778"/>
      <c r="D24" s="778"/>
      <c r="E24" s="778"/>
      <c r="F24" s="778"/>
      <c r="G24" s="778"/>
      <c r="H24" s="778"/>
      <c r="I24" s="778"/>
      <c r="J24" s="778"/>
      <c r="K24" s="778"/>
      <c r="L24" s="778"/>
      <c r="M24" s="778"/>
      <c r="N24" s="778"/>
      <c r="O24" s="778"/>
      <c r="P24" s="778"/>
      <c r="Q24" s="778"/>
      <c r="R24" s="778"/>
      <c r="S24" s="778"/>
      <c r="T24" s="778"/>
      <c r="U24" s="759"/>
      <c r="V24" s="269"/>
    </row>
    <row r="25" spans="1:22" ht="15.75" customHeight="1" thickBot="1" x14ac:dyDescent="0.3">
      <c r="A25" s="25" t="s">
        <v>262</v>
      </c>
      <c r="B25" s="777">
        <f>+B5</f>
        <v>2018001</v>
      </c>
      <c r="C25" s="777">
        <f t="shared" ref="C25:R25" si="7">+C5</f>
        <v>2018002</v>
      </c>
      <c r="D25" s="777">
        <f t="shared" si="7"/>
        <v>2024006</v>
      </c>
      <c r="E25" s="777">
        <f t="shared" si="7"/>
        <v>2025008</v>
      </c>
      <c r="F25" s="777">
        <f t="shared" si="7"/>
        <v>2025009</v>
      </c>
      <c r="G25" s="777">
        <f t="shared" si="7"/>
        <v>2020005</v>
      </c>
      <c r="H25" s="777">
        <f t="shared" si="7"/>
        <v>2018004</v>
      </c>
      <c r="I25" s="777">
        <f>+I5</f>
        <v>2021009</v>
      </c>
      <c r="J25" s="777">
        <f t="shared" si="7"/>
        <v>2023005</v>
      </c>
      <c r="K25" s="777">
        <f t="shared" si="7"/>
        <v>2023006</v>
      </c>
      <c r="L25" s="777">
        <f t="shared" si="7"/>
        <v>2023007</v>
      </c>
      <c r="M25" s="777">
        <f t="shared" si="7"/>
        <v>2023008</v>
      </c>
      <c r="N25" s="777">
        <f t="shared" si="7"/>
        <v>2025001</v>
      </c>
      <c r="O25" s="777">
        <f t="shared" si="7"/>
        <v>2025003</v>
      </c>
      <c r="P25" s="777">
        <f t="shared" si="7"/>
        <v>2025005</v>
      </c>
      <c r="Q25" s="777">
        <f t="shared" si="7"/>
        <v>2024002</v>
      </c>
      <c r="R25" s="777">
        <f t="shared" si="7"/>
        <v>2025006</v>
      </c>
      <c r="S25" s="777">
        <f t="shared" ref="S25:T25" si="8">+S5</f>
        <v>2025007</v>
      </c>
      <c r="T25" s="777">
        <f t="shared" si="8"/>
        <v>2025011</v>
      </c>
      <c r="U25" s="764" t="str">
        <f>+A23</f>
        <v>GROSS</v>
      </c>
      <c r="V25" s="765"/>
    </row>
    <row r="26" spans="1:22" ht="15.75" customHeight="1" thickBot="1" x14ac:dyDescent="0.3">
      <c r="A26" s="25" t="s">
        <v>263</v>
      </c>
      <c r="B26" s="270" t="str">
        <f>IF(B$5=0,0,INDEX([1]!empdata,MATCH(B$5,[1]!empid,0),16))</f>
        <v>RGaldes</v>
      </c>
      <c r="C26" s="270" t="str">
        <f>IF(C$5=0,0,INDEX([1]!empdata,MATCH(C$5,[1]!empid,0),16))</f>
        <v>LCarini</v>
      </c>
      <c r="D26" s="270" t="str">
        <f>IF(D$5=0,0,INDEX([1]!empdata,MATCH(D$5,[1]!empid,0),16))</f>
        <v>KMizzi</v>
      </c>
      <c r="E26" s="270" t="str">
        <f>IF(E$5=0,0,INDEX([1]!empdata,MATCH(E$5,[1]!empid,0),16))</f>
        <v>RCamilleri</v>
      </c>
      <c r="F26" s="270" t="str">
        <f>IF(F$5=0,0,INDEX([1]!empdata,MATCH(F$5,[1]!empid,0),16))</f>
        <v>DMifsud_Ceci</v>
      </c>
      <c r="G26" s="270" t="str">
        <f>IF(G$5=0,0,INDEX([1]!empdata,MATCH(G$5,[1]!empid,0),16))</f>
        <v>MCamilleri</v>
      </c>
      <c r="H26" s="270" t="str">
        <f>IF(H$5=0,0,INDEX([1]!empdata,MATCH(H$5,[1]!empid,0),16))</f>
        <v>LBonnici</v>
      </c>
      <c r="I26" s="270" t="str">
        <f>IF(I$5=0,0,INDEX([1]!empdata,MATCH(I$5,[1]!empid,0),16))</f>
        <v>RAttard</v>
      </c>
      <c r="J26" s="270" t="str">
        <f>IF(J$5=0,0,INDEX([1]!empdata,MATCH(J$5,[1]!empid,0),16))</f>
        <v>RSreejith</v>
      </c>
      <c r="K26" s="270" t="str">
        <f>IF(K$5=0,0,INDEX([1]!empdata,MATCH(K$5,[1]!empid,0),16))</f>
        <v>RMallan_Albani</v>
      </c>
      <c r="L26" s="270" t="str">
        <f>IF(L$5=0,0,INDEX([1]!empdata,MATCH(L$5,[1]!empid,0),16))</f>
        <v>AHaneena</v>
      </c>
      <c r="M26" s="270" t="str">
        <f>IF(M$5=0,0,INDEX([1]!empdata,MATCH(M$5,[1]!empid,0),16))</f>
        <v>ELama</v>
      </c>
      <c r="N26" s="270" t="str">
        <f>IF(N$5=0,0,INDEX([1]!empdata,MATCH(N$5,[1]!empid,0),16))</f>
        <v>MAcero_Garzon</v>
      </c>
      <c r="O26" s="270" t="str">
        <f>IF(O$5=0,0,INDEX([1]!empdata,MATCH(O$5,[1]!empid,0),16))</f>
        <v>RAcharya</v>
      </c>
      <c r="P26" s="270" t="str">
        <f>IF(P$5=0,0,INDEX([1]!empdata,MATCH(P$5,[1]!empid,0),16))</f>
        <v>AKunnamkudath</v>
      </c>
      <c r="Q26" s="270" t="str">
        <f>IF(Q$5=0,0,INDEX([1]!empdata,MATCH(Q$5,[1]!empid,0),16))</f>
        <v>MEllul</v>
      </c>
      <c r="R26" s="270" t="str">
        <f>IF(R$5=0,0,INDEX([1]!empdata,MATCH(R$5,[1]!empid,0),16))</f>
        <v>ECurmi</v>
      </c>
      <c r="S26" s="270" t="str">
        <f>IF(S$5=0,0,INDEX([1]!empdata,MATCH(S$5,[1]!empid,0),16))</f>
        <v>AFalzon</v>
      </c>
      <c r="T26" s="270" t="str">
        <f>IF(T$5=0,0,INDEX([1]!empdata,MATCH(T$5,[1]!empid,0),16))</f>
        <v>ZMifsud</v>
      </c>
      <c r="U26" s="763" t="str">
        <f>+U25</f>
        <v>GROSS</v>
      </c>
      <c r="V26" s="272" t="s">
        <v>264</v>
      </c>
    </row>
    <row r="27" spans="1:22" ht="16.5" customHeight="1" thickTop="1" thickBot="1" x14ac:dyDescent="0.3">
      <c r="A27" s="273">
        <f>+DATA!$A$3</f>
        <v>46023</v>
      </c>
      <c r="B27" s="275">
        <f t="shared" ref="B27:Q38" ca="1" si="9">IF(B$5=0,0,INDEX((INDIRECT(B$6&amp;"!INDAT")),(MATCH($A27,(INDIRECT(B$6&amp;"!$O$2:$O$15")),0)),12))</f>
        <v>7822.7066666666615</v>
      </c>
      <c r="C27" s="275">
        <f t="shared" ca="1" si="9"/>
        <v>4106.9209999999966</v>
      </c>
      <c r="D27" s="275">
        <f t="shared" ca="1" si="9"/>
        <v>6413.5066666666626</v>
      </c>
      <c r="E27" s="275">
        <f t="shared" ca="1" si="9"/>
        <v>5569.3733333333294</v>
      </c>
      <c r="F27" s="275">
        <f t="shared" ca="1" si="9"/>
        <v>6609.3733333333284</v>
      </c>
      <c r="G27" s="275">
        <f t="shared" ca="1" si="9"/>
        <v>2164.0399999999991</v>
      </c>
      <c r="H27" s="275">
        <f t="shared" ca="1" si="9"/>
        <v>1891.3733333333323</v>
      </c>
      <c r="I27" s="275">
        <f t="shared" ref="I27:I38" ca="1" si="10">IF(I$5=0,0,INDEX((INDIRECT(I$6&amp;"!INDAT")),(MATCH($A27,(INDIRECT(I$6&amp;"!$O$2:$O$15")),0)),12))</f>
        <v>1513.3733333333323</v>
      </c>
      <c r="J27" s="275">
        <f t="shared" ca="1" si="9"/>
        <v>1258.5733333333324</v>
      </c>
      <c r="K27" s="275">
        <f t="shared" ca="1" si="9"/>
        <v>1513.3733333333323</v>
      </c>
      <c r="L27" s="275">
        <f t="shared" ca="1" si="9"/>
        <v>1778.5733333333324</v>
      </c>
      <c r="M27" s="275">
        <f t="shared" ca="1" si="9"/>
        <v>1778.5733333333324</v>
      </c>
      <c r="N27" s="275">
        <f t="shared" ca="1" si="9"/>
        <v>1733.5066666666653</v>
      </c>
      <c r="O27" s="275">
        <f t="shared" ca="1" si="9"/>
        <v>1409.3733333333323</v>
      </c>
      <c r="P27" s="275">
        <f t="shared" ca="1" si="9"/>
        <v>1513.3733333333323</v>
      </c>
      <c r="Q27" s="275">
        <f t="shared" ca="1" si="9"/>
        <v>603.63198000000011</v>
      </c>
      <c r="R27" s="275">
        <f t="shared" ref="C27:S38" ca="1" si="11">IF(R$5=0,0,INDEX((INDIRECT(R$6&amp;"!INDAT")),(MATCH($A27,(INDIRECT(R$6&amp;"!$O$2:$O$15")),0)),12))</f>
        <v>318.02583999999996</v>
      </c>
      <c r="S27" s="275">
        <f t="shared" ca="1" si="11"/>
        <v>103.45292999999999</v>
      </c>
      <c r="T27" s="275">
        <f t="shared" ref="S27:T38" ca="1" si="12">IF(T$5=0,0,INDEX((INDIRECT(T$6&amp;"!INDAT")),(MATCH($A27,(INDIRECT(T$6&amp;"!$O$2:$O$15")),0)),12))</f>
        <v>161.01410000000001</v>
      </c>
      <c r="U27" s="273">
        <f t="shared" ref="U27:U38" si="13">+A27</f>
        <v>46023</v>
      </c>
      <c r="V27" s="274"/>
    </row>
    <row r="28" spans="1:22" ht="16.5" customHeight="1" thickTop="1" thickBot="1" x14ac:dyDescent="0.3">
      <c r="A28" s="273">
        <f>+DATA!$A$4</f>
        <v>46054</v>
      </c>
      <c r="B28" s="275">
        <f t="shared" ca="1" si="9"/>
        <v>7822.7066666666606</v>
      </c>
      <c r="C28" s="275">
        <f t="shared" ca="1" si="11"/>
        <v>4106.9209999999966</v>
      </c>
      <c r="D28" s="275">
        <f t="shared" ca="1" si="11"/>
        <v>6413.5066666666626</v>
      </c>
      <c r="E28" s="275">
        <f t="shared" ca="1" si="11"/>
        <v>5569.3733333333294</v>
      </c>
      <c r="F28" s="275">
        <f t="shared" ca="1" si="11"/>
        <v>6609.3733333333284</v>
      </c>
      <c r="G28" s="275">
        <f t="shared" ca="1" si="11"/>
        <v>2164.0399999999991</v>
      </c>
      <c r="H28" s="275">
        <f t="shared" ca="1" si="11"/>
        <v>1891.3733333333323</v>
      </c>
      <c r="I28" s="275">
        <f t="shared" ca="1" si="10"/>
        <v>1513.3733333333323</v>
      </c>
      <c r="J28" s="275">
        <f t="shared" ca="1" si="11"/>
        <v>1258.5733333333324</v>
      </c>
      <c r="K28" s="275">
        <f t="shared" ca="1" si="11"/>
        <v>1567.3772395833323</v>
      </c>
      <c r="L28" s="275">
        <f t="shared" ca="1" si="11"/>
        <v>1778.5733333333324</v>
      </c>
      <c r="M28" s="275">
        <f t="shared" ca="1" si="11"/>
        <v>1778.5733333333324</v>
      </c>
      <c r="N28" s="275">
        <f t="shared" ca="1" si="11"/>
        <v>1733.5066666666655</v>
      </c>
      <c r="O28" s="275">
        <f t="shared" ca="1" si="11"/>
        <v>1409.3733333333323</v>
      </c>
      <c r="P28" s="275">
        <f t="shared" ca="1" si="11"/>
        <v>1513.3733333333323</v>
      </c>
      <c r="Q28" s="275">
        <f t="shared" ca="1" si="11"/>
        <v>483.23898000000014</v>
      </c>
      <c r="R28" s="275">
        <f t="shared" ca="1" si="11"/>
        <v>349.56998999999996</v>
      </c>
      <c r="S28" s="275">
        <f t="shared" ca="1" si="12"/>
        <v>346.52330999999998</v>
      </c>
      <c r="T28" s="275">
        <f t="shared" ca="1" si="12"/>
        <v>136.82383000000002</v>
      </c>
      <c r="U28" s="273">
        <f t="shared" si="13"/>
        <v>46054</v>
      </c>
      <c r="V28" s="274"/>
    </row>
    <row r="29" spans="1:22" ht="16.5" customHeight="1" thickTop="1" thickBot="1" x14ac:dyDescent="0.3">
      <c r="A29" s="273">
        <f>+DATA!$A$5</f>
        <v>46082</v>
      </c>
      <c r="B29" s="275">
        <f t="shared" ca="1" si="9"/>
        <v>7943.8666666666613</v>
      </c>
      <c r="C29" s="275">
        <f t="shared" ca="1" si="11"/>
        <v>4170.529999999997</v>
      </c>
      <c r="D29" s="275">
        <f t="shared" ca="1" si="11"/>
        <v>6534.6666666666624</v>
      </c>
      <c r="E29" s="275">
        <f t="shared" ca="1" si="11"/>
        <v>5690.5333333333292</v>
      </c>
      <c r="F29" s="275">
        <f t="shared" ca="1" si="11"/>
        <v>6730.5333333333283</v>
      </c>
      <c r="G29" s="275">
        <f t="shared" ca="1" si="11"/>
        <v>1327.9472811059902</v>
      </c>
      <c r="H29" s="275">
        <f t="shared" ca="1" si="11"/>
        <v>2012.5333333333324</v>
      </c>
      <c r="I29" s="275">
        <f t="shared" ca="1" si="10"/>
        <v>1634.5333333333324</v>
      </c>
      <c r="J29" s="275">
        <f t="shared" ca="1" si="11"/>
        <v>1379.7333333333324</v>
      </c>
      <c r="K29" s="275">
        <f t="shared" ca="1" si="11"/>
        <v>1697.0333333333324</v>
      </c>
      <c r="L29" s="275">
        <f t="shared" ca="1" si="11"/>
        <v>1899.7333333333324</v>
      </c>
      <c r="M29" s="275">
        <f t="shared" ca="1" si="11"/>
        <v>1899.7333333333324</v>
      </c>
      <c r="N29" s="275">
        <f t="shared" ca="1" si="11"/>
        <v>1854.6666666666654</v>
      </c>
      <c r="O29" s="275">
        <f t="shared" ca="1" si="11"/>
        <v>1530.5333333333324</v>
      </c>
      <c r="P29" s="275">
        <f t="shared" ca="1" si="11"/>
        <v>1612.5647619047609</v>
      </c>
      <c r="Q29" s="275">
        <f t="shared" ca="1" si="11"/>
        <v>13.67244</v>
      </c>
      <c r="R29" s="275">
        <f t="shared" ca="1" si="11"/>
        <v>10.232194999999997</v>
      </c>
      <c r="S29" s="275">
        <f t="shared" ca="1" si="12"/>
        <v>6.5519600000000002</v>
      </c>
      <c r="T29" s="275">
        <f t="shared" ca="1" si="12"/>
        <v>4.5469949999999999</v>
      </c>
      <c r="U29" s="273">
        <f t="shared" si="13"/>
        <v>46082</v>
      </c>
      <c r="V29" s="274"/>
    </row>
    <row r="30" spans="1:22" ht="16.5" customHeight="1" thickTop="1" thickBot="1" x14ac:dyDescent="0.3">
      <c r="A30" s="273">
        <f>+DATA!$A$6</f>
        <v>46113</v>
      </c>
      <c r="B30" s="275">
        <f t="shared" ca="1" si="9"/>
        <v>7822.7066666666615</v>
      </c>
      <c r="C30" s="275">
        <f t="shared" ca="1" si="11"/>
        <v>4106.9209999999966</v>
      </c>
      <c r="D30" s="275">
        <f t="shared" ca="1" si="11"/>
        <v>6413.5066666666626</v>
      </c>
      <c r="E30" s="275">
        <f t="shared" ca="1" si="11"/>
        <v>5569.3733333333303</v>
      </c>
      <c r="F30" s="275">
        <f t="shared" ca="1" si="11"/>
        <v>6609.3733333333284</v>
      </c>
      <c r="G30" s="275">
        <f t="shared" ca="1" si="11"/>
        <v>330</v>
      </c>
      <c r="H30" s="275">
        <f t="shared" ca="1" si="11"/>
        <v>2073.1999999999989</v>
      </c>
      <c r="I30" s="275">
        <f t="shared" ca="1" si="10"/>
        <v>1513.3733333333323</v>
      </c>
      <c r="J30" s="275">
        <f t="shared" ca="1" si="11"/>
        <v>1258.5733333333324</v>
      </c>
      <c r="K30" s="275">
        <f t="shared" ca="1" si="11"/>
        <v>1575.8733333333323</v>
      </c>
      <c r="L30" s="275">
        <f t="shared" ca="1" si="11"/>
        <v>1778.5733333333324</v>
      </c>
      <c r="M30" s="275">
        <f t="shared" ca="1" si="11"/>
        <v>1778.5733333333324</v>
      </c>
      <c r="N30" s="275">
        <f t="shared" ca="1" si="11"/>
        <v>1733.5066666666653</v>
      </c>
      <c r="O30" s="275">
        <f t="shared" ca="1" si="11"/>
        <v>1409.3733333333323</v>
      </c>
      <c r="P30" s="275">
        <f t="shared" ca="1" si="11"/>
        <v>1513.3733333333323</v>
      </c>
      <c r="Q30" s="275">
        <f t="shared" ca="1" si="11"/>
        <v>0</v>
      </c>
      <c r="R30" s="275">
        <f t="shared" ca="1" si="11"/>
        <v>0</v>
      </c>
      <c r="S30" s="275">
        <f t="shared" ca="1" si="12"/>
        <v>0</v>
      </c>
      <c r="T30" s="275">
        <f t="shared" ca="1" si="12"/>
        <v>0</v>
      </c>
      <c r="U30" s="273">
        <f t="shared" si="13"/>
        <v>46113</v>
      </c>
      <c r="V30" s="274"/>
    </row>
    <row r="31" spans="1:22" ht="16.5" customHeight="1" thickTop="1" thickBot="1" x14ac:dyDescent="0.3">
      <c r="A31" s="273">
        <f>+DATA!$A$7</f>
        <v>46143</v>
      </c>
      <c r="B31" s="275">
        <f t="shared" ca="1" si="9"/>
        <v>7822.7066666666615</v>
      </c>
      <c r="C31" s="275">
        <f t="shared" ca="1" si="11"/>
        <v>4106.9209999999966</v>
      </c>
      <c r="D31" s="275">
        <f t="shared" ca="1" si="11"/>
        <v>6413.5066666666626</v>
      </c>
      <c r="E31" s="275">
        <f t="shared" ca="1" si="11"/>
        <v>5569.3733333333294</v>
      </c>
      <c r="F31" s="275">
        <f t="shared" ca="1" si="11"/>
        <v>6609.3733333333284</v>
      </c>
      <c r="G31" s="275">
        <f t="shared" ca="1" si="11"/>
        <v>330</v>
      </c>
      <c r="H31" s="275">
        <f t="shared" ca="1" si="11"/>
        <v>2073.1999999999989</v>
      </c>
      <c r="I31" s="275">
        <f t="shared" ca="1" si="10"/>
        <v>1513.3733333333323</v>
      </c>
      <c r="J31" s="275">
        <f t="shared" ca="1" si="11"/>
        <v>1258.5733333333324</v>
      </c>
      <c r="K31" s="275">
        <f t="shared" ca="1" si="11"/>
        <v>1575.8733333333323</v>
      </c>
      <c r="L31" s="275">
        <f t="shared" ca="1" si="11"/>
        <v>1778.5733333333324</v>
      </c>
      <c r="M31" s="275">
        <f t="shared" ca="1" si="11"/>
        <v>1778.5733333333324</v>
      </c>
      <c r="N31" s="275">
        <f t="shared" ca="1" si="11"/>
        <v>1733.5066666666653</v>
      </c>
      <c r="O31" s="275">
        <f t="shared" ca="1" si="11"/>
        <v>1409.3733333333323</v>
      </c>
      <c r="P31" s="275">
        <f t="shared" ca="1" si="11"/>
        <v>1513.3733333333323</v>
      </c>
      <c r="Q31" s="275">
        <f t="shared" ca="1" si="11"/>
        <v>0</v>
      </c>
      <c r="R31" s="275">
        <f t="shared" ca="1" si="11"/>
        <v>0</v>
      </c>
      <c r="S31" s="275">
        <f t="shared" ca="1" si="12"/>
        <v>0</v>
      </c>
      <c r="T31" s="275">
        <f t="shared" ca="1" si="12"/>
        <v>0</v>
      </c>
      <c r="U31" s="273">
        <f t="shared" si="13"/>
        <v>46143</v>
      </c>
      <c r="V31" s="274"/>
    </row>
    <row r="32" spans="1:22" ht="16.5" customHeight="1" thickTop="1" thickBot="1" x14ac:dyDescent="0.3">
      <c r="A32" s="273">
        <f>+DATA!$A$8</f>
        <v>46174</v>
      </c>
      <c r="B32" s="275">
        <f t="shared" ca="1" si="9"/>
        <v>7957.8066666666618</v>
      </c>
      <c r="C32" s="275">
        <f t="shared" ca="1" si="11"/>
        <v>4177.8484999999964</v>
      </c>
      <c r="D32" s="275">
        <f t="shared" ca="1" si="11"/>
        <v>6548.6066666666629</v>
      </c>
      <c r="E32" s="275">
        <f t="shared" ca="1" si="11"/>
        <v>5704.4733333333306</v>
      </c>
      <c r="F32" s="275">
        <f t="shared" ca="1" si="11"/>
        <v>6744.4733333333288</v>
      </c>
      <c r="G32" s="275">
        <f t="shared" ca="1" si="11"/>
        <v>330</v>
      </c>
      <c r="H32" s="275">
        <f t="shared" ca="1" si="11"/>
        <v>2208.2999999999993</v>
      </c>
      <c r="I32" s="275">
        <f t="shared" ca="1" si="10"/>
        <v>1648.4733333333322</v>
      </c>
      <c r="J32" s="275">
        <f t="shared" ca="1" si="11"/>
        <v>1393.6733333333323</v>
      </c>
      <c r="K32" s="275">
        <f t="shared" ca="1" si="11"/>
        <v>1710.9733333333322</v>
      </c>
      <c r="L32" s="275">
        <f t="shared" ca="1" si="11"/>
        <v>1913.6733333333323</v>
      </c>
      <c r="M32" s="275">
        <f t="shared" ca="1" si="11"/>
        <v>1913.6733333333323</v>
      </c>
      <c r="N32" s="275">
        <f t="shared" ca="1" si="11"/>
        <v>1868.6066666666652</v>
      </c>
      <c r="O32" s="275">
        <f t="shared" ca="1" si="11"/>
        <v>1544.4733333333322</v>
      </c>
      <c r="P32" s="275">
        <f t="shared" ca="1" si="11"/>
        <v>1648.4733333333322</v>
      </c>
      <c r="Q32" s="275">
        <f t="shared" ca="1" si="11"/>
        <v>15.245515384615386</v>
      </c>
      <c r="R32" s="275">
        <f t="shared" ca="1" si="11"/>
        <v>11.409454807692304</v>
      </c>
      <c r="S32" s="275">
        <f t="shared" ca="1" si="12"/>
        <v>7.3057923076923075</v>
      </c>
      <c r="T32" s="275">
        <f t="shared" ca="1" si="12"/>
        <v>5.0701471153846152</v>
      </c>
      <c r="U32" s="273">
        <f t="shared" si="13"/>
        <v>46174</v>
      </c>
      <c r="V32" s="274"/>
    </row>
    <row r="33" spans="1:22" ht="16.5" customHeight="1" thickTop="1" thickBot="1" x14ac:dyDescent="0.3">
      <c r="A33" s="273">
        <f>+DATA!$A$9</f>
        <v>46204</v>
      </c>
      <c r="B33" s="275">
        <f t="shared" ca="1" si="9"/>
        <v>7822.7066666666615</v>
      </c>
      <c r="C33" s="275">
        <f t="shared" ca="1" si="11"/>
        <v>4106.9209999999966</v>
      </c>
      <c r="D33" s="275">
        <f t="shared" ca="1" si="11"/>
        <v>6413.5066666666626</v>
      </c>
      <c r="E33" s="275">
        <f t="shared" ca="1" si="11"/>
        <v>5569.3733333333294</v>
      </c>
      <c r="F33" s="275">
        <f t="shared" ca="1" si="11"/>
        <v>6609.3733333333284</v>
      </c>
      <c r="G33" s="275">
        <f t="shared" ca="1" si="11"/>
        <v>330</v>
      </c>
      <c r="H33" s="275">
        <f t="shared" ca="1" si="11"/>
        <v>2073.1999999999989</v>
      </c>
      <c r="I33" s="275">
        <f t="shared" ca="1" si="10"/>
        <v>1513.3733333333323</v>
      </c>
      <c r="J33" s="275">
        <f t="shared" ca="1" si="11"/>
        <v>1258.5733333333324</v>
      </c>
      <c r="K33" s="275">
        <f t="shared" ca="1" si="11"/>
        <v>1575.8733333333323</v>
      </c>
      <c r="L33" s="275">
        <f t="shared" ca="1" si="11"/>
        <v>1778.5733333333324</v>
      </c>
      <c r="M33" s="275">
        <f t="shared" ca="1" si="11"/>
        <v>1778.5733333333324</v>
      </c>
      <c r="N33" s="275">
        <f t="shared" ca="1" si="11"/>
        <v>1733.5066666666653</v>
      </c>
      <c r="O33" s="275">
        <f t="shared" ca="1" si="11"/>
        <v>1409.3733333333323</v>
      </c>
      <c r="P33" s="275">
        <f t="shared" ca="1" si="11"/>
        <v>1513.3733333333323</v>
      </c>
      <c r="Q33" s="275">
        <f t="shared" ca="1" si="11"/>
        <v>0</v>
      </c>
      <c r="R33" s="275">
        <f t="shared" ca="1" si="11"/>
        <v>0</v>
      </c>
      <c r="S33" s="275">
        <f t="shared" ca="1" si="12"/>
        <v>0</v>
      </c>
      <c r="T33" s="275">
        <f t="shared" ca="1" si="12"/>
        <v>0</v>
      </c>
      <c r="U33" s="273">
        <f t="shared" si="13"/>
        <v>46204</v>
      </c>
      <c r="V33" s="274"/>
    </row>
    <row r="34" spans="1:22" ht="16.5" customHeight="1" thickTop="1" thickBot="1" x14ac:dyDescent="0.3">
      <c r="A34" s="273">
        <f>+DATA!$A$10</f>
        <v>46235</v>
      </c>
      <c r="B34" s="275">
        <f t="shared" ca="1" si="9"/>
        <v>7822.7066666666615</v>
      </c>
      <c r="C34" s="275">
        <f t="shared" ca="1" si="11"/>
        <v>4106.9209999999966</v>
      </c>
      <c r="D34" s="275">
        <f t="shared" ca="1" si="11"/>
        <v>6413.5066666666626</v>
      </c>
      <c r="E34" s="275">
        <f t="shared" ca="1" si="11"/>
        <v>5569.3733333333294</v>
      </c>
      <c r="F34" s="275">
        <f t="shared" ca="1" si="11"/>
        <v>6609.3733333333284</v>
      </c>
      <c r="G34" s="275">
        <f t="shared" ca="1" si="11"/>
        <v>330</v>
      </c>
      <c r="H34" s="275">
        <f t="shared" ca="1" si="11"/>
        <v>2073.1999999999989</v>
      </c>
      <c r="I34" s="275">
        <f t="shared" ca="1" si="10"/>
        <v>1513.3733333333323</v>
      </c>
      <c r="J34" s="275">
        <f t="shared" ca="1" si="11"/>
        <v>1258.5733333333324</v>
      </c>
      <c r="K34" s="275">
        <f t="shared" ca="1" si="11"/>
        <v>1575.8733333333323</v>
      </c>
      <c r="L34" s="275">
        <f t="shared" ca="1" si="11"/>
        <v>1778.5733333333324</v>
      </c>
      <c r="M34" s="275">
        <f t="shared" ca="1" si="11"/>
        <v>1778.5733333333324</v>
      </c>
      <c r="N34" s="275">
        <f t="shared" ca="1" si="11"/>
        <v>1733.5066666666653</v>
      </c>
      <c r="O34" s="275">
        <f t="shared" ca="1" si="11"/>
        <v>1409.3733333333323</v>
      </c>
      <c r="P34" s="275">
        <f t="shared" ca="1" si="11"/>
        <v>1513.3733333333323</v>
      </c>
      <c r="Q34" s="275">
        <f t="shared" ca="1" si="11"/>
        <v>0</v>
      </c>
      <c r="R34" s="275">
        <f t="shared" ca="1" si="11"/>
        <v>0</v>
      </c>
      <c r="S34" s="275">
        <f t="shared" ca="1" si="12"/>
        <v>0</v>
      </c>
      <c r="T34" s="275">
        <f t="shared" ca="1" si="12"/>
        <v>0</v>
      </c>
      <c r="U34" s="273">
        <f t="shared" si="13"/>
        <v>46235</v>
      </c>
      <c r="V34" s="274"/>
    </row>
    <row r="35" spans="1:22" ht="16.5" customHeight="1" thickTop="1" thickBot="1" x14ac:dyDescent="0.3">
      <c r="A35" s="273">
        <f>+DATA!$A$11</f>
        <v>46266</v>
      </c>
      <c r="B35" s="275">
        <f t="shared" ca="1" si="9"/>
        <v>7943.8666666666613</v>
      </c>
      <c r="C35" s="275">
        <f t="shared" ca="1" si="11"/>
        <v>4170.529999999997</v>
      </c>
      <c r="D35" s="275">
        <f t="shared" ca="1" si="11"/>
        <v>6534.6666666666624</v>
      </c>
      <c r="E35" s="275">
        <f t="shared" ca="1" si="11"/>
        <v>5690.5333333333301</v>
      </c>
      <c r="F35" s="275">
        <f t="shared" ca="1" si="11"/>
        <v>6730.5333333333283</v>
      </c>
      <c r="G35" s="275">
        <f t="shared" ca="1" si="11"/>
        <v>330</v>
      </c>
      <c r="H35" s="275">
        <f t="shared" ca="1" si="11"/>
        <v>2194.3599999999992</v>
      </c>
      <c r="I35" s="275">
        <f t="shared" ca="1" si="10"/>
        <v>1634.5333333333324</v>
      </c>
      <c r="J35" s="275">
        <f t="shared" ca="1" si="11"/>
        <v>1379.7333333333324</v>
      </c>
      <c r="K35" s="275">
        <f t="shared" ca="1" si="11"/>
        <v>1697.0333333333324</v>
      </c>
      <c r="L35" s="275">
        <f t="shared" ca="1" si="11"/>
        <v>1899.7333333333324</v>
      </c>
      <c r="M35" s="275">
        <f t="shared" ca="1" si="11"/>
        <v>1899.7333333333324</v>
      </c>
      <c r="N35" s="275">
        <f t="shared" ca="1" si="11"/>
        <v>1854.6666666666654</v>
      </c>
      <c r="O35" s="275">
        <f t="shared" ca="1" si="11"/>
        <v>1530.5333333333324</v>
      </c>
      <c r="P35" s="275">
        <f t="shared" ca="1" si="11"/>
        <v>1634.5333333333324</v>
      </c>
      <c r="Q35" s="275">
        <f t="shared" ca="1" si="11"/>
        <v>0</v>
      </c>
      <c r="R35" s="275">
        <f t="shared" ca="1" si="11"/>
        <v>0</v>
      </c>
      <c r="S35" s="275">
        <f t="shared" ca="1" si="12"/>
        <v>0</v>
      </c>
      <c r="T35" s="275">
        <f t="shared" ca="1" si="12"/>
        <v>0</v>
      </c>
      <c r="U35" s="273">
        <f t="shared" si="13"/>
        <v>46266</v>
      </c>
      <c r="V35" s="274"/>
    </row>
    <row r="36" spans="1:22" ht="16.5" customHeight="1" thickTop="1" thickBot="1" x14ac:dyDescent="0.3">
      <c r="A36" s="273">
        <f>+DATA!$A$12</f>
        <v>46296</v>
      </c>
      <c r="B36" s="275">
        <f t="shared" ca="1" si="9"/>
        <v>7822.7066666666615</v>
      </c>
      <c r="C36" s="275">
        <f t="shared" ca="1" si="11"/>
        <v>4106.9209999999966</v>
      </c>
      <c r="D36" s="275">
        <f t="shared" ca="1" si="11"/>
        <v>6413.5066666666626</v>
      </c>
      <c r="E36" s="275">
        <f t="shared" ca="1" si="11"/>
        <v>5569.3733333333294</v>
      </c>
      <c r="F36" s="275">
        <f t="shared" ca="1" si="11"/>
        <v>6609.3733333333284</v>
      </c>
      <c r="G36" s="275">
        <f t="shared" ca="1" si="11"/>
        <v>330</v>
      </c>
      <c r="H36" s="275">
        <f t="shared" ca="1" si="11"/>
        <v>2073.1999999999989</v>
      </c>
      <c r="I36" s="275">
        <f t="shared" ca="1" si="10"/>
        <v>1513.3733333333323</v>
      </c>
      <c r="J36" s="275">
        <f t="shared" ca="1" si="11"/>
        <v>1258.5733333333324</v>
      </c>
      <c r="K36" s="275">
        <f t="shared" ca="1" si="11"/>
        <v>1575.8733333333323</v>
      </c>
      <c r="L36" s="275">
        <f t="shared" ca="1" si="11"/>
        <v>1778.5733333333324</v>
      </c>
      <c r="M36" s="275">
        <f t="shared" ca="1" si="11"/>
        <v>1778.5733333333324</v>
      </c>
      <c r="N36" s="275">
        <f t="shared" ca="1" si="11"/>
        <v>1733.5066666666653</v>
      </c>
      <c r="O36" s="275">
        <f t="shared" ca="1" si="11"/>
        <v>1409.3733333333323</v>
      </c>
      <c r="P36" s="275">
        <f t="shared" ca="1" si="11"/>
        <v>1513.3733333333323</v>
      </c>
      <c r="Q36" s="275">
        <f t="shared" ca="1" si="11"/>
        <v>0</v>
      </c>
      <c r="R36" s="275">
        <f t="shared" ca="1" si="11"/>
        <v>0</v>
      </c>
      <c r="S36" s="275">
        <f t="shared" ca="1" si="12"/>
        <v>0</v>
      </c>
      <c r="T36" s="275">
        <f t="shared" ca="1" si="12"/>
        <v>0</v>
      </c>
      <c r="U36" s="273">
        <f t="shared" si="13"/>
        <v>46296</v>
      </c>
      <c r="V36" s="274"/>
    </row>
    <row r="37" spans="1:22" ht="16.5" customHeight="1" thickTop="1" thickBot="1" x14ac:dyDescent="0.3">
      <c r="A37" s="273">
        <f>+DATA!$A$13</f>
        <v>46327</v>
      </c>
      <c r="B37" s="275">
        <f t="shared" ca="1" si="9"/>
        <v>7822.7066666666615</v>
      </c>
      <c r="C37" s="275">
        <f t="shared" ca="1" si="11"/>
        <v>4106.9209999999966</v>
      </c>
      <c r="D37" s="275">
        <f t="shared" ca="1" si="11"/>
        <v>6413.5066666666626</v>
      </c>
      <c r="E37" s="275">
        <f t="shared" ca="1" si="11"/>
        <v>5569.3733333333303</v>
      </c>
      <c r="F37" s="275">
        <f t="shared" ca="1" si="11"/>
        <v>6609.3733333333284</v>
      </c>
      <c r="G37" s="275">
        <f t="shared" ca="1" si="11"/>
        <v>330</v>
      </c>
      <c r="H37" s="275">
        <f t="shared" ca="1" si="11"/>
        <v>2073.1999999999989</v>
      </c>
      <c r="I37" s="275">
        <f t="shared" ca="1" si="10"/>
        <v>1513.3733333333323</v>
      </c>
      <c r="J37" s="275">
        <f t="shared" ca="1" si="11"/>
        <v>1258.5733333333324</v>
      </c>
      <c r="K37" s="275">
        <f t="shared" ca="1" si="11"/>
        <v>1575.8733333333323</v>
      </c>
      <c r="L37" s="275">
        <f t="shared" ca="1" si="11"/>
        <v>1778.5733333333324</v>
      </c>
      <c r="M37" s="275">
        <f t="shared" ca="1" si="11"/>
        <v>1778.5733333333324</v>
      </c>
      <c r="N37" s="275">
        <f t="shared" ca="1" si="11"/>
        <v>1733.5066666666653</v>
      </c>
      <c r="O37" s="275">
        <f t="shared" ca="1" si="11"/>
        <v>1409.3733333333323</v>
      </c>
      <c r="P37" s="275">
        <f t="shared" ca="1" si="11"/>
        <v>1513.3733333333323</v>
      </c>
      <c r="Q37" s="275">
        <f t="shared" ca="1" si="11"/>
        <v>0</v>
      </c>
      <c r="R37" s="275">
        <f t="shared" ca="1" si="11"/>
        <v>0</v>
      </c>
      <c r="S37" s="275">
        <f t="shared" ca="1" si="12"/>
        <v>0</v>
      </c>
      <c r="T37" s="275">
        <f t="shared" ca="1" si="12"/>
        <v>0</v>
      </c>
      <c r="U37" s="273">
        <f t="shared" si="13"/>
        <v>46327</v>
      </c>
      <c r="V37" s="274"/>
    </row>
    <row r="38" spans="1:22" ht="16.5" customHeight="1" thickTop="1" thickBot="1" x14ac:dyDescent="0.3">
      <c r="A38" s="273">
        <f>+DATA!$A$14</f>
        <v>46357</v>
      </c>
      <c r="B38" s="275">
        <f t="shared" ca="1" si="9"/>
        <v>7957.8066666666618</v>
      </c>
      <c r="C38" s="275">
        <f t="shared" ca="1" si="11"/>
        <v>4177.8484999999964</v>
      </c>
      <c r="D38" s="275">
        <f t="shared" ca="1" si="11"/>
        <v>6548.6066666666629</v>
      </c>
      <c r="E38" s="275">
        <f t="shared" ca="1" si="11"/>
        <v>5704.4733333333297</v>
      </c>
      <c r="F38" s="275">
        <f t="shared" ca="1" si="11"/>
        <v>6744.4733333333288</v>
      </c>
      <c r="G38" s="275">
        <f t="shared" ca="1" si="11"/>
        <v>330</v>
      </c>
      <c r="H38" s="275">
        <f t="shared" ca="1" si="11"/>
        <v>2208.2999999999988</v>
      </c>
      <c r="I38" s="275">
        <f t="shared" ca="1" si="10"/>
        <v>1648.4733333333322</v>
      </c>
      <c r="J38" s="275">
        <f t="shared" ca="1" si="11"/>
        <v>1393.6733333333323</v>
      </c>
      <c r="K38" s="275">
        <f t="shared" ca="1" si="11"/>
        <v>1710.9733333333322</v>
      </c>
      <c r="L38" s="275">
        <f t="shared" ca="1" si="11"/>
        <v>1913.6733333333323</v>
      </c>
      <c r="M38" s="275">
        <f t="shared" ca="1" si="11"/>
        <v>1913.6733333333323</v>
      </c>
      <c r="N38" s="275">
        <f t="shared" ca="1" si="11"/>
        <v>1868.6066666666652</v>
      </c>
      <c r="O38" s="275">
        <f t="shared" ca="1" si="11"/>
        <v>1544.4733333333322</v>
      </c>
      <c r="P38" s="275">
        <f t="shared" ca="1" si="11"/>
        <v>1648.4733333333322</v>
      </c>
      <c r="Q38" s="275">
        <f t="shared" ca="1" si="11"/>
        <v>0</v>
      </c>
      <c r="R38" s="275">
        <f t="shared" ca="1" si="11"/>
        <v>0</v>
      </c>
      <c r="S38" s="275">
        <f t="shared" ca="1" si="12"/>
        <v>0</v>
      </c>
      <c r="T38" s="275">
        <f t="shared" ca="1" si="12"/>
        <v>0</v>
      </c>
      <c r="U38" s="766">
        <f t="shared" si="13"/>
        <v>46357</v>
      </c>
      <c r="V38" s="767"/>
    </row>
    <row r="39" spans="1:22" ht="15.75" customHeight="1" thickBot="1" x14ac:dyDescent="0.3">
      <c r="A39" s="50"/>
      <c r="B39" s="762">
        <f ca="1">SUM(B27:B38)</f>
        <v>94384.999999999956</v>
      </c>
      <c r="C39" s="762">
        <f t="shared" ref="C39:R39" ca="1" si="14">SUM(C27:C38)</f>
        <v>49552.124999999956</v>
      </c>
      <c r="D39" s="762">
        <f t="shared" ca="1" si="14"/>
        <v>77474.599999999948</v>
      </c>
      <c r="E39" s="762">
        <f t="shared" ca="1" si="14"/>
        <v>67344.999999999956</v>
      </c>
      <c r="F39" s="762">
        <f t="shared" ca="1" si="14"/>
        <v>79824.999999999927</v>
      </c>
      <c r="G39" s="762">
        <f t="shared" ca="1" si="14"/>
        <v>8626.0272811059876</v>
      </c>
      <c r="H39" s="762">
        <f t="shared" ca="1" si="14"/>
        <v>24845.439999999984</v>
      </c>
      <c r="I39" s="762">
        <f t="shared" ca="1" si="14"/>
        <v>18672.999999999989</v>
      </c>
      <c r="J39" s="762">
        <f t="shared" ca="1" si="14"/>
        <v>15615.399999999985</v>
      </c>
      <c r="K39" s="762">
        <f t="shared" ca="1" si="14"/>
        <v>19352.003906249989</v>
      </c>
      <c r="L39" s="762">
        <f t="shared" ca="1" si="14"/>
        <v>21855.399999999991</v>
      </c>
      <c r="M39" s="762">
        <f t="shared" ca="1" si="14"/>
        <v>21855.399999999991</v>
      </c>
      <c r="N39" s="762">
        <f t="shared" ca="1" si="14"/>
        <v>21314.599999999984</v>
      </c>
      <c r="O39" s="762">
        <f t="shared" ca="1" si="14"/>
        <v>17424.999999999989</v>
      </c>
      <c r="P39" s="762">
        <f t="shared" ca="1" si="14"/>
        <v>18651.031428571416</v>
      </c>
      <c r="Q39" s="762">
        <f t="shared" ca="1" si="14"/>
        <v>1115.7889153846156</v>
      </c>
      <c r="R39" s="762">
        <f t="shared" ca="1" si="14"/>
        <v>689.23747980769235</v>
      </c>
      <c r="S39" s="762">
        <f t="shared" ref="S39" ca="1" si="15">SUM(S27:S38)</f>
        <v>463.83399230769226</v>
      </c>
      <c r="T39" s="762">
        <f t="shared" ref="T39" ca="1" si="16">SUM(T27:T38)</f>
        <v>307.45507211538461</v>
      </c>
      <c r="U39" s="339"/>
      <c r="V39" s="49"/>
    </row>
    <row r="40" spans="1:22" ht="16.5" customHeight="1" thickTop="1" thickBot="1" x14ac:dyDescent="0.3">
      <c r="A40" s="50" t="s">
        <v>266</v>
      </c>
      <c r="B40" s="757">
        <f ca="1">B39</f>
        <v>94384.999999999956</v>
      </c>
      <c r="C40" s="757">
        <f t="shared" ref="C40:R40" ca="1" si="17">C39</f>
        <v>49552.124999999956</v>
      </c>
      <c r="D40" s="757">
        <f t="shared" ca="1" si="17"/>
        <v>77474.599999999948</v>
      </c>
      <c r="E40" s="757">
        <f t="shared" ca="1" si="17"/>
        <v>67344.999999999956</v>
      </c>
      <c r="F40" s="757">
        <f t="shared" ca="1" si="17"/>
        <v>79824.999999999927</v>
      </c>
      <c r="G40" s="757">
        <f t="shared" ca="1" si="17"/>
        <v>8626.0272811059876</v>
      </c>
      <c r="H40" s="757">
        <f t="shared" ca="1" si="17"/>
        <v>24845.439999999984</v>
      </c>
      <c r="I40" s="757">
        <f t="shared" ca="1" si="17"/>
        <v>18672.999999999989</v>
      </c>
      <c r="J40" s="757">
        <f t="shared" ca="1" si="17"/>
        <v>15615.399999999985</v>
      </c>
      <c r="K40" s="757">
        <f t="shared" ca="1" si="17"/>
        <v>19352.003906249989</v>
      </c>
      <c r="L40" s="757">
        <f t="shared" ca="1" si="17"/>
        <v>21855.399999999991</v>
      </c>
      <c r="M40" s="757">
        <f t="shared" ca="1" si="17"/>
        <v>21855.399999999991</v>
      </c>
      <c r="N40" s="757">
        <f t="shared" ca="1" si="17"/>
        <v>21314.599999999984</v>
      </c>
      <c r="O40" s="757">
        <f t="shared" ca="1" si="17"/>
        <v>17424.999999999989</v>
      </c>
      <c r="P40" s="757">
        <f t="shared" ca="1" si="17"/>
        <v>18651.031428571416</v>
      </c>
      <c r="Q40" s="757">
        <f t="shared" ca="1" si="17"/>
        <v>1115.7889153846156</v>
      </c>
      <c r="R40" s="757">
        <f t="shared" ca="1" si="17"/>
        <v>689.23747980769235</v>
      </c>
      <c r="S40" s="757">
        <f t="shared" ref="S40" ca="1" si="18">S39</f>
        <v>463.83399230769226</v>
      </c>
      <c r="T40" s="757">
        <f t="shared" ref="T40" ca="1" si="19">T39</f>
        <v>307.45507211538461</v>
      </c>
      <c r="U40" s="273"/>
      <c r="V40" s="274">
        <f>SUM(V27:V38)</f>
        <v>0</v>
      </c>
    </row>
    <row r="41" spans="1:22" ht="15.75" customHeight="1" thickBot="1" x14ac:dyDescent="0.3">
      <c r="A41" s="51"/>
      <c r="B41" s="24"/>
      <c r="C41" s="24"/>
      <c r="D41" s="24"/>
      <c r="E41" s="24"/>
      <c r="F41" s="24"/>
      <c r="G41" s="24"/>
      <c r="H41" s="24"/>
      <c r="I41" s="24"/>
      <c r="J41" s="24"/>
      <c r="K41" s="24"/>
      <c r="L41" s="24"/>
      <c r="M41" s="24"/>
      <c r="N41" s="24"/>
      <c r="O41" s="24"/>
      <c r="P41" s="24"/>
      <c r="Q41" s="24"/>
      <c r="R41" s="24"/>
      <c r="S41" s="24"/>
      <c r="T41" s="24"/>
      <c r="U41" s="51"/>
      <c r="V41" s="52"/>
    </row>
    <row r="42" spans="1:22" ht="15.75" customHeight="1" thickBot="1" x14ac:dyDescent="0.3"/>
    <row r="43" spans="1:22" ht="15.75" customHeight="1" thickBot="1" x14ac:dyDescent="0.3">
      <c r="A43" s="271" t="s">
        <v>268</v>
      </c>
      <c r="B43" s="760"/>
      <c r="C43" s="760"/>
      <c r="D43" s="760"/>
      <c r="E43" s="760"/>
      <c r="F43" s="760"/>
      <c r="G43" s="760"/>
      <c r="H43" s="760"/>
      <c r="I43" s="760"/>
      <c r="J43" s="760"/>
      <c r="K43" s="760"/>
      <c r="L43" s="760"/>
      <c r="M43" s="760"/>
      <c r="N43" s="760"/>
      <c r="O43" s="760"/>
      <c r="P43" s="760"/>
      <c r="Q43" s="760"/>
      <c r="R43" s="760"/>
      <c r="S43" s="760"/>
      <c r="T43" s="760"/>
      <c r="U43" s="761"/>
      <c r="V43" s="268"/>
    </row>
    <row r="44" spans="1:22" ht="24.75" customHeight="1" thickTop="1" thickBot="1" x14ac:dyDescent="0.4">
      <c r="A44" s="278">
        <f>DATA!$A$2</f>
        <v>46023</v>
      </c>
      <c r="B44" s="778"/>
      <c r="C44" s="778"/>
      <c r="D44" s="778"/>
      <c r="E44" s="778"/>
      <c r="F44" s="778"/>
      <c r="G44" s="778"/>
      <c r="H44" s="778"/>
      <c r="I44" s="778"/>
      <c r="J44" s="778"/>
      <c r="K44" s="778"/>
      <c r="L44" s="778"/>
      <c r="M44" s="778"/>
      <c r="N44" s="778"/>
      <c r="O44" s="778"/>
      <c r="P44" s="778"/>
      <c r="Q44" s="778"/>
      <c r="R44" s="778"/>
      <c r="S44" s="778"/>
      <c r="T44" s="778"/>
      <c r="U44" s="759"/>
      <c r="V44" s="269"/>
    </row>
    <row r="45" spans="1:22" ht="15.75" customHeight="1" thickBot="1" x14ac:dyDescent="0.3">
      <c r="A45" s="25" t="s">
        <v>262</v>
      </c>
      <c r="B45" s="777">
        <f>+B25</f>
        <v>2018001</v>
      </c>
      <c r="C45" s="777">
        <f t="shared" ref="C45:R45" si="20">+C25</f>
        <v>2018002</v>
      </c>
      <c r="D45" s="777">
        <f t="shared" si="20"/>
        <v>2024006</v>
      </c>
      <c r="E45" s="777">
        <f t="shared" si="20"/>
        <v>2025008</v>
      </c>
      <c r="F45" s="777">
        <f t="shared" si="20"/>
        <v>2025009</v>
      </c>
      <c r="G45" s="777">
        <f t="shared" si="20"/>
        <v>2020005</v>
      </c>
      <c r="H45" s="777">
        <f t="shared" si="20"/>
        <v>2018004</v>
      </c>
      <c r="I45" s="777">
        <f t="shared" si="20"/>
        <v>2021009</v>
      </c>
      <c r="J45" s="777">
        <f t="shared" si="20"/>
        <v>2023005</v>
      </c>
      <c r="K45" s="777">
        <f t="shared" si="20"/>
        <v>2023006</v>
      </c>
      <c r="L45" s="777">
        <f t="shared" si="20"/>
        <v>2023007</v>
      </c>
      <c r="M45" s="777">
        <f t="shared" si="20"/>
        <v>2023008</v>
      </c>
      <c r="N45" s="777">
        <f t="shared" si="20"/>
        <v>2025001</v>
      </c>
      <c r="O45" s="777">
        <f t="shared" si="20"/>
        <v>2025003</v>
      </c>
      <c r="P45" s="777">
        <f t="shared" si="20"/>
        <v>2025005</v>
      </c>
      <c r="Q45" s="777">
        <f t="shared" si="20"/>
        <v>2024002</v>
      </c>
      <c r="R45" s="777">
        <f t="shared" si="20"/>
        <v>2025006</v>
      </c>
      <c r="S45" s="777">
        <f t="shared" ref="S45:T45" si="21">+S25</f>
        <v>2025007</v>
      </c>
      <c r="T45" s="777">
        <f t="shared" si="21"/>
        <v>2025011</v>
      </c>
      <c r="U45" s="764" t="str">
        <f>+A43</f>
        <v>TAX MAIN</v>
      </c>
      <c r="V45" s="765"/>
    </row>
    <row r="46" spans="1:22" ht="15.75" customHeight="1" thickBot="1" x14ac:dyDescent="0.3">
      <c r="A46" s="25" t="s">
        <v>263</v>
      </c>
      <c r="B46" s="270" t="str">
        <f>IF(B$5=0,0,INDEX([1]!empdata,MATCH(B$5,[1]!empid,0),16))</f>
        <v>RGaldes</v>
      </c>
      <c r="C46" s="270" t="str">
        <f>IF(C$5=0,0,INDEX([1]!empdata,MATCH(C$5,[1]!empid,0),16))</f>
        <v>LCarini</v>
      </c>
      <c r="D46" s="270" t="str">
        <f>IF(D$5=0,0,INDEX([1]!empdata,MATCH(D$5,[1]!empid,0),16))</f>
        <v>KMizzi</v>
      </c>
      <c r="E46" s="270" t="str">
        <f>IF(E$5=0,0,INDEX([1]!empdata,MATCH(E$5,[1]!empid,0),16))</f>
        <v>RCamilleri</v>
      </c>
      <c r="F46" s="270" t="str">
        <f>IF(F$5=0,0,INDEX([1]!empdata,MATCH(F$5,[1]!empid,0),16))</f>
        <v>DMifsud_Ceci</v>
      </c>
      <c r="G46" s="270" t="str">
        <f>IF(G$5=0,0,INDEX([1]!empdata,MATCH(G$5,[1]!empid,0),16))</f>
        <v>MCamilleri</v>
      </c>
      <c r="H46" s="270" t="str">
        <f>IF(H$5=0,0,INDEX([1]!empdata,MATCH(H$5,[1]!empid,0),16))</f>
        <v>LBonnici</v>
      </c>
      <c r="I46" s="270" t="str">
        <f>IF(I$5=0,0,INDEX([1]!empdata,MATCH(I$5,[1]!empid,0),16))</f>
        <v>RAttard</v>
      </c>
      <c r="J46" s="270" t="str">
        <f>IF(J$5=0,0,INDEX([1]!empdata,MATCH(J$5,[1]!empid,0),16))</f>
        <v>RSreejith</v>
      </c>
      <c r="K46" s="270" t="str">
        <f>IF(K$5=0,0,INDEX([1]!empdata,MATCH(K$5,[1]!empid,0),16))</f>
        <v>RMallan_Albani</v>
      </c>
      <c r="L46" s="270" t="str">
        <f>IF(L$5=0,0,INDEX([1]!empdata,MATCH(L$5,[1]!empid,0),16))</f>
        <v>AHaneena</v>
      </c>
      <c r="M46" s="270" t="str">
        <f>IF(M$5=0,0,INDEX([1]!empdata,MATCH(M$5,[1]!empid,0),16))</f>
        <v>ELama</v>
      </c>
      <c r="N46" s="270" t="str">
        <f>IF(N$5=0,0,INDEX([1]!empdata,MATCH(N$5,[1]!empid,0),16))</f>
        <v>MAcero_Garzon</v>
      </c>
      <c r="O46" s="270" t="str">
        <f>IF(O$5=0,0,INDEX([1]!empdata,MATCH(O$5,[1]!empid,0),16))</f>
        <v>RAcharya</v>
      </c>
      <c r="P46" s="270" t="str">
        <f>IF(P$5=0,0,INDEX([1]!empdata,MATCH(P$5,[1]!empid,0),16))</f>
        <v>AKunnamkudath</v>
      </c>
      <c r="Q46" s="270" t="str">
        <f>IF(Q$5=0,0,INDEX([1]!empdata,MATCH(Q$5,[1]!empid,0),16))</f>
        <v>MEllul</v>
      </c>
      <c r="R46" s="270" t="str">
        <f>IF(R$5=0,0,INDEX([1]!empdata,MATCH(R$5,[1]!empid,0),16))</f>
        <v>ECurmi</v>
      </c>
      <c r="S46" s="270" t="str">
        <f>IF(S$5=0,0,INDEX([1]!empdata,MATCH(S$5,[1]!empid,0),16))</f>
        <v>AFalzon</v>
      </c>
      <c r="T46" s="270" t="str">
        <f>IF(T$5=0,0,INDEX([1]!empdata,MATCH(T$5,[1]!empid,0),16))</f>
        <v>ZMifsud</v>
      </c>
      <c r="U46" s="763" t="str">
        <f>+U45</f>
        <v>TAX MAIN</v>
      </c>
      <c r="V46" s="272" t="s">
        <v>264</v>
      </c>
    </row>
    <row r="47" spans="1:22" ht="16.5" customHeight="1" thickTop="1" thickBot="1" x14ac:dyDescent="0.3">
      <c r="A47" s="273">
        <f>+DATA!$A$3</f>
        <v>46023</v>
      </c>
      <c r="B47" s="275">
        <f t="shared" ref="B47:Q58" ca="1" si="22">IF(B$5=0,0,INDEX((INDIRECT(B$6&amp;"!INDAT")),(MATCH($A47,(INDIRECT(B$6&amp;"!$O$2:$O$15")),0)),13))</f>
        <v>1954</v>
      </c>
      <c r="C47" s="275">
        <f t="shared" ca="1" si="22"/>
        <v>582</v>
      </c>
      <c r="D47" s="275">
        <f t="shared" ca="1" si="22"/>
        <v>1461</v>
      </c>
      <c r="E47" s="275">
        <f t="shared" ca="1" si="22"/>
        <v>1165</v>
      </c>
      <c r="F47" s="275">
        <f t="shared" ca="1" si="22"/>
        <v>1529</v>
      </c>
      <c r="G47" s="275">
        <f t="shared" ca="1" si="22"/>
        <v>257</v>
      </c>
      <c r="H47" s="275">
        <f t="shared" ca="1" si="22"/>
        <v>52</v>
      </c>
      <c r="I47" s="275">
        <f t="shared" ref="I47:I58" ca="1" si="23">IF(I$5=0,0,INDEX((INDIRECT(I$6&amp;"!INDAT")),(MATCH($A47,(INDIRECT(I$6&amp;"!$O$2:$O$15")),0)),13))</f>
        <v>0</v>
      </c>
      <c r="J47" s="275">
        <f t="shared" ca="1" si="22"/>
        <v>0</v>
      </c>
      <c r="K47" s="275">
        <f t="shared" ca="1" si="22"/>
        <v>45</v>
      </c>
      <c r="L47" s="275">
        <f t="shared" ca="1" si="22"/>
        <v>161</v>
      </c>
      <c r="M47" s="275">
        <f t="shared" ca="1" si="22"/>
        <v>136</v>
      </c>
      <c r="N47" s="275">
        <f t="shared" ca="1" si="22"/>
        <v>150</v>
      </c>
      <c r="O47" s="275">
        <f t="shared" ca="1" si="22"/>
        <v>69</v>
      </c>
      <c r="P47" s="275">
        <f t="shared" ca="1" si="22"/>
        <v>95</v>
      </c>
      <c r="Q47" s="275">
        <f t="shared" ca="1" si="22"/>
        <v>60</v>
      </c>
      <c r="R47" s="275">
        <f t="shared" ref="C47:S58" ca="1" si="24">IF(R$5=0,0,INDEX((INDIRECT(R$6&amp;"!INDAT")),(MATCH($A47,(INDIRECT(R$6&amp;"!$O$2:$O$15")),0)),13))</f>
        <v>31</v>
      </c>
      <c r="S47" s="275">
        <f t="shared" ca="1" si="24"/>
        <v>10</v>
      </c>
      <c r="T47" s="275">
        <f t="shared" ref="S47:T58" ca="1" si="25">IF(T$5=0,0,INDEX((INDIRECT(T$6&amp;"!INDAT")),(MATCH($A47,(INDIRECT(T$6&amp;"!$O$2:$O$15")),0)),13))</f>
        <v>16</v>
      </c>
      <c r="U47" s="273">
        <f t="shared" ref="U47:U58" si="26">+A47</f>
        <v>46023</v>
      </c>
      <c r="V47" s="274"/>
    </row>
    <row r="48" spans="1:22" ht="16.5" customHeight="1" thickTop="1" thickBot="1" x14ac:dyDescent="0.3">
      <c r="A48" s="273">
        <f>+DATA!$A$4</f>
        <v>46054</v>
      </c>
      <c r="B48" s="275">
        <f t="shared" ca="1" si="22"/>
        <v>1954</v>
      </c>
      <c r="C48" s="275">
        <f t="shared" ca="1" si="24"/>
        <v>582</v>
      </c>
      <c r="D48" s="275">
        <f t="shared" ca="1" si="24"/>
        <v>1461</v>
      </c>
      <c r="E48" s="275">
        <f t="shared" ca="1" si="24"/>
        <v>1165</v>
      </c>
      <c r="F48" s="275">
        <f t="shared" ca="1" si="24"/>
        <v>1529</v>
      </c>
      <c r="G48" s="275">
        <f t="shared" ca="1" si="24"/>
        <v>257</v>
      </c>
      <c r="H48" s="275">
        <f t="shared" ca="1" si="24"/>
        <v>52</v>
      </c>
      <c r="I48" s="275">
        <f t="shared" ca="1" si="23"/>
        <v>0</v>
      </c>
      <c r="J48" s="275">
        <f t="shared" ca="1" si="24"/>
        <v>0</v>
      </c>
      <c r="K48" s="275">
        <f t="shared" ca="1" si="24"/>
        <v>53</v>
      </c>
      <c r="L48" s="275">
        <f t="shared" ca="1" si="24"/>
        <v>161</v>
      </c>
      <c r="M48" s="275">
        <f t="shared" ca="1" si="24"/>
        <v>136</v>
      </c>
      <c r="N48" s="275">
        <f t="shared" ca="1" si="24"/>
        <v>150</v>
      </c>
      <c r="O48" s="275">
        <f t="shared" ca="1" si="24"/>
        <v>69</v>
      </c>
      <c r="P48" s="275">
        <f t="shared" ca="1" si="24"/>
        <v>95</v>
      </c>
      <c r="Q48" s="275">
        <f t="shared" ca="1" si="24"/>
        <v>48</v>
      </c>
      <c r="R48" s="275">
        <f t="shared" ca="1" si="24"/>
        <v>34</v>
      </c>
      <c r="S48" s="275">
        <f t="shared" ca="1" si="25"/>
        <v>34</v>
      </c>
      <c r="T48" s="275">
        <f t="shared" ca="1" si="25"/>
        <v>13</v>
      </c>
      <c r="U48" s="273">
        <f t="shared" si="26"/>
        <v>46054</v>
      </c>
      <c r="V48" s="274"/>
    </row>
    <row r="49" spans="1:22" ht="16.5" customHeight="1" thickTop="1" thickBot="1" x14ac:dyDescent="0.3">
      <c r="A49" s="273">
        <f>+DATA!$A$5</f>
        <v>46082</v>
      </c>
      <c r="B49" s="275">
        <f t="shared" ca="1" si="22"/>
        <v>1997</v>
      </c>
      <c r="C49" s="275">
        <f t="shared" ca="1" si="24"/>
        <v>598</v>
      </c>
      <c r="D49" s="275">
        <f t="shared" ca="1" si="24"/>
        <v>1503</v>
      </c>
      <c r="E49" s="275">
        <f t="shared" ca="1" si="24"/>
        <v>1208</v>
      </c>
      <c r="F49" s="275">
        <f t="shared" ca="1" si="24"/>
        <v>1572</v>
      </c>
      <c r="G49" s="275">
        <f t="shared" ca="1" si="24"/>
        <v>49</v>
      </c>
      <c r="H49" s="275">
        <f t="shared" ca="1" si="24"/>
        <v>70</v>
      </c>
      <c r="I49" s="275">
        <f t="shared" ca="1" si="23"/>
        <v>13</v>
      </c>
      <c r="J49" s="275">
        <f t="shared" ca="1" si="24"/>
        <v>0</v>
      </c>
      <c r="K49" s="275">
        <f t="shared" ca="1" si="24"/>
        <v>73</v>
      </c>
      <c r="L49" s="275">
        <f t="shared" ca="1" si="24"/>
        <v>191</v>
      </c>
      <c r="M49" s="275">
        <f t="shared" ca="1" si="24"/>
        <v>166</v>
      </c>
      <c r="N49" s="275">
        <f t="shared" ca="1" si="24"/>
        <v>180</v>
      </c>
      <c r="O49" s="275">
        <f t="shared" ca="1" si="24"/>
        <v>99</v>
      </c>
      <c r="P49" s="275">
        <f t="shared" ca="1" si="24"/>
        <v>119</v>
      </c>
      <c r="Q49" s="275">
        <f t="shared" ca="1" si="24"/>
        <v>1</v>
      </c>
      <c r="R49" s="275">
        <f t="shared" ca="1" si="24"/>
        <v>1</v>
      </c>
      <c r="S49" s="275">
        <f t="shared" ca="1" si="25"/>
        <v>0</v>
      </c>
      <c r="T49" s="275">
        <f t="shared" ca="1" si="25"/>
        <v>0</v>
      </c>
      <c r="U49" s="273">
        <f t="shared" si="26"/>
        <v>46082</v>
      </c>
      <c r="V49" s="274"/>
    </row>
    <row r="50" spans="1:22" ht="16.5" customHeight="1" thickTop="1" thickBot="1" x14ac:dyDescent="0.3">
      <c r="A50" s="273">
        <f>+DATA!$A$6</f>
        <v>46113</v>
      </c>
      <c r="B50" s="275">
        <f t="shared" ca="1" si="22"/>
        <v>1954</v>
      </c>
      <c r="C50" s="275">
        <f t="shared" ca="1" si="24"/>
        <v>582</v>
      </c>
      <c r="D50" s="275">
        <f t="shared" ca="1" si="24"/>
        <v>1461</v>
      </c>
      <c r="E50" s="275">
        <f t="shared" ca="1" si="24"/>
        <v>1165</v>
      </c>
      <c r="F50" s="275">
        <f t="shared" ca="1" si="24"/>
        <v>1529</v>
      </c>
      <c r="G50" s="275">
        <f t="shared" ca="1" si="24"/>
        <v>0</v>
      </c>
      <c r="H50" s="275">
        <f t="shared" ca="1" si="24"/>
        <v>79</v>
      </c>
      <c r="I50" s="275">
        <f t="shared" ca="1" si="23"/>
        <v>0</v>
      </c>
      <c r="J50" s="275">
        <f t="shared" ca="1" si="24"/>
        <v>0</v>
      </c>
      <c r="K50" s="275">
        <f t="shared" ca="1" si="24"/>
        <v>55</v>
      </c>
      <c r="L50" s="275">
        <f t="shared" ca="1" si="24"/>
        <v>161</v>
      </c>
      <c r="M50" s="275">
        <f t="shared" ca="1" si="24"/>
        <v>136</v>
      </c>
      <c r="N50" s="275">
        <f t="shared" ca="1" si="24"/>
        <v>150</v>
      </c>
      <c r="O50" s="275">
        <f t="shared" ca="1" si="24"/>
        <v>69</v>
      </c>
      <c r="P50" s="275">
        <f t="shared" ca="1" si="24"/>
        <v>95</v>
      </c>
      <c r="Q50" s="275">
        <f t="shared" ca="1" si="24"/>
        <v>0</v>
      </c>
      <c r="R50" s="275">
        <f t="shared" ca="1" si="24"/>
        <v>0</v>
      </c>
      <c r="S50" s="275">
        <f t="shared" ca="1" si="25"/>
        <v>0</v>
      </c>
      <c r="T50" s="275">
        <f t="shared" ca="1" si="25"/>
        <v>0</v>
      </c>
      <c r="U50" s="273">
        <f t="shared" si="26"/>
        <v>46113</v>
      </c>
      <c r="V50" s="274"/>
    </row>
    <row r="51" spans="1:22" ht="16.5" customHeight="1" thickTop="1" thickBot="1" x14ac:dyDescent="0.3">
      <c r="A51" s="273">
        <f>+DATA!$A$7</f>
        <v>46143</v>
      </c>
      <c r="B51" s="275">
        <f t="shared" ca="1" si="22"/>
        <v>1954</v>
      </c>
      <c r="C51" s="275">
        <f t="shared" ca="1" si="24"/>
        <v>582</v>
      </c>
      <c r="D51" s="275">
        <f t="shared" ca="1" si="24"/>
        <v>1461</v>
      </c>
      <c r="E51" s="275">
        <f t="shared" ca="1" si="24"/>
        <v>1165</v>
      </c>
      <c r="F51" s="275">
        <f t="shared" ca="1" si="24"/>
        <v>1529</v>
      </c>
      <c r="G51" s="275">
        <f t="shared" ca="1" si="24"/>
        <v>0</v>
      </c>
      <c r="H51" s="275">
        <f t="shared" ca="1" si="24"/>
        <v>79</v>
      </c>
      <c r="I51" s="275">
        <f t="shared" ca="1" si="23"/>
        <v>0</v>
      </c>
      <c r="J51" s="275">
        <f t="shared" ca="1" si="24"/>
        <v>0</v>
      </c>
      <c r="K51" s="275">
        <f t="shared" ca="1" si="24"/>
        <v>55</v>
      </c>
      <c r="L51" s="275">
        <f t="shared" ca="1" si="24"/>
        <v>161</v>
      </c>
      <c r="M51" s="275">
        <f t="shared" ca="1" si="24"/>
        <v>136</v>
      </c>
      <c r="N51" s="275">
        <f t="shared" ca="1" si="24"/>
        <v>150</v>
      </c>
      <c r="O51" s="275">
        <f t="shared" ca="1" si="24"/>
        <v>69</v>
      </c>
      <c r="P51" s="275">
        <f t="shared" ca="1" si="24"/>
        <v>95</v>
      </c>
      <c r="Q51" s="275">
        <f t="shared" ca="1" si="24"/>
        <v>0</v>
      </c>
      <c r="R51" s="275">
        <f t="shared" ca="1" si="24"/>
        <v>0</v>
      </c>
      <c r="S51" s="275">
        <f t="shared" ca="1" si="25"/>
        <v>0</v>
      </c>
      <c r="T51" s="275">
        <f t="shared" ca="1" si="25"/>
        <v>0</v>
      </c>
      <c r="U51" s="273">
        <f t="shared" si="26"/>
        <v>46143</v>
      </c>
      <c r="V51" s="274"/>
    </row>
    <row r="52" spans="1:22" ht="16.5" customHeight="1" thickTop="1" thickBot="1" x14ac:dyDescent="0.3">
      <c r="A52" s="273">
        <f>+DATA!$A$8</f>
        <v>46174</v>
      </c>
      <c r="B52" s="275">
        <f t="shared" ca="1" si="22"/>
        <v>2001</v>
      </c>
      <c r="C52" s="275">
        <f t="shared" ca="1" si="24"/>
        <v>600</v>
      </c>
      <c r="D52" s="275">
        <f t="shared" ca="1" si="24"/>
        <v>1508</v>
      </c>
      <c r="E52" s="275">
        <f t="shared" ca="1" si="24"/>
        <v>1213</v>
      </c>
      <c r="F52" s="275">
        <f t="shared" ca="1" si="24"/>
        <v>1577</v>
      </c>
      <c r="G52" s="275">
        <f t="shared" ca="1" si="24"/>
        <v>0</v>
      </c>
      <c r="H52" s="275">
        <f t="shared" ca="1" si="24"/>
        <v>108</v>
      </c>
      <c r="I52" s="275">
        <f t="shared" ca="1" si="23"/>
        <v>16</v>
      </c>
      <c r="J52" s="275">
        <f t="shared" ca="1" si="24"/>
        <v>0</v>
      </c>
      <c r="K52" s="275">
        <f t="shared" ca="1" si="24"/>
        <v>75</v>
      </c>
      <c r="L52" s="275">
        <f t="shared" ca="1" si="24"/>
        <v>195</v>
      </c>
      <c r="M52" s="275">
        <f t="shared" ca="1" si="24"/>
        <v>170</v>
      </c>
      <c r="N52" s="275">
        <f t="shared" ca="1" si="24"/>
        <v>183</v>
      </c>
      <c r="O52" s="275">
        <f t="shared" ca="1" si="24"/>
        <v>102</v>
      </c>
      <c r="P52" s="275">
        <f t="shared" ca="1" si="24"/>
        <v>128</v>
      </c>
      <c r="Q52" s="275">
        <f t="shared" ca="1" si="24"/>
        <v>1</v>
      </c>
      <c r="R52" s="275">
        <f t="shared" ca="1" si="24"/>
        <v>1</v>
      </c>
      <c r="S52" s="275">
        <f t="shared" ca="1" si="25"/>
        <v>0</v>
      </c>
      <c r="T52" s="275">
        <f t="shared" ca="1" si="25"/>
        <v>0</v>
      </c>
      <c r="U52" s="273">
        <f t="shared" si="26"/>
        <v>46174</v>
      </c>
      <c r="V52" s="274"/>
    </row>
    <row r="53" spans="1:22" ht="16.5" customHeight="1" thickTop="1" thickBot="1" x14ac:dyDescent="0.3">
      <c r="A53" s="273">
        <f>+DATA!$A$9</f>
        <v>46204</v>
      </c>
      <c r="B53" s="275">
        <f t="shared" ca="1" si="22"/>
        <v>1954</v>
      </c>
      <c r="C53" s="275">
        <f t="shared" ca="1" si="24"/>
        <v>582</v>
      </c>
      <c r="D53" s="275">
        <f t="shared" ca="1" si="24"/>
        <v>1461</v>
      </c>
      <c r="E53" s="275">
        <f t="shared" ca="1" si="24"/>
        <v>1165</v>
      </c>
      <c r="F53" s="275">
        <f t="shared" ca="1" si="24"/>
        <v>1529</v>
      </c>
      <c r="G53" s="275">
        <f t="shared" ca="1" si="24"/>
        <v>0</v>
      </c>
      <c r="H53" s="275">
        <f t="shared" ca="1" si="24"/>
        <v>79</v>
      </c>
      <c r="I53" s="275">
        <f t="shared" ca="1" si="23"/>
        <v>0</v>
      </c>
      <c r="J53" s="275">
        <f t="shared" ca="1" si="24"/>
        <v>0</v>
      </c>
      <c r="K53" s="275">
        <f t="shared" ca="1" si="24"/>
        <v>55</v>
      </c>
      <c r="L53" s="275">
        <f t="shared" ca="1" si="24"/>
        <v>161</v>
      </c>
      <c r="M53" s="275">
        <f t="shared" ca="1" si="24"/>
        <v>136</v>
      </c>
      <c r="N53" s="275">
        <f t="shared" ca="1" si="24"/>
        <v>150</v>
      </c>
      <c r="O53" s="275">
        <f t="shared" ca="1" si="24"/>
        <v>69</v>
      </c>
      <c r="P53" s="275">
        <f t="shared" ca="1" si="24"/>
        <v>95</v>
      </c>
      <c r="Q53" s="275">
        <f t="shared" ca="1" si="24"/>
        <v>0</v>
      </c>
      <c r="R53" s="275">
        <f t="shared" ca="1" si="24"/>
        <v>0</v>
      </c>
      <c r="S53" s="275">
        <f t="shared" ca="1" si="25"/>
        <v>0</v>
      </c>
      <c r="T53" s="275">
        <f t="shared" ca="1" si="25"/>
        <v>0</v>
      </c>
      <c r="U53" s="273">
        <f t="shared" si="26"/>
        <v>46204</v>
      </c>
      <c r="V53" s="274"/>
    </row>
    <row r="54" spans="1:22" ht="16.5" customHeight="1" thickTop="1" thickBot="1" x14ac:dyDescent="0.3">
      <c r="A54" s="273">
        <f>+DATA!$A$10</f>
        <v>46235</v>
      </c>
      <c r="B54" s="275">
        <f t="shared" ca="1" si="22"/>
        <v>1954</v>
      </c>
      <c r="C54" s="275">
        <f t="shared" ca="1" si="24"/>
        <v>582</v>
      </c>
      <c r="D54" s="275">
        <f t="shared" ca="1" si="24"/>
        <v>1461</v>
      </c>
      <c r="E54" s="275">
        <f t="shared" ca="1" si="24"/>
        <v>1165</v>
      </c>
      <c r="F54" s="275">
        <f t="shared" ca="1" si="24"/>
        <v>1529</v>
      </c>
      <c r="G54" s="275">
        <f t="shared" ca="1" si="24"/>
        <v>0</v>
      </c>
      <c r="H54" s="275">
        <f t="shared" ca="1" si="24"/>
        <v>79</v>
      </c>
      <c r="I54" s="275">
        <f t="shared" ca="1" si="23"/>
        <v>0</v>
      </c>
      <c r="J54" s="275">
        <f t="shared" ca="1" si="24"/>
        <v>0</v>
      </c>
      <c r="K54" s="275">
        <f t="shared" ca="1" si="24"/>
        <v>55</v>
      </c>
      <c r="L54" s="275">
        <f t="shared" ca="1" si="24"/>
        <v>161</v>
      </c>
      <c r="M54" s="275">
        <f t="shared" ca="1" si="24"/>
        <v>136</v>
      </c>
      <c r="N54" s="275">
        <f t="shared" ca="1" si="24"/>
        <v>150</v>
      </c>
      <c r="O54" s="275">
        <f t="shared" ca="1" si="24"/>
        <v>69</v>
      </c>
      <c r="P54" s="275">
        <f t="shared" ca="1" si="24"/>
        <v>95</v>
      </c>
      <c r="Q54" s="275">
        <f t="shared" ca="1" si="24"/>
        <v>0</v>
      </c>
      <c r="R54" s="275">
        <f t="shared" ca="1" si="24"/>
        <v>0</v>
      </c>
      <c r="S54" s="275">
        <f t="shared" ca="1" si="25"/>
        <v>0</v>
      </c>
      <c r="T54" s="275">
        <f t="shared" ca="1" si="25"/>
        <v>0</v>
      </c>
      <c r="U54" s="273">
        <f t="shared" si="26"/>
        <v>46235</v>
      </c>
      <c r="V54" s="274"/>
    </row>
    <row r="55" spans="1:22" ht="16.5" customHeight="1" thickTop="1" thickBot="1" x14ac:dyDescent="0.3">
      <c r="A55" s="273">
        <f>+DATA!$A$11</f>
        <v>46266</v>
      </c>
      <c r="B55" s="275">
        <f t="shared" ca="1" si="22"/>
        <v>1997</v>
      </c>
      <c r="C55" s="275">
        <f t="shared" ca="1" si="24"/>
        <v>598</v>
      </c>
      <c r="D55" s="275">
        <f t="shared" ca="1" si="24"/>
        <v>1503</v>
      </c>
      <c r="E55" s="275">
        <f t="shared" ca="1" si="24"/>
        <v>1208</v>
      </c>
      <c r="F55" s="275">
        <f t="shared" ca="1" si="24"/>
        <v>1572</v>
      </c>
      <c r="G55" s="275">
        <f t="shared" ca="1" si="24"/>
        <v>0</v>
      </c>
      <c r="H55" s="275">
        <f t="shared" ca="1" si="24"/>
        <v>104</v>
      </c>
      <c r="I55" s="275">
        <f t="shared" ca="1" si="23"/>
        <v>13</v>
      </c>
      <c r="J55" s="275">
        <f t="shared" ca="1" si="24"/>
        <v>0</v>
      </c>
      <c r="K55" s="275">
        <f t="shared" ca="1" si="24"/>
        <v>73</v>
      </c>
      <c r="L55" s="275">
        <f t="shared" ca="1" si="24"/>
        <v>191</v>
      </c>
      <c r="M55" s="275">
        <f t="shared" ca="1" si="24"/>
        <v>166</v>
      </c>
      <c r="N55" s="275">
        <f t="shared" ca="1" si="24"/>
        <v>180</v>
      </c>
      <c r="O55" s="275">
        <f t="shared" ca="1" si="24"/>
        <v>99</v>
      </c>
      <c r="P55" s="275">
        <f t="shared" ca="1" si="24"/>
        <v>125</v>
      </c>
      <c r="Q55" s="275">
        <f t="shared" ca="1" si="24"/>
        <v>0</v>
      </c>
      <c r="R55" s="275">
        <f t="shared" ca="1" si="24"/>
        <v>0</v>
      </c>
      <c r="S55" s="275">
        <f t="shared" ca="1" si="25"/>
        <v>0</v>
      </c>
      <c r="T55" s="275">
        <f t="shared" ca="1" si="25"/>
        <v>0</v>
      </c>
      <c r="U55" s="273">
        <f t="shared" si="26"/>
        <v>46266</v>
      </c>
      <c r="V55" s="274"/>
    </row>
    <row r="56" spans="1:22" ht="16.5" customHeight="1" thickTop="1" thickBot="1" x14ac:dyDescent="0.3">
      <c r="A56" s="273">
        <f>+DATA!$A$12</f>
        <v>46296</v>
      </c>
      <c r="B56" s="275">
        <f t="shared" ca="1" si="22"/>
        <v>1954</v>
      </c>
      <c r="C56" s="275">
        <f t="shared" ca="1" si="24"/>
        <v>582</v>
      </c>
      <c r="D56" s="275">
        <f t="shared" ca="1" si="24"/>
        <v>1461</v>
      </c>
      <c r="E56" s="275">
        <f t="shared" ca="1" si="24"/>
        <v>1165</v>
      </c>
      <c r="F56" s="275">
        <f t="shared" ca="1" si="24"/>
        <v>1529</v>
      </c>
      <c r="G56" s="275">
        <f t="shared" ca="1" si="24"/>
        <v>0</v>
      </c>
      <c r="H56" s="275">
        <f t="shared" ca="1" si="24"/>
        <v>79</v>
      </c>
      <c r="I56" s="275">
        <f t="shared" ca="1" si="23"/>
        <v>0</v>
      </c>
      <c r="J56" s="275">
        <f t="shared" ca="1" si="24"/>
        <v>0</v>
      </c>
      <c r="K56" s="275">
        <f t="shared" ca="1" si="24"/>
        <v>55</v>
      </c>
      <c r="L56" s="275">
        <f t="shared" ca="1" si="24"/>
        <v>161</v>
      </c>
      <c r="M56" s="275">
        <f t="shared" ca="1" si="24"/>
        <v>136</v>
      </c>
      <c r="N56" s="275">
        <f t="shared" ca="1" si="24"/>
        <v>150</v>
      </c>
      <c r="O56" s="275">
        <f t="shared" ca="1" si="24"/>
        <v>69</v>
      </c>
      <c r="P56" s="275">
        <f t="shared" ca="1" si="24"/>
        <v>95</v>
      </c>
      <c r="Q56" s="275">
        <f t="shared" ca="1" si="24"/>
        <v>0</v>
      </c>
      <c r="R56" s="275">
        <f t="shared" ca="1" si="24"/>
        <v>0</v>
      </c>
      <c r="S56" s="275">
        <f t="shared" ca="1" si="25"/>
        <v>0</v>
      </c>
      <c r="T56" s="275">
        <f t="shared" ca="1" si="25"/>
        <v>0</v>
      </c>
      <c r="U56" s="273">
        <f t="shared" si="26"/>
        <v>46296</v>
      </c>
      <c r="V56" s="274"/>
    </row>
    <row r="57" spans="1:22" ht="16.5" customHeight="1" thickTop="1" thickBot="1" x14ac:dyDescent="0.3">
      <c r="A57" s="273">
        <f>+DATA!$A$13</f>
        <v>46327</v>
      </c>
      <c r="B57" s="275">
        <f t="shared" ca="1" si="22"/>
        <v>1954</v>
      </c>
      <c r="C57" s="275">
        <f t="shared" ca="1" si="24"/>
        <v>582</v>
      </c>
      <c r="D57" s="275">
        <f t="shared" ca="1" si="24"/>
        <v>1461</v>
      </c>
      <c r="E57" s="275">
        <f t="shared" ca="1" si="24"/>
        <v>1165</v>
      </c>
      <c r="F57" s="275">
        <f t="shared" ca="1" si="24"/>
        <v>1529</v>
      </c>
      <c r="G57" s="275">
        <f t="shared" ca="1" si="24"/>
        <v>0</v>
      </c>
      <c r="H57" s="275">
        <f t="shared" ca="1" si="24"/>
        <v>79</v>
      </c>
      <c r="I57" s="275">
        <f t="shared" ca="1" si="23"/>
        <v>0</v>
      </c>
      <c r="J57" s="275">
        <f t="shared" ca="1" si="24"/>
        <v>0</v>
      </c>
      <c r="K57" s="275">
        <f t="shared" ca="1" si="24"/>
        <v>55</v>
      </c>
      <c r="L57" s="275">
        <f t="shared" ca="1" si="24"/>
        <v>161</v>
      </c>
      <c r="M57" s="275">
        <f t="shared" ca="1" si="24"/>
        <v>136</v>
      </c>
      <c r="N57" s="275">
        <f t="shared" ca="1" si="24"/>
        <v>150</v>
      </c>
      <c r="O57" s="275">
        <f t="shared" ca="1" si="24"/>
        <v>69</v>
      </c>
      <c r="P57" s="275">
        <f t="shared" ca="1" si="24"/>
        <v>95</v>
      </c>
      <c r="Q57" s="275">
        <f t="shared" ca="1" si="24"/>
        <v>0</v>
      </c>
      <c r="R57" s="275">
        <f t="shared" ca="1" si="24"/>
        <v>0</v>
      </c>
      <c r="S57" s="275">
        <f t="shared" ca="1" si="25"/>
        <v>0</v>
      </c>
      <c r="T57" s="275">
        <f t="shared" ca="1" si="25"/>
        <v>0</v>
      </c>
      <c r="U57" s="273">
        <f t="shared" si="26"/>
        <v>46327</v>
      </c>
      <c r="V57" s="274"/>
    </row>
    <row r="58" spans="1:22" ht="16.5" customHeight="1" thickTop="1" thickBot="1" x14ac:dyDescent="0.3">
      <c r="A58" s="273">
        <f>+DATA!$A$14</f>
        <v>46357</v>
      </c>
      <c r="B58" s="275">
        <f t="shared" ca="1" si="22"/>
        <v>2001</v>
      </c>
      <c r="C58" s="275">
        <f t="shared" ca="1" si="24"/>
        <v>600</v>
      </c>
      <c r="D58" s="275">
        <f t="shared" ca="1" si="24"/>
        <v>1508</v>
      </c>
      <c r="E58" s="275">
        <f t="shared" ca="1" si="24"/>
        <v>1213</v>
      </c>
      <c r="F58" s="275">
        <f t="shared" ca="1" si="24"/>
        <v>1577</v>
      </c>
      <c r="G58" s="275">
        <f t="shared" ca="1" si="24"/>
        <v>0</v>
      </c>
      <c r="H58" s="275">
        <f t="shared" ca="1" si="24"/>
        <v>108</v>
      </c>
      <c r="I58" s="275">
        <f t="shared" ca="1" si="23"/>
        <v>16</v>
      </c>
      <c r="J58" s="275">
        <f t="shared" ca="1" si="24"/>
        <v>0</v>
      </c>
      <c r="K58" s="275">
        <f t="shared" ca="1" si="24"/>
        <v>75</v>
      </c>
      <c r="L58" s="275">
        <f t="shared" ca="1" si="24"/>
        <v>195</v>
      </c>
      <c r="M58" s="275">
        <f t="shared" ca="1" si="24"/>
        <v>170</v>
      </c>
      <c r="N58" s="275">
        <f t="shared" ca="1" si="24"/>
        <v>183</v>
      </c>
      <c r="O58" s="275">
        <f t="shared" ca="1" si="24"/>
        <v>102</v>
      </c>
      <c r="P58" s="275">
        <f t="shared" ca="1" si="24"/>
        <v>128</v>
      </c>
      <c r="Q58" s="275">
        <f t="shared" ca="1" si="24"/>
        <v>0</v>
      </c>
      <c r="R58" s="275">
        <f t="shared" ca="1" si="24"/>
        <v>0</v>
      </c>
      <c r="S58" s="275">
        <f t="shared" ca="1" si="25"/>
        <v>0</v>
      </c>
      <c r="T58" s="275">
        <f t="shared" ca="1" si="25"/>
        <v>0</v>
      </c>
      <c r="U58" s="766">
        <f t="shared" si="26"/>
        <v>46357</v>
      </c>
      <c r="V58" s="767"/>
    </row>
    <row r="59" spans="1:22" ht="15.75" customHeight="1" thickBot="1" x14ac:dyDescent="0.3">
      <c r="A59" s="50"/>
      <c r="B59" s="762">
        <f ca="1">SUM(B47:B58)</f>
        <v>23628</v>
      </c>
      <c r="C59" s="762">
        <f t="shared" ref="C59:R59" ca="1" si="27">SUM(C47:C58)</f>
        <v>7052</v>
      </c>
      <c r="D59" s="762">
        <f t="shared" ca="1" si="27"/>
        <v>17710</v>
      </c>
      <c r="E59" s="762">
        <f t="shared" ca="1" si="27"/>
        <v>14162</v>
      </c>
      <c r="F59" s="762">
        <f t="shared" ca="1" si="27"/>
        <v>18530</v>
      </c>
      <c r="G59" s="762">
        <f t="shared" ca="1" si="27"/>
        <v>563</v>
      </c>
      <c r="H59" s="762">
        <f t="shared" ca="1" si="27"/>
        <v>968</v>
      </c>
      <c r="I59" s="762">
        <f t="shared" ca="1" si="27"/>
        <v>58</v>
      </c>
      <c r="J59" s="762">
        <f t="shared" ca="1" si="27"/>
        <v>0</v>
      </c>
      <c r="K59" s="762">
        <f t="shared" ca="1" si="27"/>
        <v>724</v>
      </c>
      <c r="L59" s="762">
        <f t="shared" ca="1" si="27"/>
        <v>2060</v>
      </c>
      <c r="M59" s="762">
        <f t="shared" ca="1" si="27"/>
        <v>1760</v>
      </c>
      <c r="N59" s="762">
        <f t="shared" ca="1" si="27"/>
        <v>1926</v>
      </c>
      <c r="O59" s="762">
        <f t="shared" ca="1" si="27"/>
        <v>954</v>
      </c>
      <c r="P59" s="762">
        <f t="shared" ca="1" si="27"/>
        <v>1260</v>
      </c>
      <c r="Q59" s="762">
        <f t="shared" ca="1" si="27"/>
        <v>110</v>
      </c>
      <c r="R59" s="762">
        <f t="shared" ca="1" si="27"/>
        <v>67</v>
      </c>
      <c r="S59" s="762">
        <f t="shared" ref="S59" ca="1" si="28">SUM(S47:S58)</f>
        <v>44</v>
      </c>
      <c r="T59" s="762">
        <f t="shared" ref="T59" ca="1" si="29">SUM(T47:T58)</f>
        <v>29</v>
      </c>
      <c r="U59" s="339"/>
      <c r="V59" s="49"/>
    </row>
    <row r="60" spans="1:22" ht="16.5" customHeight="1" thickTop="1" thickBot="1" x14ac:dyDescent="0.3">
      <c r="A60" s="50" t="s">
        <v>266</v>
      </c>
      <c r="B60" s="757">
        <f ca="1">B59</f>
        <v>23628</v>
      </c>
      <c r="C60" s="757">
        <f t="shared" ref="C60:R60" ca="1" si="30">C59</f>
        <v>7052</v>
      </c>
      <c r="D60" s="757">
        <f t="shared" ca="1" si="30"/>
        <v>17710</v>
      </c>
      <c r="E60" s="757">
        <f t="shared" ca="1" si="30"/>
        <v>14162</v>
      </c>
      <c r="F60" s="757">
        <f t="shared" ca="1" si="30"/>
        <v>18530</v>
      </c>
      <c r="G60" s="757">
        <f t="shared" ca="1" si="30"/>
        <v>563</v>
      </c>
      <c r="H60" s="757">
        <f t="shared" ca="1" si="30"/>
        <v>968</v>
      </c>
      <c r="I60" s="757">
        <f t="shared" ca="1" si="30"/>
        <v>58</v>
      </c>
      <c r="J60" s="757">
        <f t="shared" ca="1" si="30"/>
        <v>0</v>
      </c>
      <c r="K60" s="757">
        <f t="shared" ca="1" si="30"/>
        <v>724</v>
      </c>
      <c r="L60" s="757">
        <f t="shared" ca="1" si="30"/>
        <v>2060</v>
      </c>
      <c r="M60" s="757">
        <f t="shared" ca="1" si="30"/>
        <v>1760</v>
      </c>
      <c r="N60" s="757">
        <f t="shared" ca="1" si="30"/>
        <v>1926</v>
      </c>
      <c r="O60" s="757">
        <f t="shared" ca="1" si="30"/>
        <v>954</v>
      </c>
      <c r="P60" s="757">
        <f t="shared" ca="1" si="30"/>
        <v>1260</v>
      </c>
      <c r="Q60" s="757">
        <f t="shared" ca="1" si="30"/>
        <v>110</v>
      </c>
      <c r="R60" s="757">
        <f t="shared" ca="1" si="30"/>
        <v>67</v>
      </c>
      <c r="S60" s="757">
        <f t="shared" ref="S60" ca="1" si="31">S59</f>
        <v>44</v>
      </c>
      <c r="T60" s="757">
        <f t="shared" ref="T60" ca="1" si="32">T59</f>
        <v>29</v>
      </c>
      <c r="U60" s="273"/>
      <c r="V60" s="274">
        <f>SUM(V47:V58)</f>
        <v>0</v>
      </c>
    </row>
    <row r="61" spans="1:22" ht="15.75" customHeight="1" thickBot="1" x14ac:dyDescent="0.3">
      <c r="A61" s="51"/>
      <c r="B61" s="24"/>
      <c r="C61" s="24"/>
      <c r="D61" s="24"/>
      <c r="E61" s="24"/>
      <c r="F61" s="24"/>
      <c r="G61" s="24"/>
      <c r="H61" s="24"/>
      <c r="I61" s="24"/>
      <c r="J61" s="24"/>
      <c r="K61" s="24"/>
      <c r="L61" s="24"/>
      <c r="M61" s="24"/>
      <c r="N61" s="24"/>
      <c r="O61" s="24"/>
      <c r="P61" s="24"/>
      <c r="Q61" s="24"/>
      <c r="R61" s="24"/>
      <c r="S61" s="24"/>
      <c r="T61" s="24"/>
      <c r="U61" s="51"/>
      <c r="V61" s="52"/>
    </row>
    <row r="62" spans="1:22" ht="15.75" customHeight="1" thickBot="1" x14ac:dyDescent="0.3"/>
    <row r="63" spans="1:22" ht="15.75" customHeight="1" thickBot="1" x14ac:dyDescent="0.3">
      <c r="A63" s="271" t="s">
        <v>269</v>
      </c>
      <c r="B63" s="760"/>
      <c r="C63" s="760"/>
      <c r="D63" s="760"/>
      <c r="E63" s="760"/>
      <c r="F63" s="760"/>
      <c r="G63" s="760"/>
      <c r="H63" s="760"/>
      <c r="I63" s="760"/>
      <c r="J63" s="760"/>
      <c r="K63" s="760"/>
      <c r="L63" s="760"/>
      <c r="M63" s="760"/>
      <c r="N63" s="760"/>
      <c r="O63" s="760"/>
      <c r="P63" s="760"/>
      <c r="Q63" s="760"/>
      <c r="R63" s="760"/>
      <c r="S63" s="760"/>
      <c r="T63" s="760"/>
      <c r="U63" s="761"/>
      <c r="V63" s="268"/>
    </row>
    <row r="64" spans="1:22" ht="24.75" customHeight="1" thickTop="1" thickBot="1" x14ac:dyDescent="0.4">
      <c r="A64" s="278">
        <f>DATA!$A$2</f>
        <v>46023</v>
      </c>
      <c r="B64" s="778"/>
      <c r="C64" s="778"/>
      <c r="D64" s="778"/>
      <c r="E64" s="778"/>
      <c r="F64" s="778"/>
      <c r="G64" s="778"/>
      <c r="H64" s="778"/>
      <c r="I64" s="778"/>
      <c r="J64" s="778"/>
      <c r="K64" s="778"/>
      <c r="L64" s="778"/>
      <c r="M64" s="778"/>
      <c r="N64" s="778"/>
      <c r="O64" s="778"/>
      <c r="P64" s="778"/>
      <c r="Q64" s="778"/>
      <c r="R64" s="778"/>
      <c r="S64" s="778"/>
      <c r="T64" s="778"/>
      <c r="U64" s="759"/>
      <c r="V64" s="269"/>
    </row>
    <row r="65" spans="1:22" ht="15.75" customHeight="1" thickBot="1" x14ac:dyDescent="0.3">
      <c r="A65" s="25" t="s">
        <v>262</v>
      </c>
      <c r="B65" s="777">
        <f>+B45</f>
        <v>2018001</v>
      </c>
      <c r="C65" s="777">
        <f t="shared" ref="C65:R65" si="33">+C45</f>
        <v>2018002</v>
      </c>
      <c r="D65" s="777">
        <f t="shared" si="33"/>
        <v>2024006</v>
      </c>
      <c r="E65" s="777">
        <f t="shared" si="33"/>
        <v>2025008</v>
      </c>
      <c r="F65" s="777">
        <f t="shared" si="33"/>
        <v>2025009</v>
      </c>
      <c r="G65" s="777">
        <f t="shared" si="33"/>
        <v>2020005</v>
      </c>
      <c r="H65" s="777">
        <f t="shared" si="33"/>
        <v>2018004</v>
      </c>
      <c r="I65" s="777">
        <f t="shared" si="33"/>
        <v>2021009</v>
      </c>
      <c r="J65" s="777">
        <f t="shared" si="33"/>
        <v>2023005</v>
      </c>
      <c r="K65" s="777">
        <f t="shared" si="33"/>
        <v>2023006</v>
      </c>
      <c r="L65" s="777">
        <f t="shared" si="33"/>
        <v>2023007</v>
      </c>
      <c r="M65" s="777">
        <f t="shared" si="33"/>
        <v>2023008</v>
      </c>
      <c r="N65" s="777">
        <f t="shared" si="33"/>
        <v>2025001</v>
      </c>
      <c r="O65" s="777">
        <f t="shared" si="33"/>
        <v>2025003</v>
      </c>
      <c r="P65" s="777">
        <f t="shared" si="33"/>
        <v>2025005</v>
      </c>
      <c r="Q65" s="777">
        <f t="shared" si="33"/>
        <v>2024002</v>
      </c>
      <c r="R65" s="777">
        <f t="shared" si="33"/>
        <v>2025006</v>
      </c>
      <c r="S65" s="777">
        <f t="shared" ref="S65:T65" si="34">+S45</f>
        <v>2025007</v>
      </c>
      <c r="T65" s="777">
        <f t="shared" si="34"/>
        <v>2025011</v>
      </c>
      <c r="U65" s="764" t="str">
        <f>+A63</f>
        <v>Soc Security TOT</v>
      </c>
      <c r="V65" s="765"/>
    </row>
    <row r="66" spans="1:22" ht="15.75" customHeight="1" thickBot="1" x14ac:dyDescent="0.3">
      <c r="A66" s="25" t="s">
        <v>263</v>
      </c>
      <c r="B66" s="270" t="str">
        <f>IF(B$5=0,0,INDEX([1]!empdata,MATCH(B$5,[1]!empid,0),16))</f>
        <v>RGaldes</v>
      </c>
      <c r="C66" s="270" t="str">
        <f>IF(C$5=0,0,INDEX([1]!empdata,MATCH(C$5,[1]!empid,0),16))</f>
        <v>LCarini</v>
      </c>
      <c r="D66" s="270" t="str">
        <f>IF(D$5=0,0,INDEX([1]!empdata,MATCH(D$5,[1]!empid,0),16))</f>
        <v>KMizzi</v>
      </c>
      <c r="E66" s="270" t="str">
        <f>IF(E$5=0,0,INDEX([1]!empdata,MATCH(E$5,[1]!empid,0),16))</f>
        <v>RCamilleri</v>
      </c>
      <c r="F66" s="270" t="str">
        <f>IF(F$5=0,0,INDEX([1]!empdata,MATCH(F$5,[1]!empid,0),16))</f>
        <v>DMifsud_Ceci</v>
      </c>
      <c r="G66" s="270" t="str">
        <f>IF(G$5=0,0,INDEX([1]!empdata,MATCH(G$5,[1]!empid,0),16))</f>
        <v>MCamilleri</v>
      </c>
      <c r="H66" s="270" t="str">
        <f>IF(H$5=0,0,INDEX([1]!empdata,MATCH(H$5,[1]!empid,0),16))</f>
        <v>LBonnici</v>
      </c>
      <c r="I66" s="270" t="str">
        <f>IF(I$5=0,0,INDEX([1]!empdata,MATCH(I$5,[1]!empid,0),16))</f>
        <v>RAttard</v>
      </c>
      <c r="J66" s="270" t="str">
        <f>IF(J$5=0,0,INDEX([1]!empdata,MATCH(J$5,[1]!empid,0),16))</f>
        <v>RSreejith</v>
      </c>
      <c r="K66" s="270" t="str">
        <f>IF(K$5=0,0,INDEX([1]!empdata,MATCH(K$5,[1]!empid,0),16))</f>
        <v>RMallan_Albani</v>
      </c>
      <c r="L66" s="270" t="str">
        <f>IF(L$5=0,0,INDEX([1]!empdata,MATCH(L$5,[1]!empid,0),16))</f>
        <v>AHaneena</v>
      </c>
      <c r="M66" s="270" t="str">
        <f>IF(M$5=0,0,INDEX([1]!empdata,MATCH(M$5,[1]!empid,0),16))</f>
        <v>ELama</v>
      </c>
      <c r="N66" s="270" t="str">
        <f>IF(N$5=0,0,INDEX([1]!empdata,MATCH(N$5,[1]!empid,0),16))</f>
        <v>MAcero_Garzon</v>
      </c>
      <c r="O66" s="270" t="str">
        <f>IF(O$5=0,0,INDEX([1]!empdata,MATCH(O$5,[1]!empid,0),16))</f>
        <v>RAcharya</v>
      </c>
      <c r="P66" s="270" t="str">
        <f>IF(P$5=0,0,INDEX([1]!empdata,MATCH(P$5,[1]!empid,0),16))</f>
        <v>AKunnamkudath</v>
      </c>
      <c r="Q66" s="270" t="str">
        <f>IF(Q$5=0,0,INDEX([1]!empdata,MATCH(Q$5,[1]!empid,0),16))</f>
        <v>MEllul</v>
      </c>
      <c r="R66" s="270" t="str">
        <f>IF(R$5=0,0,INDEX([1]!empdata,MATCH(R$5,[1]!empid,0),16))</f>
        <v>ECurmi</v>
      </c>
      <c r="S66" s="270" t="str">
        <f>IF(S$5=0,0,INDEX([1]!empdata,MATCH(S$5,[1]!empid,0),16))</f>
        <v>AFalzon</v>
      </c>
      <c r="T66" s="270" t="str">
        <f>IF(T$5=0,0,INDEX([1]!empdata,MATCH(T$5,[1]!empid,0),16))</f>
        <v>ZMifsud</v>
      </c>
      <c r="U66" s="763" t="str">
        <f>+U65</f>
        <v>Soc Security TOT</v>
      </c>
      <c r="V66" s="272" t="s">
        <v>264</v>
      </c>
    </row>
    <row r="67" spans="1:22" ht="16.5" customHeight="1" thickTop="1" thickBot="1" x14ac:dyDescent="0.3">
      <c r="A67" s="273">
        <f>+DATA!$A$3</f>
        <v>46023</v>
      </c>
      <c r="B67" s="275">
        <f t="shared" ref="B67:Q78" ca="1" si="35">IF(B$5=0,0,INDEX((INDIRECT(B$6&amp;"!INDAT")),(MATCH($A67,(INDIRECT(B$6&amp;"!$O$2:$O$15")),0)),22))</f>
        <v>447.44</v>
      </c>
      <c r="C67" s="275">
        <f t="shared" ca="1" si="35"/>
        <v>447.44</v>
      </c>
      <c r="D67" s="275">
        <f t="shared" ca="1" si="35"/>
        <v>447.44</v>
      </c>
      <c r="E67" s="275">
        <f t="shared" ca="1" si="35"/>
        <v>447.44</v>
      </c>
      <c r="F67" s="275">
        <f t="shared" ca="1" si="35"/>
        <v>447.44</v>
      </c>
      <c r="G67" s="275">
        <f t="shared" ca="1" si="35"/>
        <v>338.6</v>
      </c>
      <c r="H67" s="275">
        <f t="shared" ca="1" si="35"/>
        <v>293.8</v>
      </c>
      <c r="I67" s="275">
        <f t="shared" ref="I67:I78" ca="1" si="36">IF(I$5=0,0,INDEX((INDIRECT(I$6&amp;"!INDAT")),(MATCH($A67,(INDIRECT(I$6&amp;"!$O$2:$O$15")),0)),22))</f>
        <v>279.39999999999998</v>
      </c>
      <c r="J67" s="275">
        <f t="shared" ca="1" si="35"/>
        <v>232.36</v>
      </c>
      <c r="K67" s="275">
        <f t="shared" ca="1" si="35"/>
        <v>279.39999999999998</v>
      </c>
      <c r="L67" s="275">
        <f t="shared" ca="1" si="35"/>
        <v>328.36</v>
      </c>
      <c r="M67" s="275">
        <f t="shared" ca="1" si="35"/>
        <v>328.36</v>
      </c>
      <c r="N67" s="275">
        <f t="shared" ca="1" si="35"/>
        <v>320.04000000000002</v>
      </c>
      <c r="O67" s="275">
        <f t="shared" ca="1" si="35"/>
        <v>260.2</v>
      </c>
      <c r="P67" s="275">
        <f t="shared" ca="1" si="35"/>
        <v>279.39999999999998</v>
      </c>
      <c r="Q67" s="275">
        <f t="shared" ca="1" si="35"/>
        <v>0</v>
      </c>
      <c r="R67" s="275">
        <f t="shared" ref="C67:S78" ca="1" si="37">IF(R$5=0,0,INDEX((INDIRECT(R$6&amp;"!INDAT")),(MATCH($A67,(INDIRECT(R$6&amp;"!$O$2:$O$15")),0)),22))</f>
        <v>0</v>
      </c>
      <c r="S67" s="275">
        <f t="shared" ca="1" si="37"/>
        <v>0</v>
      </c>
      <c r="T67" s="275">
        <f t="shared" ref="S67:T78" ca="1" si="38">IF(T$5=0,0,INDEX((INDIRECT(T$6&amp;"!INDAT")),(MATCH($A67,(INDIRECT(T$6&amp;"!$O$2:$O$15")),0)),22))</f>
        <v>0</v>
      </c>
      <c r="U67" s="273">
        <f t="shared" ref="U67:U78" si="39">+A67</f>
        <v>46023</v>
      </c>
      <c r="V67" s="274"/>
    </row>
    <row r="68" spans="1:22" ht="16.5" customHeight="1" thickTop="1" thickBot="1" x14ac:dyDescent="0.3">
      <c r="A68" s="273">
        <f>+DATA!$A$4</f>
        <v>46054</v>
      </c>
      <c r="B68" s="275">
        <f t="shared" ca="1" si="35"/>
        <v>447.44</v>
      </c>
      <c r="C68" s="275">
        <f t="shared" ca="1" si="37"/>
        <v>447.44</v>
      </c>
      <c r="D68" s="275">
        <f t="shared" ca="1" si="37"/>
        <v>447.44</v>
      </c>
      <c r="E68" s="275">
        <f t="shared" ca="1" si="37"/>
        <v>447.44</v>
      </c>
      <c r="F68" s="275">
        <f t="shared" ca="1" si="37"/>
        <v>447.44</v>
      </c>
      <c r="G68" s="275">
        <f t="shared" ca="1" si="37"/>
        <v>338.6</v>
      </c>
      <c r="H68" s="275">
        <f t="shared" ca="1" si="37"/>
        <v>293.8</v>
      </c>
      <c r="I68" s="275">
        <f t="shared" ca="1" si="36"/>
        <v>279.39999999999998</v>
      </c>
      <c r="J68" s="275">
        <f t="shared" ca="1" si="37"/>
        <v>232.36</v>
      </c>
      <c r="K68" s="275">
        <f t="shared" ca="1" si="37"/>
        <v>279.39999999999998</v>
      </c>
      <c r="L68" s="275">
        <f t="shared" ca="1" si="37"/>
        <v>328.36</v>
      </c>
      <c r="M68" s="275">
        <f t="shared" ca="1" si="37"/>
        <v>328.36</v>
      </c>
      <c r="N68" s="275">
        <f t="shared" ca="1" si="37"/>
        <v>320.04000000000002</v>
      </c>
      <c r="O68" s="275">
        <f t="shared" ca="1" si="37"/>
        <v>260.2</v>
      </c>
      <c r="P68" s="275">
        <f t="shared" ca="1" si="37"/>
        <v>279.39999999999998</v>
      </c>
      <c r="Q68" s="275">
        <f t="shared" ca="1" si="37"/>
        <v>0</v>
      </c>
      <c r="R68" s="275">
        <f t="shared" ca="1" si="37"/>
        <v>0</v>
      </c>
      <c r="S68" s="275">
        <f t="shared" ca="1" si="38"/>
        <v>0</v>
      </c>
      <c r="T68" s="275">
        <f t="shared" ca="1" si="38"/>
        <v>0</v>
      </c>
      <c r="U68" s="273">
        <f t="shared" si="39"/>
        <v>46054</v>
      </c>
      <c r="V68" s="274"/>
    </row>
    <row r="69" spans="1:22" ht="16.5" customHeight="1" thickTop="1" thickBot="1" x14ac:dyDescent="0.3">
      <c r="A69" s="273">
        <f>+DATA!$A$5</f>
        <v>46082</v>
      </c>
      <c r="B69" s="275">
        <f t="shared" ca="1" si="35"/>
        <v>559.29999999999995</v>
      </c>
      <c r="C69" s="275">
        <f t="shared" ca="1" si="37"/>
        <v>559.29999999999995</v>
      </c>
      <c r="D69" s="275">
        <f t="shared" ca="1" si="37"/>
        <v>559.29999999999995</v>
      </c>
      <c r="E69" s="275">
        <f t="shared" ca="1" si="37"/>
        <v>559.29999999999995</v>
      </c>
      <c r="F69" s="275">
        <f t="shared" ca="1" si="37"/>
        <v>559.29999999999995</v>
      </c>
      <c r="G69" s="275">
        <f t="shared" ca="1" si="37"/>
        <v>169.3</v>
      </c>
      <c r="H69" s="275">
        <f t="shared" ca="1" si="37"/>
        <v>367.24</v>
      </c>
      <c r="I69" s="275">
        <f t="shared" ca="1" si="36"/>
        <v>349.24</v>
      </c>
      <c r="J69" s="275">
        <f t="shared" ca="1" si="37"/>
        <v>290.44</v>
      </c>
      <c r="K69" s="275">
        <f t="shared" ca="1" si="37"/>
        <v>349.24</v>
      </c>
      <c r="L69" s="275">
        <f t="shared" ca="1" si="37"/>
        <v>410.44</v>
      </c>
      <c r="M69" s="275">
        <f t="shared" ca="1" si="37"/>
        <v>410.44</v>
      </c>
      <c r="N69" s="275">
        <f t="shared" ca="1" si="37"/>
        <v>400.04</v>
      </c>
      <c r="O69" s="275">
        <f t="shared" ca="1" si="37"/>
        <v>325.24</v>
      </c>
      <c r="P69" s="275">
        <f t="shared" ca="1" si="37"/>
        <v>349.24</v>
      </c>
      <c r="Q69" s="275">
        <f t="shared" ca="1" si="37"/>
        <v>0</v>
      </c>
      <c r="R69" s="275">
        <f t="shared" ca="1" si="37"/>
        <v>0</v>
      </c>
      <c r="S69" s="275">
        <f t="shared" ca="1" si="38"/>
        <v>0</v>
      </c>
      <c r="T69" s="275">
        <f t="shared" ca="1" si="38"/>
        <v>0</v>
      </c>
      <c r="U69" s="273">
        <f t="shared" si="39"/>
        <v>46082</v>
      </c>
      <c r="V69" s="274"/>
    </row>
    <row r="70" spans="1:22" ht="16.5" customHeight="1" thickTop="1" thickBot="1" x14ac:dyDescent="0.3">
      <c r="A70" s="273">
        <f>+DATA!$A$6</f>
        <v>46113</v>
      </c>
      <c r="B70" s="275">
        <f t="shared" ca="1" si="35"/>
        <v>447.44</v>
      </c>
      <c r="C70" s="275">
        <f t="shared" ca="1" si="37"/>
        <v>447.44</v>
      </c>
      <c r="D70" s="275">
        <f t="shared" ca="1" si="37"/>
        <v>447.44</v>
      </c>
      <c r="E70" s="275">
        <f t="shared" ca="1" si="37"/>
        <v>447.44</v>
      </c>
      <c r="F70" s="275">
        <f t="shared" ca="1" si="37"/>
        <v>447.44</v>
      </c>
      <c r="G70" s="275">
        <f t="shared" ca="1" si="37"/>
        <v>0</v>
      </c>
      <c r="H70" s="275">
        <f t="shared" ca="1" si="37"/>
        <v>327.36</v>
      </c>
      <c r="I70" s="275">
        <f t="shared" ca="1" si="36"/>
        <v>279.39999999999998</v>
      </c>
      <c r="J70" s="275">
        <f t="shared" ca="1" si="37"/>
        <v>232.36</v>
      </c>
      <c r="K70" s="275">
        <f t="shared" ca="1" si="37"/>
        <v>279.39999999999998</v>
      </c>
      <c r="L70" s="275">
        <f t="shared" ca="1" si="37"/>
        <v>328.36</v>
      </c>
      <c r="M70" s="275">
        <f t="shared" ca="1" si="37"/>
        <v>328.36</v>
      </c>
      <c r="N70" s="275">
        <f t="shared" ca="1" si="37"/>
        <v>320.04000000000002</v>
      </c>
      <c r="O70" s="275">
        <f t="shared" ca="1" si="37"/>
        <v>260.2</v>
      </c>
      <c r="P70" s="275">
        <f t="shared" ca="1" si="37"/>
        <v>279.39999999999998</v>
      </c>
      <c r="Q70" s="275">
        <f t="shared" ca="1" si="37"/>
        <v>0</v>
      </c>
      <c r="R70" s="275">
        <f t="shared" ca="1" si="37"/>
        <v>0</v>
      </c>
      <c r="S70" s="275">
        <f t="shared" ca="1" si="38"/>
        <v>0</v>
      </c>
      <c r="T70" s="275">
        <f t="shared" ca="1" si="38"/>
        <v>0</v>
      </c>
      <c r="U70" s="273">
        <f t="shared" si="39"/>
        <v>46113</v>
      </c>
      <c r="V70" s="274"/>
    </row>
    <row r="71" spans="1:22" ht="16.5" customHeight="1" thickTop="1" thickBot="1" x14ac:dyDescent="0.3">
      <c r="A71" s="273">
        <f>+DATA!$A$7</f>
        <v>46143</v>
      </c>
      <c r="B71" s="275">
        <f t="shared" ca="1" si="35"/>
        <v>447.44</v>
      </c>
      <c r="C71" s="275">
        <f t="shared" ca="1" si="37"/>
        <v>447.44</v>
      </c>
      <c r="D71" s="275">
        <f t="shared" ca="1" si="37"/>
        <v>447.44</v>
      </c>
      <c r="E71" s="275">
        <f t="shared" ca="1" si="37"/>
        <v>447.44</v>
      </c>
      <c r="F71" s="275">
        <f t="shared" ca="1" si="37"/>
        <v>447.44</v>
      </c>
      <c r="G71" s="275">
        <f t="shared" ca="1" si="37"/>
        <v>0</v>
      </c>
      <c r="H71" s="275">
        <f t="shared" ca="1" si="37"/>
        <v>327.36</v>
      </c>
      <c r="I71" s="275">
        <f t="shared" ca="1" si="36"/>
        <v>279.39999999999998</v>
      </c>
      <c r="J71" s="275">
        <f t="shared" ca="1" si="37"/>
        <v>232.36</v>
      </c>
      <c r="K71" s="275">
        <f t="shared" ca="1" si="37"/>
        <v>279.39999999999998</v>
      </c>
      <c r="L71" s="275">
        <f t="shared" ca="1" si="37"/>
        <v>328.36</v>
      </c>
      <c r="M71" s="275">
        <f t="shared" ca="1" si="37"/>
        <v>328.36</v>
      </c>
      <c r="N71" s="275">
        <f t="shared" ca="1" si="37"/>
        <v>320.04000000000002</v>
      </c>
      <c r="O71" s="275">
        <f t="shared" ca="1" si="37"/>
        <v>260.2</v>
      </c>
      <c r="P71" s="275">
        <f t="shared" ca="1" si="37"/>
        <v>279.39999999999998</v>
      </c>
      <c r="Q71" s="275">
        <f t="shared" ca="1" si="37"/>
        <v>0</v>
      </c>
      <c r="R71" s="275">
        <f t="shared" ca="1" si="37"/>
        <v>0</v>
      </c>
      <c r="S71" s="275">
        <f t="shared" ca="1" si="38"/>
        <v>0</v>
      </c>
      <c r="T71" s="275">
        <f t="shared" ca="1" si="38"/>
        <v>0</v>
      </c>
      <c r="U71" s="273">
        <f t="shared" si="39"/>
        <v>46143</v>
      </c>
      <c r="V71" s="274"/>
    </row>
    <row r="72" spans="1:22" ht="16.5" customHeight="1" thickTop="1" thickBot="1" x14ac:dyDescent="0.3">
      <c r="A72" s="273">
        <f>+DATA!$A$8</f>
        <v>46174</v>
      </c>
      <c r="B72" s="275">
        <f t="shared" ca="1" si="35"/>
        <v>559.29999999999995</v>
      </c>
      <c r="C72" s="275">
        <f t="shared" ca="1" si="37"/>
        <v>559.29999999999995</v>
      </c>
      <c r="D72" s="275">
        <f t="shared" ca="1" si="37"/>
        <v>559.29999999999995</v>
      </c>
      <c r="E72" s="275">
        <f t="shared" ca="1" si="37"/>
        <v>559.29999999999995</v>
      </c>
      <c r="F72" s="275">
        <f t="shared" ca="1" si="37"/>
        <v>559.29999999999995</v>
      </c>
      <c r="G72" s="275">
        <f t="shared" ca="1" si="37"/>
        <v>0</v>
      </c>
      <c r="H72" s="275">
        <f t="shared" ca="1" si="37"/>
        <v>409.2</v>
      </c>
      <c r="I72" s="275">
        <f t="shared" ca="1" si="36"/>
        <v>349.24</v>
      </c>
      <c r="J72" s="275">
        <f t="shared" ca="1" si="37"/>
        <v>290.44</v>
      </c>
      <c r="K72" s="275">
        <f t="shared" ca="1" si="37"/>
        <v>349.24</v>
      </c>
      <c r="L72" s="275">
        <f t="shared" ca="1" si="37"/>
        <v>410.44</v>
      </c>
      <c r="M72" s="275">
        <f t="shared" ca="1" si="37"/>
        <v>410.44</v>
      </c>
      <c r="N72" s="275">
        <f t="shared" ca="1" si="37"/>
        <v>400.04</v>
      </c>
      <c r="O72" s="275">
        <f t="shared" ca="1" si="37"/>
        <v>325.24</v>
      </c>
      <c r="P72" s="275">
        <f t="shared" ca="1" si="37"/>
        <v>349.24</v>
      </c>
      <c r="Q72" s="275">
        <f t="shared" ca="1" si="37"/>
        <v>0</v>
      </c>
      <c r="R72" s="275">
        <f t="shared" ca="1" si="37"/>
        <v>0</v>
      </c>
      <c r="S72" s="275">
        <f t="shared" ca="1" si="38"/>
        <v>0</v>
      </c>
      <c r="T72" s="275">
        <f t="shared" ca="1" si="38"/>
        <v>0</v>
      </c>
      <c r="U72" s="273">
        <f t="shared" si="39"/>
        <v>46174</v>
      </c>
      <c r="V72" s="274"/>
    </row>
    <row r="73" spans="1:22" ht="16.5" customHeight="1" thickTop="1" thickBot="1" x14ac:dyDescent="0.3">
      <c r="A73" s="273">
        <f>+DATA!$A$9</f>
        <v>46204</v>
      </c>
      <c r="B73" s="275">
        <f t="shared" ca="1" si="35"/>
        <v>447.44</v>
      </c>
      <c r="C73" s="275">
        <f t="shared" ca="1" si="37"/>
        <v>447.44</v>
      </c>
      <c r="D73" s="275">
        <f t="shared" ca="1" si="37"/>
        <v>447.44</v>
      </c>
      <c r="E73" s="275">
        <f t="shared" ca="1" si="37"/>
        <v>447.44</v>
      </c>
      <c r="F73" s="275">
        <f t="shared" ca="1" si="37"/>
        <v>447.44</v>
      </c>
      <c r="G73" s="275">
        <f t="shared" ca="1" si="37"/>
        <v>0</v>
      </c>
      <c r="H73" s="275">
        <f t="shared" ca="1" si="37"/>
        <v>327.36</v>
      </c>
      <c r="I73" s="275">
        <f t="shared" ca="1" si="36"/>
        <v>279.39999999999998</v>
      </c>
      <c r="J73" s="275">
        <f t="shared" ca="1" si="37"/>
        <v>232.36</v>
      </c>
      <c r="K73" s="275">
        <f t="shared" ca="1" si="37"/>
        <v>279.39999999999998</v>
      </c>
      <c r="L73" s="275">
        <f t="shared" ca="1" si="37"/>
        <v>328.36</v>
      </c>
      <c r="M73" s="275">
        <f t="shared" ca="1" si="37"/>
        <v>328.36</v>
      </c>
      <c r="N73" s="275">
        <f t="shared" ca="1" si="37"/>
        <v>320.04000000000002</v>
      </c>
      <c r="O73" s="275">
        <f t="shared" ca="1" si="37"/>
        <v>260.2</v>
      </c>
      <c r="P73" s="275">
        <f t="shared" ca="1" si="37"/>
        <v>279.39999999999998</v>
      </c>
      <c r="Q73" s="275">
        <f t="shared" ca="1" si="37"/>
        <v>0</v>
      </c>
      <c r="R73" s="275">
        <f t="shared" ca="1" si="37"/>
        <v>0</v>
      </c>
      <c r="S73" s="275">
        <f t="shared" ca="1" si="38"/>
        <v>0</v>
      </c>
      <c r="T73" s="275">
        <f t="shared" ca="1" si="38"/>
        <v>0</v>
      </c>
      <c r="U73" s="273">
        <f t="shared" si="39"/>
        <v>46204</v>
      </c>
      <c r="V73" s="274"/>
    </row>
    <row r="74" spans="1:22" ht="16.5" customHeight="1" thickTop="1" thickBot="1" x14ac:dyDescent="0.3">
      <c r="A74" s="273">
        <f>+DATA!$A$10</f>
        <v>46235</v>
      </c>
      <c r="B74" s="275">
        <f t="shared" ca="1" si="35"/>
        <v>559.29999999999995</v>
      </c>
      <c r="C74" s="275">
        <f t="shared" ca="1" si="37"/>
        <v>559.29999999999995</v>
      </c>
      <c r="D74" s="275">
        <f t="shared" ca="1" si="37"/>
        <v>559.29999999999995</v>
      </c>
      <c r="E74" s="275">
        <f t="shared" ca="1" si="37"/>
        <v>559.29999999999995</v>
      </c>
      <c r="F74" s="275">
        <f t="shared" ca="1" si="37"/>
        <v>559.29999999999995</v>
      </c>
      <c r="G74" s="275">
        <f t="shared" ca="1" si="37"/>
        <v>0</v>
      </c>
      <c r="H74" s="275">
        <f t="shared" ca="1" si="37"/>
        <v>409.2</v>
      </c>
      <c r="I74" s="275">
        <f t="shared" ca="1" si="36"/>
        <v>349.24</v>
      </c>
      <c r="J74" s="275">
        <f t="shared" ca="1" si="37"/>
        <v>290.44</v>
      </c>
      <c r="K74" s="275">
        <f t="shared" ca="1" si="37"/>
        <v>349.24</v>
      </c>
      <c r="L74" s="275">
        <f t="shared" ca="1" si="37"/>
        <v>410.44</v>
      </c>
      <c r="M74" s="275">
        <f t="shared" ca="1" si="37"/>
        <v>410.44</v>
      </c>
      <c r="N74" s="275">
        <f t="shared" ca="1" si="37"/>
        <v>400.04</v>
      </c>
      <c r="O74" s="275">
        <f t="shared" ca="1" si="37"/>
        <v>325.24</v>
      </c>
      <c r="P74" s="275">
        <f t="shared" ca="1" si="37"/>
        <v>349.24</v>
      </c>
      <c r="Q74" s="275">
        <f t="shared" ca="1" si="37"/>
        <v>0</v>
      </c>
      <c r="R74" s="275">
        <f t="shared" ca="1" si="37"/>
        <v>0</v>
      </c>
      <c r="S74" s="275">
        <f t="shared" ca="1" si="38"/>
        <v>0</v>
      </c>
      <c r="T74" s="275">
        <f t="shared" ca="1" si="38"/>
        <v>0</v>
      </c>
      <c r="U74" s="273">
        <f t="shared" si="39"/>
        <v>46235</v>
      </c>
      <c r="V74" s="274"/>
    </row>
    <row r="75" spans="1:22" ht="16.5" customHeight="1" thickTop="1" thickBot="1" x14ac:dyDescent="0.3">
      <c r="A75" s="273">
        <f>+DATA!$A$11</f>
        <v>46266</v>
      </c>
      <c r="B75" s="275">
        <f t="shared" ca="1" si="35"/>
        <v>447.44</v>
      </c>
      <c r="C75" s="275">
        <f t="shared" ca="1" si="37"/>
        <v>447.44</v>
      </c>
      <c r="D75" s="275">
        <f t="shared" ca="1" si="37"/>
        <v>447.44</v>
      </c>
      <c r="E75" s="275">
        <f t="shared" ca="1" si="37"/>
        <v>447.44</v>
      </c>
      <c r="F75" s="275">
        <f t="shared" ca="1" si="37"/>
        <v>447.44</v>
      </c>
      <c r="G75" s="275">
        <f t="shared" ca="1" si="37"/>
        <v>0</v>
      </c>
      <c r="H75" s="275">
        <f t="shared" ca="1" si="37"/>
        <v>327.36</v>
      </c>
      <c r="I75" s="275">
        <f t="shared" ca="1" si="36"/>
        <v>279.39999999999998</v>
      </c>
      <c r="J75" s="275">
        <f t="shared" ca="1" si="37"/>
        <v>232.36</v>
      </c>
      <c r="K75" s="275">
        <f t="shared" ca="1" si="37"/>
        <v>279.39999999999998</v>
      </c>
      <c r="L75" s="275">
        <f t="shared" ca="1" si="37"/>
        <v>328.36</v>
      </c>
      <c r="M75" s="275">
        <f t="shared" ca="1" si="37"/>
        <v>328.36</v>
      </c>
      <c r="N75" s="275">
        <f t="shared" ca="1" si="37"/>
        <v>320.04000000000002</v>
      </c>
      <c r="O75" s="275">
        <f t="shared" ca="1" si="37"/>
        <v>260.2</v>
      </c>
      <c r="P75" s="275">
        <f t="shared" ca="1" si="37"/>
        <v>279.39999999999998</v>
      </c>
      <c r="Q75" s="275">
        <f t="shared" ca="1" si="37"/>
        <v>0</v>
      </c>
      <c r="R75" s="275">
        <f t="shared" ca="1" si="37"/>
        <v>0</v>
      </c>
      <c r="S75" s="275">
        <f t="shared" ca="1" si="38"/>
        <v>0</v>
      </c>
      <c r="T75" s="275">
        <f t="shared" ca="1" si="38"/>
        <v>0</v>
      </c>
      <c r="U75" s="273">
        <f t="shared" si="39"/>
        <v>46266</v>
      </c>
      <c r="V75" s="274"/>
    </row>
    <row r="76" spans="1:22" ht="16.5" customHeight="1" thickTop="1" thickBot="1" x14ac:dyDescent="0.3">
      <c r="A76" s="273">
        <f>+DATA!$A$12</f>
        <v>46296</v>
      </c>
      <c r="B76" s="275">
        <f t="shared" ca="1" si="35"/>
        <v>447.44</v>
      </c>
      <c r="C76" s="275">
        <f t="shared" ca="1" si="37"/>
        <v>447.44</v>
      </c>
      <c r="D76" s="275">
        <f t="shared" ca="1" si="37"/>
        <v>447.44</v>
      </c>
      <c r="E76" s="275">
        <f t="shared" ca="1" si="37"/>
        <v>447.44</v>
      </c>
      <c r="F76" s="275">
        <f t="shared" ca="1" si="37"/>
        <v>447.44</v>
      </c>
      <c r="G76" s="275">
        <f t="shared" ca="1" si="37"/>
        <v>0</v>
      </c>
      <c r="H76" s="275">
        <f t="shared" ca="1" si="37"/>
        <v>327.36</v>
      </c>
      <c r="I76" s="275">
        <f t="shared" ca="1" si="36"/>
        <v>279.39999999999998</v>
      </c>
      <c r="J76" s="275">
        <f t="shared" ca="1" si="37"/>
        <v>232.36</v>
      </c>
      <c r="K76" s="275">
        <f t="shared" ca="1" si="37"/>
        <v>279.39999999999998</v>
      </c>
      <c r="L76" s="275">
        <f t="shared" ca="1" si="37"/>
        <v>328.36</v>
      </c>
      <c r="M76" s="275">
        <f t="shared" ca="1" si="37"/>
        <v>328.36</v>
      </c>
      <c r="N76" s="275">
        <f t="shared" ca="1" si="37"/>
        <v>320.04000000000002</v>
      </c>
      <c r="O76" s="275">
        <f t="shared" ca="1" si="37"/>
        <v>260.2</v>
      </c>
      <c r="P76" s="275">
        <f t="shared" ca="1" si="37"/>
        <v>279.39999999999998</v>
      </c>
      <c r="Q76" s="275">
        <f t="shared" ca="1" si="37"/>
        <v>0</v>
      </c>
      <c r="R76" s="275">
        <f t="shared" ca="1" si="37"/>
        <v>0</v>
      </c>
      <c r="S76" s="275">
        <f t="shared" ca="1" si="38"/>
        <v>0</v>
      </c>
      <c r="T76" s="275">
        <f t="shared" ca="1" si="38"/>
        <v>0</v>
      </c>
      <c r="U76" s="273">
        <f t="shared" si="39"/>
        <v>46296</v>
      </c>
      <c r="V76" s="274"/>
    </row>
    <row r="77" spans="1:22" ht="16.5" customHeight="1" thickTop="1" thickBot="1" x14ac:dyDescent="0.3">
      <c r="A77" s="273">
        <f>+DATA!$A$13</f>
        <v>46327</v>
      </c>
      <c r="B77" s="275">
        <f t="shared" ca="1" si="35"/>
        <v>559.29999999999995</v>
      </c>
      <c r="C77" s="275">
        <f t="shared" ca="1" si="37"/>
        <v>559.29999999999995</v>
      </c>
      <c r="D77" s="275">
        <f t="shared" ca="1" si="37"/>
        <v>559.29999999999995</v>
      </c>
      <c r="E77" s="275">
        <f t="shared" ca="1" si="37"/>
        <v>559.29999999999995</v>
      </c>
      <c r="F77" s="275">
        <f t="shared" ca="1" si="37"/>
        <v>559.29999999999995</v>
      </c>
      <c r="G77" s="275">
        <f t="shared" ca="1" si="37"/>
        <v>0</v>
      </c>
      <c r="H77" s="275">
        <f t="shared" ca="1" si="37"/>
        <v>409.2</v>
      </c>
      <c r="I77" s="275">
        <f t="shared" ca="1" si="36"/>
        <v>349.24</v>
      </c>
      <c r="J77" s="275">
        <f t="shared" ca="1" si="37"/>
        <v>290.44</v>
      </c>
      <c r="K77" s="275">
        <f t="shared" ca="1" si="37"/>
        <v>349.24</v>
      </c>
      <c r="L77" s="275">
        <f t="shared" ca="1" si="37"/>
        <v>410.44</v>
      </c>
      <c r="M77" s="275">
        <f t="shared" ca="1" si="37"/>
        <v>410.44</v>
      </c>
      <c r="N77" s="275">
        <f t="shared" ca="1" si="37"/>
        <v>400.04</v>
      </c>
      <c r="O77" s="275">
        <f t="shared" ca="1" si="37"/>
        <v>325.24</v>
      </c>
      <c r="P77" s="275">
        <f t="shared" ca="1" si="37"/>
        <v>349.24</v>
      </c>
      <c r="Q77" s="275">
        <f t="shared" ca="1" si="37"/>
        <v>0</v>
      </c>
      <c r="R77" s="275">
        <f t="shared" ca="1" si="37"/>
        <v>0</v>
      </c>
      <c r="S77" s="275">
        <f t="shared" ca="1" si="38"/>
        <v>0</v>
      </c>
      <c r="T77" s="275">
        <f t="shared" ca="1" si="38"/>
        <v>0</v>
      </c>
      <c r="U77" s="273">
        <f t="shared" si="39"/>
        <v>46327</v>
      </c>
      <c r="V77" s="274"/>
    </row>
    <row r="78" spans="1:22" ht="16.5" customHeight="1" thickTop="1" thickBot="1" x14ac:dyDescent="0.3">
      <c r="A78" s="273">
        <f>+DATA!$A$14</f>
        <v>46357</v>
      </c>
      <c r="B78" s="275">
        <f t="shared" ca="1" si="35"/>
        <v>447.44</v>
      </c>
      <c r="C78" s="275">
        <f t="shared" ca="1" si="37"/>
        <v>447.44</v>
      </c>
      <c r="D78" s="275">
        <f t="shared" ca="1" si="37"/>
        <v>447.44</v>
      </c>
      <c r="E78" s="275">
        <f t="shared" ca="1" si="37"/>
        <v>447.44</v>
      </c>
      <c r="F78" s="275">
        <f t="shared" ca="1" si="37"/>
        <v>447.44</v>
      </c>
      <c r="G78" s="275">
        <f t="shared" ca="1" si="37"/>
        <v>0</v>
      </c>
      <c r="H78" s="275">
        <f t="shared" ca="1" si="37"/>
        <v>327.36</v>
      </c>
      <c r="I78" s="275">
        <f t="shared" ca="1" si="36"/>
        <v>279.39999999999998</v>
      </c>
      <c r="J78" s="275">
        <f t="shared" ca="1" si="37"/>
        <v>232.36</v>
      </c>
      <c r="K78" s="275">
        <f t="shared" ca="1" si="37"/>
        <v>279.39999999999998</v>
      </c>
      <c r="L78" s="275">
        <f t="shared" ca="1" si="37"/>
        <v>328.36</v>
      </c>
      <c r="M78" s="275">
        <f t="shared" ca="1" si="37"/>
        <v>328.36</v>
      </c>
      <c r="N78" s="275">
        <f t="shared" ca="1" si="37"/>
        <v>320.04000000000002</v>
      </c>
      <c r="O78" s="275">
        <f t="shared" ca="1" si="37"/>
        <v>260.2</v>
      </c>
      <c r="P78" s="275">
        <f t="shared" ca="1" si="37"/>
        <v>279.39999999999998</v>
      </c>
      <c r="Q78" s="275">
        <f t="shared" ca="1" si="37"/>
        <v>0</v>
      </c>
      <c r="R78" s="275">
        <f t="shared" ca="1" si="37"/>
        <v>0</v>
      </c>
      <c r="S78" s="275">
        <f t="shared" ca="1" si="38"/>
        <v>0</v>
      </c>
      <c r="T78" s="275">
        <f t="shared" ca="1" si="38"/>
        <v>0</v>
      </c>
      <c r="U78" s="766">
        <f t="shared" si="39"/>
        <v>46357</v>
      </c>
      <c r="V78" s="767"/>
    </row>
    <row r="79" spans="1:22" ht="15.75" customHeight="1" thickBot="1" x14ac:dyDescent="0.3">
      <c r="A79" s="50"/>
      <c r="B79" s="762">
        <f ca="1">SUM(B67:B78)</f>
        <v>5816.7199999999984</v>
      </c>
      <c r="C79" s="762">
        <f t="shared" ref="C79:R79" ca="1" si="40">SUM(C67:C78)</f>
        <v>5816.7199999999984</v>
      </c>
      <c r="D79" s="762">
        <f t="shared" ca="1" si="40"/>
        <v>5816.7199999999984</v>
      </c>
      <c r="E79" s="762">
        <f t="shared" ca="1" si="40"/>
        <v>5816.7199999999984</v>
      </c>
      <c r="F79" s="762">
        <f t="shared" ca="1" si="40"/>
        <v>5816.7199999999984</v>
      </c>
      <c r="G79" s="762">
        <f t="shared" ca="1" si="40"/>
        <v>846.5</v>
      </c>
      <c r="H79" s="762">
        <f t="shared" ca="1" si="40"/>
        <v>4146.5999999999995</v>
      </c>
      <c r="I79" s="762">
        <f t="shared" ca="1" si="40"/>
        <v>3632.1600000000003</v>
      </c>
      <c r="J79" s="762">
        <f t="shared" ca="1" si="40"/>
        <v>3020.6400000000008</v>
      </c>
      <c r="K79" s="762">
        <f t="shared" ca="1" si="40"/>
        <v>3632.1600000000003</v>
      </c>
      <c r="L79" s="762">
        <f t="shared" ca="1" si="40"/>
        <v>4268.6400000000003</v>
      </c>
      <c r="M79" s="762">
        <f t="shared" ca="1" si="40"/>
        <v>4268.6400000000003</v>
      </c>
      <c r="N79" s="762">
        <f t="shared" ca="1" si="40"/>
        <v>4160.4800000000005</v>
      </c>
      <c r="O79" s="762">
        <f t="shared" ca="1" si="40"/>
        <v>3382.5599999999995</v>
      </c>
      <c r="P79" s="762">
        <f t="shared" ca="1" si="40"/>
        <v>3632.1600000000003</v>
      </c>
      <c r="Q79" s="762">
        <f t="shared" ca="1" si="40"/>
        <v>0</v>
      </c>
      <c r="R79" s="762">
        <f t="shared" ca="1" si="40"/>
        <v>0</v>
      </c>
      <c r="S79" s="762">
        <f t="shared" ref="S79" ca="1" si="41">SUM(S67:S78)</f>
        <v>0</v>
      </c>
      <c r="T79" s="762">
        <f t="shared" ref="T79" ca="1" si="42">SUM(T67:T78)</f>
        <v>0</v>
      </c>
      <c r="U79" s="339"/>
      <c r="V79" s="49"/>
    </row>
    <row r="80" spans="1:22" ht="16.5" customHeight="1" thickTop="1" thickBot="1" x14ac:dyDescent="0.3">
      <c r="A80" s="50" t="s">
        <v>266</v>
      </c>
      <c r="B80" s="757">
        <f ca="1">B79</f>
        <v>5816.7199999999984</v>
      </c>
      <c r="C80" s="757">
        <f t="shared" ref="C80:R80" ca="1" si="43">C79</f>
        <v>5816.7199999999984</v>
      </c>
      <c r="D80" s="757">
        <f t="shared" ca="1" si="43"/>
        <v>5816.7199999999984</v>
      </c>
      <c r="E80" s="757">
        <f t="shared" ca="1" si="43"/>
        <v>5816.7199999999984</v>
      </c>
      <c r="F80" s="757">
        <f t="shared" ca="1" si="43"/>
        <v>5816.7199999999984</v>
      </c>
      <c r="G80" s="757">
        <f t="shared" ca="1" si="43"/>
        <v>846.5</v>
      </c>
      <c r="H80" s="757">
        <f t="shared" ca="1" si="43"/>
        <v>4146.5999999999995</v>
      </c>
      <c r="I80" s="757">
        <f t="shared" ca="1" si="43"/>
        <v>3632.1600000000003</v>
      </c>
      <c r="J80" s="757">
        <f t="shared" ca="1" si="43"/>
        <v>3020.6400000000008</v>
      </c>
      <c r="K80" s="757">
        <f t="shared" ca="1" si="43"/>
        <v>3632.1600000000003</v>
      </c>
      <c r="L80" s="757">
        <f t="shared" ca="1" si="43"/>
        <v>4268.6400000000003</v>
      </c>
      <c r="M80" s="757">
        <f t="shared" ca="1" si="43"/>
        <v>4268.6400000000003</v>
      </c>
      <c r="N80" s="757">
        <f t="shared" ca="1" si="43"/>
        <v>4160.4800000000005</v>
      </c>
      <c r="O80" s="757">
        <f t="shared" ca="1" si="43"/>
        <v>3382.5599999999995</v>
      </c>
      <c r="P80" s="757">
        <f t="shared" ca="1" si="43"/>
        <v>3632.1600000000003</v>
      </c>
      <c r="Q80" s="757">
        <f t="shared" ca="1" si="43"/>
        <v>0</v>
      </c>
      <c r="R80" s="757">
        <f t="shared" ca="1" si="43"/>
        <v>0</v>
      </c>
      <c r="S80" s="757">
        <f t="shared" ref="S80" ca="1" si="44">S79</f>
        <v>0</v>
      </c>
      <c r="T80" s="757">
        <f t="shared" ref="T80" ca="1" si="45">T79</f>
        <v>0</v>
      </c>
      <c r="U80" s="273"/>
      <c r="V80" s="274">
        <f>SUM(V67:V78)</f>
        <v>0</v>
      </c>
    </row>
    <row r="81" spans="1:22" ht="15.75" customHeight="1" thickBot="1" x14ac:dyDescent="0.3">
      <c r="A81" s="51"/>
      <c r="B81" s="24"/>
      <c r="C81" s="24"/>
      <c r="D81" s="24"/>
      <c r="E81" s="24"/>
      <c r="F81" s="24"/>
      <c r="G81" s="24"/>
      <c r="H81" s="24"/>
      <c r="I81" s="24"/>
      <c r="J81" s="24"/>
      <c r="K81" s="24"/>
      <c r="L81" s="24"/>
      <c r="M81" s="24"/>
      <c r="N81" s="24"/>
      <c r="O81" s="24"/>
      <c r="P81" s="24"/>
      <c r="Q81" s="24"/>
      <c r="R81" s="24"/>
      <c r="S81" s="24"/>
      <c r="T81" s="24"/>
      <c r="U81" s="51"/>
      <c r="V81" s="52"/>
    </row>
    <row r="82" spans="1:22" ht="15.75" customHeight="1" thickBot="1" x14ac:dyDescent="0.3"/>
    <row r="83" spans="1:22" ht="15.75" customHeight="1" thickBot="1" x14ac:dyDescent="0.3">
      <c r="A83" s="271" t="s">
        <v>72</v>
      </c>
      <c r="B83" s="760"/>
      <c r="C83" s="760"/>
      <c r="D83" s="760"/>
      <c r="E83" s="760"/>
      <c r="F83" s="760"/>
      <c r="G83" s="760"/>
      <c r="H83" s="760"/>
      <c r="I83" s="760"/>
      <c r="J83" s="760"/>
      <c r="K83" s="760"/>
      <c r="L83" s="760"/>
      <c r="M83" s="760"/>
      <c r="N83" s="760"/>
      <c r="O83" s="760"/>
      <c r="P83" s="760"/>
      <c r="Q83" s="760"/>
      <c r="R83" s="760"/>
      <c r="S83" s="760"/>
      <c r="T83" s="760"/>
      <c r="U83" s="761"/>
      <c r="V83" s="268"/>
    </row>
    <row r="84" spans="1:22" ht="24.75" customHeight="1" thickTop="1" thickBot="1" x14ac:dyDescent="0.4">
      <c r="A84" s="278">
        <f>DATA!$A$2</f>
        <v>46023</v>
      </c>
      <c r="B84" s="778"/>
      <c r="C84" s="778"/>
      <c r="D84" s="778"/>
      <c r="E84" s="778"/>
      <c r="F84" s="778"/>
      <c r="G84" s="778"/>
      <c r="H84" s="778"/>
      <c r="I84" s="778"/>
      <c r="J84" s="778"/>
      <c r="K84" s="778"/>
      <c r="L84" s="778"/>
      <c r="M84" s="778"/>
      <c r="N84" s="778"/>
      <c r="O84" s="778"/>
      <c r="P84" s="778"/>
      <c r="Q84" s="778"/>
      <c r="R84" s="778"/>
      <c r="S84" s="778"/>
      <c r="T84" s="778"/>
      <c r="U84" s="759"/>
      <c r="V84" s="269"/>
    </row>
    <row r="85" spans="1:22" ht="15.75" customHeight="1" thickBot="1" x14ac:dyDescent="0.3">
      <c r="A85" s="25" t="s">
        <v>262</v>
      </c>
      <c r="B85" s="777">
        <f>+B65</f>
        <v>2018001</v>
      </c>
      <c r="C85" s="777">
        <f t="shared" ref="C85:R85" si="46">+C65</f>
        <v>2018002</v>
      </c>
      <c r="D85" s="777">
        <f t="shared" si="46"/>
        <v>2024006</v>
      </c>
      <c r="E85" s="777">
        <f t="shared" si="46"/>
        <v>2025008</v>
      </c>
      <c r="F85" s="777">
        <f t="shared" si="46"/>
        <v>2025009</v>
      </c>
      <c r="G85" s="777">
        <f t="shared" si="46"/>
        <v>2020005</v>
      </c>
      <c r="H85" s="777">
        <f t="shared" si="46"/>
        <v>2018004</v>
      </c>
      <c r="I85" s="777">
        <f t="shared" si="46"/>
        <v>2021009</v>
      </c>
      <c r="J85" s="777">
        <f t="shared" si="46"/>
        <v>2023005</v>
      </c>
      <c r="K85" s="777">
        <f t="shared" si="46"/>
        <v>2023006</v>
      </c>
      <c r="L85" s="777">
        <f t="shared" si="46"/>
        <v>2023007</v>
      </c>
      <c r="M85" s="777">
        <f t="shared" si="46"/>
        <v>2023008</v>
      </c>
      <c r="N85" s="777">
        <f t="shared" si="46"/>
        <v>2025001</v>
      </c>
      <c r="O85" s="777">
        <f t="shared" si="46"/>
        <v>2025003</v>
      </c>
      <c r="P85" s="777">
        <f t="shared" si="46"/>
        <v>2025005</v>
      </c>
      <c r="Q85" s="777">
        <f t="shared" si="46"/>
        <v>2024002</v>
      </c>
      <c r="R85" s="777">
        <f t="shared" si="46"/>
        <v>2025006</v>
      </c>
      <c r="S85" s="777">
        <f t="shared" ref="S85:T85" si="47">+S65</f>
        <v>2025007</v>
      </c>
      <c r="T85" s="777">
        <f t="shared" si="47"/>
        <v>2025011</v>
      </c>
      <c r="U85" s="764" t="str">
        <f>+A83</f>
        <v>MLF</v>
      </c>
      <c r="V85" s="765"/>
    </row>
    <row r="86" spans="1:22" ht="15.75" customHeight="1" thickBot="1" x14ac:dyDescent="0.3">
      <c r="A86" s="25" t="s">
        <v>263</v>
      </c>
      <c r="B86" s="270" t="str">
        <f>IF(B$5=0,0,INDEX([1]!empdata,MATCH(B$5,[1]!empid,0),16))</f>
        <v>RGaldes</v>
      </c>
      <c r="C86" s="270" t="str">
        <f>IF(C$5=0,0,INDEX([1]!empdata,MATCH(C$5,[1]!empid,0),16))</f>
        <v>LCarini</v>
      </c>
      <c r="D86" s="270" t="str">
        <f>IF(D$5=0,0,INDEX([1]!empdata,MATCH(D$5,[1]!empid,0),16))</f>
        <v>KMizzi</v>
      </c>
      <c r="E86" s="270" t="str">
        <f>IF(E$5=0,0,INDEX([1]!empdata,MATCH(E$5,[1]!empid,0),16))</f>
        <v>RCamilleri</v>
      </c>
      <c r="F86" s="270" t="str">
        <f>IF(F$5=0,0,INDEX([1]!empdata,MATCH(F$5,[1]!empid,0),16))</f>
        <v>DMifsud_Ceci</v>
      </c>
      <c r="G86" s="270" t="str">
        <f>IF(G$5=0,0,INDEX([1]!empdata,MATCH(G$5,[1]!empid,0),16))</f>
        <v>MCamilleri</v>
      </c>
      <c r="H86" s="270" t="str">
        <f>IF(H$5=0,0,INDEX([1]!empdata,MATCH(H$5,[1]!empid,0),16))</f>
        <v>LBonnici</v>
      </c>
      <c r="I86" s="270" t="str">
        <f>IF(I$5=0,0,INDEX([1]!empdata,MATCH(I$5,[1]!empid,0),16))</f>
        <v>RAttard</v>
      </c>
      <c r="J86" s="270" t="str">
        <f>IF(J$5=0,0,INDEX([1]!empdata,MATCH(J$5,[1]!empid,0),16))</f>
        <v>RSreejith</v>
      </c>
      <c r="K86" s="270" t="str">
        <f>IF(K$5=0,0,INDEX([1]!empdata,MATCH(K$5,[1]!empid,0),16))</f>
        <v>RMallan_Albani</v>
      </c>
      <c r="L86" s="270" t="str">
        <f>IF(L$5=0,0,INDEX([1]!empdata,MATCH(L$5,[1]!empid,0),16))</f>
        <v>AHaneena</v>
      </c>
      <c r="M86" s="270" t="str">
        <f>IF(M$5=0,0,INDEX([1]!empdata,MATCH(M$5,[1]!empid,0),16))</f>
        <v>ELama</v>
      </c>
      <c r="N86" s="270" t="str">
        <f>IF(N$5=0,0,INDEX([1]!empdata,MATCH(N$5,[1]!empid,0),16))</f>
        <v>MAcero_Garzon</v>
      </c>
      <c r="O86" s="270" t="str">
        <f>IF(O$5=0,0,INDEX([1]!empdata,MATCH(O$5,[1]!empid,0),16))</f>
        <v>RAcharya</v>
      </c>
      <c r="P86" s="270" t="str">
        <f>IF(P$5=0,0,INDEX([1]!empdata,MATCH(P$5,[1]!empid,0),16))</f>
        <v>AKunnamkudath</v>
      </c>
      <c r="Q86" s="270" t="str">
        <f>IF(Q$5=0,0,INDEX([1]!empdata,MATCH(Q$5,[1]!empid,0),16))</f>
        <v>MEllul</v>
      </c>
      <c r="R86" s="270" t="str">
        <f>IF(R$5=0,0,INDEX([1]!empdata,MATCH(R$5,[1]!empid,0),16))</f>
        <v>ECurmi</v>
      </c>
      <c r="S86" s="270" t="str">
        <f>IF(S$5=0,0,INDEX([1]!empdata,MATCH(S$5,[1]!empid,0),16))</f>
        <v>AFalzon</v>
      </c>
      <c r="T86" s="270" t="str">
        <f>IF(T$5=0,0,INDEX([1]!empdata,MATCH(T$5,[1]!empid,0),16))</f>
        <v>ZMifsud</v>
      </c>
      <c r="U86" s="763" t="str">
        <f>+U85</f>
        <v>MLF</v>
      </c>
      <c r="V86" s="272" t="s">
        <v>264</v>
      </c>
    </row>
    <row r="87" spans="1:22" ht="16.5" customHeight="1" thickTop="1" thickBot="1" x14ac:dyDescent="0.3">
      <c r="A87" s="273">
        <f>+DATA!$A$3</f>
        <v>46023</v>
      </c>
      <c r="B87" s="275">
        <f t="shared" ref="B87:Q98" ca="1" si="48">IF(B$5=0,0,INDEX((INDIRECT(B$6&amp;"!INDAT")),(MATCH($A87,(INDIRECT(B$6&amp;"!$O$2:$O$15")),0)),23))</f>
        <v>6.72</v>
      </c>
      <c r="C87" s="275">
        <f t="shared" ca="1" si="48"/>
        <v>6.72</v>
      </c>
      <c r="D87" s="275">
        <f t="shared" ca="1" si="48"/>
        <v>6.72</v>
      </c>
      <c r="E87" s="275">
        <f t="shared" ca="1" si="48"/>
        <v>6.72</v>
      </c>
      <c r="F87" s="275">
        <f t="shared" ca="1" si="48"/>
        <v>6.72</v>
      </c>
      <c r="G87" s="275">
        <f t="shared" ca="1" si="48"/>
        <v>5.08</v>
      </c>
      <c r="H87" s="275">
        <f t="shared" ca="1" si="48"/>
        <v>4.41</v>
      </c>
      <c r="I87" s="275">
        <f t="shared" ref="I87:I98" ca="1" si="49">IF(I$5=0,0,INDEX((INDIRECT(I$6&amp;"!INDAT")),(MATCH($A87,(INDIRECT(I$6&amp;"!$O$2:$O$15")),0)),23))</f>
        <v>4.1900000000000004</v>
      </c>
      <c r="J87" s="275">
        <f t="shared" ca="1" si="48"/>
        <v>3.49</v>
      </c>
      <c r="K87" s="275">
        <f t="shared" ca="1" si="48"/>
        <v>4.1900000000000004</v>
      </c>
      <c r="L87" s="275">
        <f t="shared" ca="1" si="48"/>
        <v>4.93</v>
      </c>
      <c r="M87" s="275">
        <f t="shared" ca="1" si="48"/>
        <v>4.93</v>
      </c>
      <c r="N87" s="275">
        <f t="shared" ca="1" si="48"/>
        <v>4.8</v>
      </c>
      <c r="O87" s="275">
        <f t="shared" ca="1" si="48"/>
        <v>3.9</v>
      </c>
      <c r="P87" s="275">
        <f t="shared" ca="1" si="48"/>
        <v>4.1900000000000004</v>
      </c>
      <c r="Q87" s="275">
        <f t="shared" ca="1" si="48"/>
        <v>0</v>
      </c>
      <c r="R87" s="275">
        <f t="shared" ref="C87:S98" ca="1" si="50">IF(R$5=0,0,INDEX((INDIRECT(R$6&amp;"!INDAT")),(MATCH($A87,(INDIRECT(R$6&amp;"!$O$2:$O$15")),0)),23))</f>
        <v>0</v>
      </c>
      <c r="S87" s="275">
        <f t="shared" ca="1" si="50"/>
        <v>0</v>
      </c>
      <c r="T87" s="275">
        <f t="shared" ref="S87:T98" ca="1" si="51">IF(T$5=0,0,INDEX((INDIRECT(T$6&amp;"!INDAT")),(MATCH($A87,(INDIRECT(T$6&amp;"!$O$2:$O$15")),0)),23))</f>
        <v>0</v>
      </c>
      <c r="U87" s="273">
        <f t="shared" ref="U87:U98" si="52">+A87</f>
        <v>46023</v>
      </c>
      <c r="V87" s="274"/>
    </row>
    <row r="88" spans="1:22" ht="16.5" customHeight="1" thickTop="1" thickBot="1" x14ac:dyDescent="0.3">
      <c r="A88" s="273">
        <f>+DATA!$A$4</f>
        <v>46054</v>
      </c>
      <c r="B88" s="275">
        <f t="shared" ca="1" si="48"/>
        <v>6.72</v>
      </c>
      <c r="C88" s="275">
        <f t="shared" ca="1" si="50"/>
        <v>6.72</v>
      </c>
      <c r="D88" s="275">
        <f t="shared" ca="1" si="50"/>
        <v>6.72</v>
      </c>
      <c r="E88" s="275">
        <f t="shared" ca="1" si="50"/>
        <v>6.72</v>
      </c>
      <c r="F88" s="275">
        <f t="shared" ca="1" si="50"/>
        <v>6.72</v>
      </c>
      <c r="G88" s="275">
        <f t="shared" ca="1" si="50"/>
        <v>5.08</v>
      </c>
      <c r="H88" s="275">
        <f t="shared" ca="1" si="50"/>
        <v>4.41</v>
      </c>
      <c r="I88" s="275">
        <f t="shared" ca="1" si="49"/>
        <v>4.1900000000000004</v>
      </c>
      <c r="J88" s="275">
        <f t="shared" ca="1" si="50"/>
        <v>3.49</v>
      </c>
      <c r="K88" s="275">
        <f t="shared" ca="1" si="50"/>
        <v>4.1900000000000004</v>
      </c>
      <c r="L88" s="275">
        <f t="shared" ca="1" si="50"/>
        <v>4.93</v>
      </c>
      <c r="M88" s="275">
        <f t="shared" ca="1" si="50"/>
        <v>4.93</v>
      </c>
      <c r="N88" s="275">
        <f t="shared" ca="1" si="50"/>
        <v>4.8</v>
      </c>
      <c r="O88" s="275">
        <f t="shared" ca="1" si="50"/>
        <v>3.9</v>
      </c>
      <c r="P88" s="275">
        <f t="shared" ca="1" si="50"/>
        <v>4.1900000000000004</v>
      </c>
      <c r="Q88" s="275">
        <f t="shared" ca="1" si="50"/>
        <v>0</v>
      </c>
      <c r="R88" s="275">
        <f t="shared" ca="1" si="50"/>
        <v>0</v>
      </c>
      <c r="S88" s="275">
        <f t="shared" ca="1" si="51"/>
        <v>0</v>
      </c>
      <c r="T88" s="275">
        <f t="shared" ca="1" si="51"/>
        <v>0</v>
      </c>
      <c r="U88" s="273">
        <f t="shared" si="52"/>
        <v>46054</v>
      </c>
      <c r="V88" s="274"/>
    </row>
    <row r="89" spans="1:22" ht="16.5" customHeight="1" thickTop="1" thickBot="1" x14ac:dyDescent="0.3">
      <c r="A89" s="273">
        <f>+DATA!$A$5</f>
        <v>46082</v>
      </c>
      <c r="B89" s="275">
        <f t="shared" ca="1" si="48"/>
        <v>8.4</v>
      </c>
      <c r="C89" s="275">
        <f t="shared" ca="1" si="50"/>
        <v>8.4</v>
      </c>
      <c r="D89" s="275">
        <f t="shared" ca="1" si="50"/>
        <v>8.4</v>
      </c>
      <c r="E89" s="275">
        <f t="shared" ca="1" si="50"/>
        <v>8.4</v>
      </c>
      <c r="F89" s="275">
        <f t="shared" ca="1" si="50"/>
        <v>8.4</v>
      </c>
      <c r="G89" s="275">
        <f t="shared" ca="1" si="50"/>
        <v>2.54</v>
      </c>
      <c r="H89" s="275">
        <f t="shared" ca="1" si="50"/>
        <v>5.51</v>
      </c>
      <c r="I89" s="275">
        <f t="shared" ca="1" si="49"/>
        <v>5.24</v>
      </c>
      <c r="J89" s="275">
        <f t="shared" ca="1" si="50"/>
        <v>4.3600000000000003</v>
      </c>
      <c r="K89" s="275">
        <f t="shared" ca="1" si="50"/>
        <v>5.24</v>
      </c>
      <c r="L89" s="275">
        <f t="shared" ca="1" si="50"/>
        <v>6.16</v>
      </c>
      <c r="M89" s="275">
        <f t="shared" ca="1" si="50"/>
        <v>6.16</v>
      </c>
      <c r="N89" s="275">
        <f t="shared" ca="1" si="50"/>
        <v>6</v>
      </c>
      <c r="O89" s="275">
        <f t="shared" ca="1" si="50"/>
        <v>4.88</v>
      </c>
      <c r="P89" s="275">
        <f t="shared" ca="1" si="50"/>
        <v>5.24</v>
      </c>
      <c r="Q89" s="275">
        <f t="shared" ca="1" si="50"/>
        <v>0</v>
      </c>
      <c r="R89" s="275">
        <f t="shared" ca="1" si="50"/>
        <v>0</v>
      </c>
      <c r="S89" s="275">
        <f t="shared" ca="1" si="51"/>
        <v>0</v>
      </c>
      <c r="T89" s="275">
        <f t="shared" ca="1" si="51"/>
        <v>0</v>
      </c>
      <c r="U89" s="273">
        <f t="shared" si="52"/>
        <v>46082</v>
      </c>
      <c r="V89" s="274"/>
    </row>
    <row r="90" spans="1:22" ht="16.5" customHeight="1" thickTop="1" thickBot="1" x14ac:dyDescent="0.3">
      <c r="A90" s="273">
        <f>+DATA!$A$6</f>
        <v>46113</v>
      </c>
      <c r="B90" s="275">
        <f t="shared" ca="1" si="48"/>
        <v>6.72</v>
      </c>
      <c r="C90" s="275">
        <f t="shared" ca="1" si="50"/>
        <v>6.72</v>
      </c>
      <c r="D90" s="275">
        <f t="shared" ca="1" si="50"/>
        <v>6.72</v>
      </c>
      <c r="E90" s="275">
        <f t="shared" ca="1" si="50"/>
        <v>6.72</v>
      </c>
      <c r="F90" s="275">
        <f t="shared" ca="1" si="50"/>
        <v>6.72</v>
      </c>
      <c r="G90" s="275">
        <f t="shared" ca="1" si="50"/>
        <v>0</v>
      </c>
      <c r="H90" s="275">
        <f t="shared" ca="1" si="50"/>
        <v>4.91</v>
      </c>
      <c r="I90" s="275">
        <f t="shared" ca="1" si="49"/>
        <v>4.1900000000000004</v>
      </c>
      <c r="J90" s="275">
        <f t="shared" ca="1" si="50"/>
        <v>3.49</v>
      </c>
      <c r="K90" s="275">
        <f t="shared" ca="1" si="50"/>
        <v>4.1900000000000004</v>
      </c>
      <c r="L90" s="275">
        <f t="shared" ca="1" si="50"/>
        <v>4.93</v>
      </c>
      <c r="M90" s="275">
        <f t="shared" ca="1" si="50"/>
        <v>4.93</v>
      </c>
      <c r="N90" s="275">
        <f t="shared" ca="1" si="50"/>
        <v>4.8</v>
      </c>
      <c r="O90" s="275">
        <f t="shared" ca="1" si="50"/>
        <v>3.9</v>
      </c>
      <c r="P90" s="275">
        <f t="shared" ca="1" si="50"/>
        <v>4.1900000000000004</v>
      </c>
      <c r="Q90" s="275">
        <f t="shared" ca="1" si="50"/>
        <v>0</v>
      </c>
      <c r="R90" s="275">
        <f t="shared" ca="1" si="50"/>
        <v>0</v>
      </c>
      <c r="S90" s="275">
        <f t="shared" ca="1" si="51"/>
        <v>0</v>
      </c>
      <c r="T90" s="275">
        <f t="shared" ca="1" si="51"/>
        <v>0</v>
      </c>
      <c r="U90" s="273">
        <f t="shared" si="52"/>
        <v>46113</v>
      </c>
      <c r="V90" s="274"/>
    </row>
    <row r="91" spans="1:22" ht="16.5" customHeight="1" thickTop="1" thickBot="1" x14ac:dyDescent="0.3">
      <c r="A91" s="273">
        <f>+DATA!$A$7</f>
        <v>46143</v>
      </c>
      <c r="B91" s="275">
        <f t="shared" ca="1" si="48"/>
        <v>6.72</v>
      </c>
      <c r="C91" s="275">
        <f t="shared" ca="1" si="50"/>
        <v>6.72</v>
      </c>
      <c r="D91" s="275">
        <f t="shared" ca="1" si="50"/>
        <v>6.72</v>
      </c>
      <c r="E91" s="275">
        <f t="shared" ca="1" si="50"/>
        <v>6.72</v>
      </c>
      <c r="F91" s="275">
        <f t="shared" ca="1" si="50"/>
        <v>6.72</v>
      </c>
      <c r="G91" s="275">
        <f t="shared" ca="1" si="50"/>
        <v>0</v>
      </c>
      <c r="H91" s="275">
        <f t="shared" ca="1" si="50"/>
        <v>4.91</v>
      </c>
      <c r="I91" s="275">
        <f t="shared" ca="1" si="49"/>
        <v>4.1900000000000004</v>
      </c>
      <c r="J91" s="275">
        <f t="shared" ca="1" si="50"/>
        <v>3.49</v>
      </c>
      <c r="K91" s="275">
        <f t="shared" ca="1" si="50"/>
        <v>4.1900000000000004</v>
      </c>
      <c r="L91" s="275">
        <f t="shared" ca="1" si="50"/>
        <v>4.93</v>
      </c>
      <c r="M91" s="275">
        <f t="shared" ca="1" si="50"/>
        <v>4.93</v>
      </c>
      <c r="N91" s="275">
        <f t="shared" ca="1" si="50"/>
        <v>4.8</v>
      </c>
      <c r="O91" s="275">
        <f t="shared" ca="1" si="50"/>
        <v>3.9</v>
      </c>
      <c r="P91" s="275">
        <f t="shared" ca="1" si="50"/>
        <v>4.1900000000000004</v>
      </c>
      <c r="Q91" s="275">
        <f t="shared" ca="1" si="50"/>
        <v>0</v>
      </c>
      <c r="R91" s="275">
        <f t="shared" ca="1" si="50"/>
        <v>0</v>
      </c>
      <c r="S91" s="275">
        <f t="shared" ca="1" si="51"/>
        <v>0</v>
      </c>
      <c r="T91" s="275">
        <f t="shared" ca="1" si="51"/>
        <v>0</v>
      </c>
      <c r="U91" s="273">
        <f t="shared" si="52"/>
        <v>46143</v>
      </c>
      <c r="V91" s="274"/>
    </row>
    <row r="92" spans="1:22" ht="16.5" customHeight="1" thickTop="1" thickBot="1" x14ac:dyDescent="0.3">
      <c r="A92" s="273">
        <f>+DATA!$A$8</f>
        <v>46174</v>
      </c>
      <c r="B92" s="275">
        <f t="shared" ca="1" si="48"/>
        <v>8.4</v>
      </c>
      <c r="C92" s="275">
        <f t="shared" ca="1" si="50"/>
        <v>8.4</v>
      </c>
      <c r="D92" s="275">
        <f t="shared" ca="1" si="50"/>
        <v>8.4</v>
      </c>
      <c r="E92" s="275">
        <f t="shared" ca="1" si="50"/>
        <v>8.4</v>
      </c>
      <c r="F92" s="275">
        <f t="shared" ca="1" si="50"/>
        <v>8.4</v>
      </c>
      <c r="G92" s="275">
        <f t="shared" ca="1" si="50"/>
        <v>0</v>
      </c>
      <c r="H92" s="275">
        <f t="shared" ca="1" si="50"/>
        <v>6.14</v>
      </c>
      <c r="I92" s="275">
        <f t="shared" ca="1" si="49"/>
        <v>5.24</v>
      </c>
      <c r="J92" s="275">
        <f t="shared" ca="1" si="50"/>
        <v>4.3600000000000003</v>
      </c>
      <c r="K92" s="275">
        <f t="shared" ca="1" si="50"/>
        <v>5.24</v>
      </c>
      <c r="L92" s="275">
        <f t="shared" ca="1" si="50"/>
        <v>6.16</v>
      </c>
      <c r="M92" s="275">
        <f t="shared" ca="1" si="50"/>
        <v>6.16</v>
      </c>
      <c r="N92" s="275">
        <f t="shared" ca="1" si="50"/>
        <v>6</v>
      </c>
      <c r="O92" s="275">
        <f t="shared" ca="1" si="50"/>
        <v>4.88</v>
      </c>
      <c r="P92" s="275">
        <f t="shared" ca="1" si="50"/>
        <v>5.24</v>
      </c>
      <c r="Q92" s="275">
        <f t="shared" ca="1" si="50"/>
        <v>0</v>
      </c>
      <c r="R92" s="275">
        <f t="shared" ca="1" si="50"/>
        <v>0</v>
      </c>
      <c r="S92" s="275">
        <f t="shared" ca="1" si="51"/>
        <v>0</v>
      </c>
      <c r="T92" s="275">
        <f t="shared" ca="1" si="51"/>
        <v>0</v>
      </c>
      <c r="U92" s="273">
        <f t="shared" si="52"/>
        <v>46174</v>
      </c>
      <c r="V92" s="274"/>
    </row>
    <row r="93" spans="1:22" ht="16.5" customHeight="1" thickTop="1" thickBot="1" x14ac:dyDescent="0.3">
      <c r="A93" s="273">
        <f>+DATA!$A$9</f>
        <v>46204</v>
      </c>
      <c r="B93" s="275">
        <f t="shared" ca="1" si="48"/>
        <v>6.72</v>
      </c>
      <c r="C93" s="275">
        <f t="shared" ca="1" si="50"/>
        <v>6.72</v>
      </c>
      <c r="D93" s="275">
        <f t="shared" ca="1" si="50"/>
        <v>6.72</v>
      </c>
      <c r="E93" s="275">
        <f t="shared" ca="1" si="50"/>
        <v>6.72</v>
      </c>
      <c r="F93" s="275">
        <f t="shared" ca="1" si="50"/>
        <v>6.72</v>
      </c>
      <c r="G93" s="275">
        <f t="shared" ca="1" si="50"/>
        <v>0</v>
      </c>
      <c r="H93" s="275">
        <f t="shared" ca="1" si="50"/>
        <v>4.91</v>
      </c>
      <c r="I93" s="275">
        <f t="shared" ca="1" si="49"/>
        <v>4.1900000000000004</v>
      </c>
      <c r="J93" s="275">
        <f t="shared" ca="1" si="50"/>
        <v>3.49</v>
      </c>
      <c r="K93" s="275">
        <f t="shared" ca="1" si="50"/>
        <v>4.1900000000000004</v>
      </c>
      <c r="L93" s="275">
        <f t="shared" ca="1" si="50"/>
        <v>4.93</v>
      </c>
      <c r="M93" s="275">
        <f t="shared" ca="1" si="50"/>
        <v>4.93</v>
      </c>
      <c r="N93" s="275">
        <f t="shared" ca="1" si="50"/>
        <v>4.8</v>
      </c>
      <c r="O93" s="275">
        <f t="shared" ca="1" si="50"/>
        <v>3.9</v>
      </c>
      <c r="P93" s="275">
        <f t="shared" ca="1" si="50"/>
        <v>4.1900000000000004</v>
      </c>
      <c r="Q93" s="275">
        <f t="shared" ca="1" si="50"/>
        <v>0</v>
      </c>
      <c r="R93" s="275">
        <f t="shared" ca="1" si="50"/>
        <v>0</v>
      </c>
      <c r="S93" s="275">
        <f t="shared" ca="1" si="51"/>
        <v>0</v>
      </c>
      <c r="T93" s="275">
        <f t="shared" ca="1" si="51"/>
        <v>0</v>
      </c>
      <c r="U93" s="273">
        <f t="shared" si="52"/>
        <v>46204</v>
      </c>
      <c r="V93" s="274"/>
    </row>
    <row r="94" spans="1:22" ht="16.5" customHeight="1" thickTop="1" thickBot="1" x14ac:dyDescent="0.3">
      <c r="A94" s="273">
        <f>+DATA!$A$10</f>
        <v>46235</v>
      </c>
      <c r="B94" s="275">
        <f t="shared" ca="1" si="48"/>
        <v>8.4</v>
      </c>
      <c r="C94" s="275">
        <f t="shared" ca="1" si="50"/>
        <v>8.4</v>
      </c>
      <c r="D94" s="275">
        <f t="shared" ca="1" si="50"/>
        <v>8.4</v>
      </c>
      <c r="E94" s="275">
        <f t="shared" ca="1" si="50"/>
        <v>8.4</v>
      </c>
      <c r="F94" s="275">
        <f t="shared" ca="1" si="50"/>
        <v>8.4</v>
      </c>
      <c r="G94" s="275">
        <f t="shared" ca="1" si="50"/>
        <v>0</v>
      </c>
      <c r="H94" s="275">
        <f t="shared" ca="1" si="50"/>
        <v>6.14</v>
      </c>
      <c r="I94" s="275">
        <f t="shared" ca="1" si="49"/>
        <v>5.24</v>
      </c>
      <c r="J94" s="275">
        <f t="shared" ca="1" si="50"/>
        <v>4.3600000000000003</v>
      </c>
      <c r="K94" s="275">
        <f t="shared" ca="1" si="50"/>
        <v>5.24</v>
      </c>
      <c r="L94" s="275">
        <f t="shared" ca="1" si="50"/>
        <v>6.16</v>
      </c>
      <c r="M94" s="275">
        <f t="shared" ca="1" si="50"/>
        <v>6.16</v>
      </c>
      <c r="N94" s="275">
        <f t="shared" ca="1" si="50"/>
        <v>6</v>
      </c>
      <c r="O94" s="275">
        <f t="shared" ca="1" si="50"/>
        <v>4.88</v>
      </c>
      <c r="P94" s="275">
        <f t="shared" ca="1" si="50"/>
        <v>5.24</v>
      </c>
      <c r="Q94" s="275">
        <f t="shared" ca="1" si="50"/>
        <v>0</v>
      </c>
      <c r="R94" s="275">
        <f t="shared" ca="1" si="50"/>
        <v>0</v>
      </c>
      <c r="S94" s="275">
        <f t="shared" ca="1" si="51"/>
        <v>0</v>
      </c>
      <c r="T94" s="275">
        <f t="shared" ca="1" si="51"/>
        <v>0</v>
      </c>
      <c r="U94" s="273">
        <f t="shared" si="52"/>
        <v>46235</v>
      </c>
      <c r="V94" s="274"/>
    </row>
    <row r="95" spans="1:22" ht="16.5" customHeight="1" thickTop="1" thickBot="1" x14ac:dyDescent="0.3">
      <c r="A95" s="273">
        <f>+DATA!$A$11</f>
        <v>46266</v>
      </c>
      <c r="B95" s="275">
        <f t="shared" ca="1" si="48"/>
        <v>6.72</v>
      </c>
      <c r="C95" s="275">
        <f t="shared" ca="1" si="50"/>
        <v>6.72</v>
      </c>
      <c r="D95" s="275">
        <f t="shared" ca="1" si="50"/>
        <v>6.72</v>
      </c>
      <c r="E95" s="275">
        <f t="shared" ca="1" si="50"/>
        <v>6.72</v>
      </c>
      <c r="F95" s="275">
        <f t="shared" ca="1" si="50"/>
        <v>6.72</v>
      </c>
      <c r="G95" s="275">
        <f t="shared" ca="1" si="50"/>
        <v>0</v>
      </c>
      <c r="H95" s="275">
        <f t="shared" ca="1" si="50"/>
        <v>4.91</v>
      </c>
      <c r="I95" s="275">
        <f t="shared" ca="1" si="49"/>
        <v>4.1900000000000004</v>
      </c>
      <c r="J95" s="275">
        <f t="shared" ca="1" si="50"/>
        <v>3.49</v>
      </c>
      <c r="K95" s="275">
        <f t="shared" ca="1" si="50"/>
        <v>4.1900000000000004</v>
      </c>
      <c r="L95" s="275">
        <f t="shared" ca="1" si="50"/>
        <v>4.93</v>
      </c>
      <c r="M95" s="275">
        <f t="shared" ca="1" si="50"/>
        <v>4.93</v>
      </c>
      <c r="N95" s="275">
        <f t="shared" ca="1" si="50"/>
        <v>4.8</v>
      </c>
      <c r="O95" s="275">
        <f t="shared" ca="1" si="50"/>
        <v>3.9</v>
      </c>
      <c r="P95" s="275">
        <f t="shared" ca="1" si="50"/>
        <v>4.1900000000000004</v>
      </c>
      <c r="Q95" s="275">
        <f t="shared" ca="1" si="50"/>
        <v>0</v>
      </c>
      <c r="R95" s="275">
        <f t="shared" ca="1" si="50"/>
        <v>0</v>
      </c>
      <c r="S95" s="275">
        <f t="shared" ca="1" si="51"/>
        <v>0</v>
      </c>
      <c r="T95" s="275">
        <f t="shared" ca="1" si="51"/>
        <v>0</v>
      </c>
      <c r="U95" s="273">
        <f t="shared" si="52"/>
        <v>46266</v>
      </c>
      <c r="V95" s="274"/>
    </row>
    <row r="96" spans="1:22" ht="16.5" customHeight="1" thickTop="1" thickBot="1" x14ac:dyDescent="0.3">
      <c r="A96" s="273">
        <f>+DATA!$A$12</f>
        <v>46296</v>
      </c>
      <c r="B96" s="275">
        <f t="shared" ca="1" si="48"/>
        <v>6.72</v>
      </c>
      <c r="C96" s="275">
        <f t="shared" ca="1" si="50"/>
        <v>6.72</v>
      </c>
      <c r="D96" s="275">
        <f t="shared" ca="1" si="50"/>
        <v>6.72</v>
      </c>
      <c r="E96" s="275">
        <f t="shared" ca="1" si="50"/>
        <v>6.72</v>
      </c>
      <c r="F96" s="275">
        <f t="shared" ca="1" si="50"/>
        <v>6.72</v>
      </c>
      <c r="G96" s="275">
        <f t="shared" ca="1" si="50"/>
        <v>0</v>
      </c>
      <c r="H96" s="275">
        <f t="shared" ca="1" si="50"/>
        <v>4.91</v>
      </c>
      <c r="I96" s="275">
        <f t="shared" ca="1" si="49"/>
        <v>4.1900000000000004</v>
      </c>
      <c r="J96" s="275">
        <f t="shared" ca="1" si="50"/>
        <v>3.49</v>
      </c>
      <c r="K96" s="275">
        <f t="shared" ca="1" si="50"/>
        <v>4.1900000000000004</v>
      </c>
      <c r="L96" s="275">
        <f t="shared" ca="1" si="50"/>
        <v>4.93</v>
      </c>
      <c r="M96" s="275">
        <f t="shared" ca="1" si="50"/>
        <v>4.93</v>
      </c>
      <c r="N96" s="275">
        <f t="shared" ca="1" si="50"/>
        <v>4.8</v>
      </c>
      <c r="O96" s="275">
        <f t="shared" ca="1" si="50"/>
        <v>3.9</v>
      </c>
      <c r="P96" s="275">
        <f t="shared" ca="1" si="50"/>
        <v>4.1900000000000004</v>
      </c>
      <c r="Q96" s="275">
        <f t="shared" ca="1" si="50"/>
        <v>0</v>
      </c>
      <c r="R96" s="275">
        <f t="shared" ca="1" si="50"/>
        <v>0</v>
      </c>
      <c r="S96" s="275">
        <f t="shared" ca="1" si="51"/>
        <v>0</v>
      </c>
      <c r="T96" s="275">
        <f t="shared" ca="1" si="51"/>
        <v>0</v>
      </c>
      <c r="U96" s="273">
        <f t="shared" si="52"/>
        <v>46296</v>
      </c>
      <c r="V96" s="274"/>
    </row>
    <row r="97" spans="1:22" ht="16.5" customHeight="1" thickTop="1" thickBot="1" x14ac:dyDescent="0.3">
      <c r="A97" s="273">
        <f>+DATA!$A$13</f>
        <v>46327</v>
      </c>
      <c r="B97" s="275">
        <f t="shared" ca="1" si="48"/>
        <v>8.4</v>
      </c>
      <c r="C97" s="275">
        <f t="shared" ca="1" si="50"/>
        <v>8.4</v>
      </c>
      <c r="D97" s="275">
        <f t="shared" ca="1" si="50"/>
        <v>8.4</v>
      </c>
      <c r="E97" s="275">
        <f t="shared" ca="1" si="50"/>
        <v>8.4</v>
      </c>
      <c r="F97" s="275">
        <f t="shared" ca="1" si="50"/>
        <v>8.4</v>
      </c>
      <c r="G97" s="275">
        <f t="shared" ca="1" si="50"/>
        <v>0</v>
      </c>
      <c r="H97" s="275">
        <f t="shared" ca="1" si="50"/>
        <v>6.14</v>
      </c>
      <c r="I97" s="275">
        <f t="shared" ca="1" si="49"/>
        <v>5.24</v>
      </c>
      <c r="J97" s="275">
        <f t="shared" ca="1" si="50"/>
        <v>4.3600000000000003</v>
      </c>
      <c r="K97" s="275">
        <f t="shared" ca="1" si="50"/>
        <v>5.24</v>
      </c>
      <c r="L97" s="275">
        <f t="shared" ca="1" si="50"/>
        <v>6.16</v>
      </c>
      <c r="M97" s="275">
        <f t="shared" ca="1" si="50"/>
        <v>6.16</v>
      </c>
      <c r="N97" s="275">
        <f t="shared" ca="1" si="50"/>
        <v>6</v>
      </c>
      <c r="O97" s="275">
        <f t="shared" ca="1" si="50"/>
        <v>4.88</v>
      </c>
      <c r="P97" s="275">
        <f t="shared" ca="1" si="50"/>
        <v>5.24</v>
      </c>
      <c r="Q97" s="275">
        <f t="shared" ca="1" si="50"/>
        <v>0</v>
      </c>
      <c r="R97" s="275">
        <f t="shared" ca="1" si="50"/>
        <v>0</v>
      </c>
      <c r="S97" s="275">
        <f t="shared" ca="1" si="51"/>
        <v>0</v>
      </c>
      <c r="T97" s="275">
        <f t="shared" ca="1" si="51"/>
        <v>0</v>
      </c>
      <c r="U97" s="273">
        <f t="shared" si="52"/>
        <v>46327</v>
      </c>
      <c r="V97" s="274"/>
    </row>
    <row r="98" spans="1:22" ht="16.5" customHeight="1" thickTop="1" thickBot="1" x14ac:dyDescent="0.3">
      <c r="A98" s="273">
        <f>+DATA!$A$14</f>
        <v>46357</v>
      </c>
      <c r="B98" s="275">
        <f t="shared" ca="1" si="48"/>
        <v>6.72</v>
      </c>
      <c r="C98" s="275">
        <f t="shared" ca="1" si="50"/>
        <v>6.72</v>
      </c>
      <c r="D98" s="275">
        <f t="shared" ca="1" si="50"/>
        <v>6.72</v>
      </c>
      <c r="E98" s="275">
        <f t="shared" ca="1" si="50"/>
        <v>6.72</v>
      </c>
      <c r="F98" s="275">
        <f t="shared" ca="1" si="50"/>
        <v>6.72</v>
      </c>
      <c r="G98" s="275">
        <f t="shared" ca="1" si="50"/>
        <v>0</v>
      </c>
      <c r="H98" s="275">
        <f t="shared" ca="1" si="50"/>
        <v>4.91</v>
      </c>
      <c r="I98" s="275">
        <f t="shared" ca="1" si="49"/>
        <v>4.1900000000000004</v>
      </c>
      <c r="J98" s="275">
        <f t="shared" ca="1" si="50"/>
        <v>3.49</v>
      </c>
      <c r="K98" s="275">
        <f t="shared" ca="1" si="50"/>
        <v>4.1900000000000004</v>
      </c>
      <c r="L98" s="275">
        <f t="shared" ca="1" si="50"/>
        <v>4.93</v>
      </c>
      <c r="M98" s="275">
        <f t="shared" ca="1" si="50"/>
        <v>4.93</v>
      </c>
      <c r="N98" s="275">
        <f t="shared" ca="1" si="50"/>
        <v>4.8</v>
      </c>
      <c r="O98" s="275">
        <f t="shared" ca="1" si="50"/>
        <v>3.9</v>
      </c>
      <c r="P98" s="275">
        <f t="shared" ca="1" si="50"/>
        <v>4.1900000000000004</v>
      </c>
      <c r="Q98" s="275">
        <f t="shared" ca="1" si="50"/>
        <v>0</v>
      </c>
      <c r="R98" s="275">
        <f t="shared" ca="1" si="50"/>
        <v>0</v>
      </c>
      <c r="S98" s="275">
        <f t="shared" ca="1" si="51"/>
        <v>0</v>
      </c>
      <c r="T98" s="275">
        <f t="shared" ca="1" si="51"/>
        <v>0</v>
      </c>
      <c r="U98" s="766">
        <f t="shared" si="52"/>
        <v>46357</v>
      </c>
      <c r="V98" s="767"/>
    </row>
    <row r="99" spans="1:22" ht="15.75" customHeight="1" thickBot="1" x14ac:dyDescent="0.3">
      <c r="A99" s="50"/>
      <c r="B99" s="762">
        <f ca="1">SUM(B87:B98)</f>
        <v>87.36</v>
      </c>
      <c r="C99" s="762">
        <f t="shared" ref="C99:R99" ca="1" si="53">SUM(C87:C98)</f>
        <v>87.36</v>
      </c>
      <c r="D99" s="762">
        <f t="shared" ca="1" si="53"/>
        <v>87.36</v>
      </c>
      <c r="E99" s="762">
        <f t="shared" ca="1" si="53"/>
        <v>87.36</v>
      </c>
      <c r="F99" s="762">
        <f t="shared" ca="1" si="53"/>
        <v>87.36</v>
      </c>
      <c r="G99" s="762">
        <f t="shared" ca="1" si="53"/>
        <v>12.7</v>
      </c>
      <c r="H99" s="762">
        <f t="shared" ca="1" si="53"/>
        <v>62.209999999999994</v>
      </c>
      <c r="I99" s="762">
        <f t="shared" ca="1" si="53"/>
        <v>54.48</v>
      </c>
      <c r="J99" s="762">
        <f t="shared" ca="1" si="53"/>
        <v>45.360000000000007</v>
      </c>
      <c r="K99" s="762">
        <f t="shared" ca="1" si="53"/>
        <v>54.48</v>
      </c>
      <c r="L99" s="762">
        <f t="shared" ca="1" si="53"/>
        <v>64.079999999999984</v>
      </c>
      <c r="M99" s="762">
        <f t="shared" ca="1" si="53"/>
        <v>64.079999999999984</v>
      </c>
      <c r="N99" s="762">
        <f t="shared" ca="1" si="53"/>
        <v>62.399999999999991</v>
      </c>
      <c r="O99" s="762">
        <f t="shared" ca="1" si="53"/>
        <v>50.719999999999992</v>
      </c>
      <c r="P99" s="762">
        <f t="shared" ca="1" si="53"/>
        <v>54.48</v>
      </c>
      <c r="Q99" s="762">
        <f t="shared" ca="1" si="53"/>
        <v>0</v>
      </c>
      <c r="R99" s="762">
        <f t="shared" ca="1" si="53"/>
        <v>0</v>
      </c>
      <c r="S99" s="762">
        <f t="shared" ref="S99" ca="1" si="54">SUM(S87:S98)</f>
        <v>0</v>
      </c>
      <c r="T99" s="762">
        <f t="shared" ref="T99" ca="1" si="55">SUM(T87:T98)</f>
        <v>0</v>
      </c>
      <c r="U99" s="339"/>
      <c r="V99" s="49"/>
    </row>
    <row r="100" spans="1:22" ht="16.5" customHeight="1" thickTop="1" thickBot="1" x14ac:dyDescent="0.3">
      <c r="A100" s="50" t="s">
        <v>266</v>
      </c>
      <c r="B100" s="757">
        <f ca="1">B99</f>
        <v>87.36</v>
      </c>
      <c r="C100" s="757">
        <f t="shared" ref="C100:R100" ca="1" si="56">C99</f>
        <v>87.36</v>
      </c>
      <c r="D100" s="757">
        <f t="shared" ca="1" si="56"/>
        <v>87.36</v>
      </c>
      <c r="E100" s="757">
        <f t="shared" ca="1" si="56"/>
        <v>87.36</v>
      </c>
      <c r="F100" s="757">
        <f t="shared" ca="1" si="56"/>
        <v>87.36</v>
      </c>
      <c r="G100" s="757">
        <f t="shared" ca="1" si="56"/>
        <v>12.7</v>
      </c>
      <c r="H100" s="757">
        <f t="shared" ca="1" si="56"/>
        <v>62.209999999999994</v>
      </c>
      <c r="I100" s="757">
        <f t="shared" ca="1" si="56"/>
        <v>54.48</v>
      </c>
      <c r="J100" s="757">
        <f t="shared" ca="1" si="56"/>
        <v>45.360000000000007</v>
      </c>
      <c r="K100" s="757">
        <f t="shared" ca="1" si="56"/>
        <v>54.48</v>
      </c>
      <c r="L100" s="757">
        <f t="shared" ca="1" si="56"/>
        <v>64.079999999999984</v>
      </c>
      <c r="M100" s="757">
        <f t="shared" ca="1" si="56"/>
        <v>64.079999999999984</v>
      </c>
      <c r="N100" s="757">
        <f t="shared" ca="1" si="56"/>
        <v>62.399999999999991</v>
      </c>
      <c r="O100" s="757">
        <f t="shared" ca="1" si="56"/>
        <v>50.719999999999992</v>
      </c>
      <c r="P100" s="757">
        <f t="shared" ca="1" si="56"/>
        <v>54.48</v>
      </c>
      <c r="Q100" s="757">
        <f t="shared" ca="1" si="56"/>
        <v>0</v>
      </c>
      <c r="R100" s="757">
        <f t="shared" ca="1" si="56"/>
        <v>0</v>
      </c>
      <c r="S100" s="757">
        <f t="shared" ref="S100" ca="1" si="57">S99</f>
        <v>0</v>
      </c>
      <c r="T100" s="757">
        <f t="shared" ref="T100" ca="1" si="58">T99</f>
        <v>0</v>
      </c>
      <c r="U100" s="273"/>
      <c r="V100" s="274">
        <f>SUM(V87:V98)</f>
        <v>0</v>
      </c>
    </row>
    <row r="101" spans="1:22" ht="15.75" customHeight="1" thickBot="1" x14ac:dyDescent="0.3">
      <c r="A101" s="51"/>
      <c r="B101" s="24"/>
      <c r="C101" s="24"/>
      <c r="D101" s="24"/>
      <c r="E101" s="24"/>
      <c r="F101" s="24"/>
      <c r="G101" s="24"/>
      <c r="H101" s="24"/>
      <c r="I101" s="24"/>
      <c r="J101" s="24"/>
      <c r="K101" s="24"/>
      <c r="L101" s="24"/>
      <c r="M101" s="24"/>
      <c r="N101" s="24"/>
      <c r="O101" s="24"/>
      <c r="P101" s="24"/>
      <c r="Q101" s="24"/>
      <c r="R101" s="24"/>
      <c r="S101" s="24"/>
      <c r="T101" s="24"/>
      <c r="U101" s="51"/>
      <c r="V101" s="52"/>
    </row>
    <row r="102" spans="1:22" ht="15.75" customHeight="1" thickBot="1" x14ac:dyDescent="0.3"/>
    <row r="103" spans="1:22" ht="15.75" customHeight="1" thickBot="1" x14ac:dyDescent="0.3">
      <c r="A103" s="271" t="s">
        <v>270</v>
      </c>
      <c r="B103" s="760"/>
      <c r="C103" s="760"/>
      <c r="D103" s="760"/>
      <c r="E103" s="760"/>
      <c r="F103" s="760"/>
      <c r="G103" s="760"/>
      <c r="H103" s="760"/>
      <c r="I103" s="760"/>
      <c r="J103" s="760"/>
      <c r="K103" s="760"/>
      <c r="L103" s="760"/>
      <c r="M103" s="760"/>
      <c r="N103" s="760"/>
      <c r="O103" s="760"/>
      <c r="P103" s="760"/>
      <c r="Q103" s="760"/>
      <c r="R103" s="760"/>
      <c r="S103" s="760"/>
      <c r="T103" s="760"/>
      <c r="U103" s="761"/>
      <c r="V103" s="268"/>
    </row>
    <row r="104" spans="1:22" ht="24.75" customHeight="1" thickTop="1" thickBot="1" x14ac:dyDescent="0.4">
      <c r="A104" s="278">
        <f>DATA!$A$2</f>
        <v>46023</v>
      </c>
      <c r="B104" s="778"/>
      <c r="C104" s="778"/>
      <c r="D104" s="778"/>
      <c r="E104" s="778"/>
      <c r="F104" s="778"/>
      <c r="G104" s="778"/>
      <c r="H104" s="778"/>
      <c r="I104" s="778"/>
      <c r="J104" s="778"/>
      <c r="K104" s="778"/>
      <c r="L104" s="778"/>
      <c r="M104" s="778"/>
      <c r="N104" s="778"/>
      <c r="O104" s="778"/>
      <c r="P104" s="778"/>
      <c r="Q104" s="778"/>
      <c r="R104" s="778"/>
      <c r="S104" s="778"/>
      <c r="T104" s="778"/>
      <c r="U104" s="759"/>
      <c r="V104" s="269"/>
    </row>
    <row r="105" spans="1:22" ht="15.75" customHeight="1" thickBot="1" x14ac:dyDescent="0.3">
      <c r="A105" s="25" t="s">
        <v>262</v>
      </c>
      <c r="B105" s="777">
        <f>+B85</f>
        <v>2018001</v>
      </c>
      <c r="C105" s="777">
        <f t="shared" ref="C105:R105" si="59">+C85</f>
        <v>2018002</v>
      </c>
      <c r="D105" s="777">
        <f t="shared" si="59"/>
        <v>2024006</v>
      </c>
      <c r="E105" s="777">
        <f t="shared" si="59"/>
        <v>2025008</v>
      </c>
      <c r="F105" s="777">
        <f t="shared" si="59"/>
        <v>2025009</v>
      </c>
      <c r="G105" s="777">
        <f t="shared" si="59"/>
        <v>2020005</v>
      </c>
      <c r="H105" s="777">
        <f t="shared" si="59"/>
        <v>2018004</v>
      </c>
      <c r="I105" s="777">
        <f t="shared" si="59"/>
        <v>2021009</v>
      </c>
      <c r="J105" s="777">
        <f t="shared" si="59"/>
        <v>2023005</v>
      </c>
      <c r="K105" s="777">
        <f t="shared" si="59"/>
        <v>2023006</v>
      </c>
      <c r="L105" s="777">
        <f t="shared" si="59"/>
        <v>2023007</v>
      </c>
      <c r="M105" s="777">
        <f t="shared" si="59"/>
        <v>2023008</v>
      </c>
      <c r="N105" s="777">
        <f t="shared" si="59"/>
        <v>2025001</v>
      </c>
      <c r="O105" s="777">
        <f t="shared" si="59"/>
        <v>2025003</v>
      </c>
      <c r="P105" s="777">
        <f t="shared" si="59"/>
        <v>2025005</v>
      </c>
      <c r="Q105" s="777">
        <f t="shared" si="59"/>
        <v>2024002</v>
      </c>
      <c r="R105" s="777">
        <f t="shared" si="59"/>
        <v>2025006</v>
      </c>
      <c r="S105" s="777">
        <f t="shared" ref="S105:T105" si="60">+S85</f>
        <v>2025007</v>
      </c>
      <c r="T105" s="777">
        <f t="shared" si="60"/>
        <v>2025011</v>
      </c>
      <c r="U105" s="764" t="str">
        <f>+A103</f>
        <v>Overtime Pay</v>
      </c>
      <c r="V105" s="765"/>
    </row>
    <row r="106" spans="1:22" ht="15.75" customHeight="1" thickBot="1" x14ac:dyDescent="0.3">
      <c r="A106" s="25" t="s">
        <v>263</v>
      </c>
      <c r="B106" s="270" t="str">
        <f>IF(B$5=0,0,INDEX([1]!empdata,MATCH(B$5,[1]!empid,0),16))</f>
        <v>RGaldes</v>
      </c>
      <c r="C106" s="270" t="str">
        <f>IF(C$5=0,0,INDEX([1]!empdata,MATCH(C$5,[1]!empid,0),16))</f>
        <v>LCarini</v>
      </c>
      <c r="D106" s="270" t="str">
        <f>IF(D$5=0,0,INDEX([1]!empdata,MATCH(D$5,[1]!empid,0),16))</f>
        <v>KMizzi</v>
      </c>
      <c r="E106" s="270" t="str">
        <f>IF(E$5=0,0,INDEX([1]!empdata,MATCH(E$5,[1]!empid,0),16))</f>
        <v>RCamilleri</v>
      </c>
      <c r="F106" s="270" t="str">
        <f>IF(F$5=0,0,INDEX([1]!empdata,MATCH(F$5,[1]!empid,0),16))</f>
        <v>DMifsud_Ceci</v>
      </c>
      <c r="G106" s="270" t="str">
        <f>IF(G$5=0,0,INDEX([1]!empdata,MATCH(G$5,[1]!empid,0),16))</f>
        <v>MCamilleri</v>
      </c>
      <c r="H106" s="270" t="str">
        <f>IF(H$5=0,0,INDEX([1]!empdata,MATCH(H$5,[1]!empid,0),16))</f>
        <v>LBonnici</v>
      </c>
      <c r="I106" s="270" t="str">
        <f>IF(I$5=0,0,INDEX([1]!empdata,MATCH(I$5,[1]!empid,0),16))</f>
        <v>RAttard</v>
      </c>
      <c r="J106" s="270" t="str">
        <f>IF(J$5=0,0,INDEX([1]!empdata,MATCH(J$5,[1]!empid,0),16))</f>
        <v>RSreejith</v>
      </c>
      <c r="K106" s="270" t="str">
        <f>IF(K$5=0,0,INDEX([1]!empdata,MATCH(K$5,[1]!empid,0),16))</f>
        <v>RMallan_Albani</v>
      </c>
      <c r="L106" s="270" t="str">
        <f>IF(L$5=0,0,INDEX([1]!empdata,MATCH(L$5,[1]!empid,0),16))</f>
        <v>AHaneena</v>
      </c>
      <c r="M106" s="270" t="str">
        <f>IF(M$5=0,0,INDEX([1]!empdata,MATCH(M$5,[1]!empid,0),16))</f>
        <v>ELama</v>
      </c>
      <c r="N106" s="270" t="str">
        <f>IF(N$5=0,0,INDEX([1]!empdata,MATCH(N$5,[1]!empid,0),16))</f>
        <v>MAcero_Garzon</v>
      </c>
      <c r="O106" s="270" t="str">
        <f>IF(O$5=0,0,INDEX([1]!empdata,MATCH(O$5,[1]!empid,0),16))</f>
        <v>RAcharya</v>
      </c>
      <c r="P106" s="270" t="str">
        <f>IF(P$5=0,0,INDEX([1]!empdata,MATCH(P$5,[1]!empid,0),16))</f>
        <v>AKunnamkudath</v>
      </c>
      <c r="Q106" s="270" t="str">
        <f>IF(Q$5=0,0,INDEX([1]!empdata,MATCH(Q$5,[1]!empid,0),16))</f>
        <v>MEllul</v>
      </c>
      <c r="R106" s="270" t="str">
        <f>IF(R$5=0,0,INDEX([1]!empdata,MATCH(R$5,[1]!empid,0),16))</f>
        <v>ECurmi</v>
      </c>
      <c r="S106" s="270" t="str">
        <f>IF(S$5=0,0,INDEX([1]!empdata,MATCH(S$5,[1]!empid,0),16))</f>
        <v>AFalzon</v>
      </c>
      <c r="T106" s="270" t="str">
        <f>IF(T$5=0,0,INDEX([1]!empdata,MATCH(T$5,[1]!empid,0),16))</f>
        <v>ZMifsud</v>
      </c>
      <c r="U106" s="763" t="str">
        <f>+U105</f>
        <v>Overtime Pay</v>
      </c>
      <c r="V106" s="272" t="s">
        <v>264</v>
      </c>
    </row>
    <row r="107" spans="1:22" ht="16.5" customHeight="1" thickTop="1" thickBot="1" x14ac:dyDescent="0.3">
      <c r="A107" s="273">
        <f>+DATA!$A$3</f>
        <v>46023</v>
      </c>
      <c r="B107" s="275">
        <f t="shared" ref="B107:Q118" ca="1" si="61">IF(B$5=0,0,INDEX((INDIRECT(B$6&amp;"!INDAT")),(MATCH($A107,(INDIRECT(B$6&amp;"!$O$2:$O$15")),0)),16))</f>
        <v>0</v>
      </c>
      <c r="C107" s="275">
        <f t="shared" ca="1" si="61"/>
        <v>0</v>
      </c>
      <c r="D107" s="275">
        <f t="shared" ca="1" si="61"/>
        <v>0</v>
      </c>
      <c r="E107" s="275">
        <f t="shared" ca="1" si="61"/>
        <v>0</v>
      </c>
      <c r="F107" s="275">
        <f t="shared" ca="1" si="61"/>
        <v>0</v>
      </c>
      <c r="G107" s="275">
        <f t="shared" ca="1" si="61"/>
        <v>0</v>
      </c>
      <c r="H107" s="275">
        <f t="shared" ca="1" si="61"/>
        <v>0</v>
      </c>
      <c r="I107" s="275">
        <f t="shared" ref="I107:I118" ca="1" si="62">IF(I$5=0,0,INDEX((INDIRECT(I$6&amp;"!INDAT")),(MATCH($A107,(INDIRECT(I$6&amp;"!$O$2:$O$15")),0)),16))</f>
        <v>0</v>
      </c>
      <c r="J107" s="275">
        <f t="shared" ca="1" si="61"/>
        <v>0</v>
      </c>
      <c r="K107" s="275">
        <f t="shared" ca="1" si="61"/>
        <v>0</v>
      </c>
      <c r="L107" s="275">
        <f t="shared" ca="1" si="61"/>
        <v>0</v>
      </c>
      <c r="M107" s="275">
        <f t="shared" ca="1" si="61"/>
        <v>0</v>
      </c>
      <c r="N107" s="275">
        <f t="shared" ca="1" si="61"/>
        <v>0</v>
      </c>
      <c r="O107" s="275">
        <f t="shared" ca="1" si="61"/>
        <v>0</v>
      </c>
      <c r="P107" s="275">
        <f t="shared" ca="1" si="61"/>
        <v>0</v>
      </c>
      <c r="Q107" s="275">
        <f t="shared" ca="1" si="61"/>
        <v>0</v>
      </c>
      <c r="R107" s="275">
        <f t="shared" ref="C107:S118" ca="1" si="63">IF(R$5=0,0,INDEX((INDIRECT(R$6&amp;"!INDAT")),(MATCH($A107,(INDIRECT(R$6&amp;"!$O$2:$O$15")),0)),16))</f>
        <v>0</v>
      </c>
      <c r="S107" s="275">
        <f t="shared" ca="1" si="63"/>
        <v>0</v>
      </c>
      <c r="T107" s="275">
        <f t="shared" ref="S107:T118" ca="1" si="64">IF(T$5=0,0,INDEX((INDIRECT(T$6&amp;"!INDAT")),(MATCH($A107,(INDIRECT(T$6&amp;"!$O$2:$O$15")),0)),16))</f>
        <v>0</v>
      </c>
      <c r="U107" s="273">
        <f t="shared" ref="U107:U118" si="65">+A107</f>
        <v>46023</v>
      </c>
      <c r="V107" s="274"/>
    </row>
    <row r="108" spans="1:22" ht="16.5" customHeight="1" thickTop="1" thickBot="1" x14ac:dyDescent="0.3">
      <c r="A108" s="273">
        <f>+DATA!$A$4</f>
        <v>46054</v>
      </c>
      <c r="B108" s="275">
        <f t="shared" ca="1" si="61"/>
        <v>0</v>
      </c>
      <c r="C108" s="275">
        <f t="shared" ca="1" si="63"/>
        <v>0</v>
      </c>
      <c r="D108" s="275">
        <f t="shared" ca="1" si="63"/>
        <v>0</v>
      </c>
      <c r="E108" s="275">
        <f t="shared" ca="1" si="63"/>
        <v>0</v>
      </c>
      <c r="F108" s="275">
        <f t="shared" ca="1" si="63"/>
        <v>0</v>
      </c>
      <c r="G108" s="275">
        <f t="shared" ca="1" si="63"/>
        <v>0</v>
      </c>
      <c r="H108" s="275">
        <f t="shared" ca="1" si="63"/>
        <v>0</v>
      </c>
      <c r="I108" s="275">
        <f t="shared" ca="1" si="62"/>
        <v>0</v>
      </c>
      <c r="J108" s="275">
        <f t="shared" ca="1" si="63"/>
        <v>0</v>
      </c>
      <c r="K108" s="275">
        <f t="shared" ca="1" si="63"/>
        <v>0</v>
      </c>
      <c r="L108" s="275">
        <f t="shared" ca="1" si="63"/>
        <v>0</v>
      </c>
      <c r="M108" s="275">
        <f t="shared" ca="1" si="63"/>
        <v>0</v>
      </c>
      <c r="N108" s="275">
        <f t="shared" ca="1" si="63"/>
        <v>0</v>
      </c>
      <c r="O108" s="275">
        <f t="shared" ca="1" si="63"/>
        <v>0</v>
      </c>
      <c r="P108" s="275">
        <f t="shared" ca="1" si="63"/>
        <v>0</v>
      </c>
      <c r="Q108" s="275">
        <f t="shared" ca="1" si="63"/>
        <v>0</v>
      </c>
      <c r="R108" s="275">
        <f t="shared" ca="1" si="63"/>
        <v>0</v>
      </c>
      <c r="S108" s="275">
        <f t="shared" ca="1" si="64"/>
        <v>0</v>
      </c>
      <c r="T108" s="275">
        <f t="shared" ca="1" si="64"/>
        <v>0</v>
      </c>
      <c r="U108" s="273">
        <f t="shared" si="65"/>
        <v>46054</v>
      </c>
      <c r="V108" s="274"/>
    </row>
    <row r="109" spans="1:22" ht="16.5" customHeight="1" thickTop="1" thickBot="1" x14ac:dyDescent="0.3">
      <c r="A109" s="273">
        <f>+DATA!$A$5</f>
        <v>46082</v>
      </c>
      <c r="B109" s="275">
        <f t="shared" ca="1" si="61"/>
        <v>0</v>
      </c>
      <c r="C109" s="275">
        <f t="shared" ca="1" si="63"/>
        <v>0</v>
      </c>
      <c r="D109" s="275">
        <f t="shared" ca="1" si="63"/>
        <v>0</v>
      </c>
      <c r="E109" s="275">
        <f t="shared" ca="1" si="63"/>
        <v>0</v>
      </c>
      <c r="F109" s="275">
        <f t="shared" ca="1" si="63"/>
        <v>0</v>
      </c>
      <c r="G109" s="275">
        <f t="shared" ca="1" si="63"/>
        <v>0</v>
      </c>
      <c r="H109" s="275">
        <f t="shared" ca="1" si="63"/>
        <v>0</v>
      </c>
      <c r="I109" s="275">
        <f t="shared" ca="1" si="62"/>
        <v>0</v>
      </c>
      <c r="J109" s="275">
        <f t="shared" ca="1" si="63"/>
        <v>0</v>
      </c>
      <c r="K109" s="275">
        <f t="shared" ca="1" si="63"/>
        <v>0</v>
      </c>
      <c r="L109" s="275">
        <f t="shared" ca="1" si="63"/>
        <v>0</v>
      </c>
      <c r="M109" s="275">
        <f t="shared" ca="1" si="63"/>
        <v>0</v>
      </c>
      <c r="N109" s="275">
        <f t="shared" ca="1" si="63"/>
        <v>0</v>
      </c>
      <c r="O109" s="275">
        <f t="shared" ca="1" si="63"/>
        <v>0</v>
      </c>
      <c r="P109" s="275">
        <f t="shared" ca="1" si="63"/>
        <v>0</v>
      </c>
      <c r="Q109" s="275">
        <f t="shared" ca="1" si="63"/>
        <v>0</v>
      </c>
      <c r="R109" s="275">
        <f t="shared" ca="1" si="63"/>
        <v>0</v>
      </c>
      <c r="S109" s="275">
        <f t="shared" ca="1" si="64"/>
        <v>0</v>
      </c>
      <c r="T109" s="275">
        <f t="shared" ca="1" si="64"/>
        <v>0</v>
      </c>
      <c r="U109" s="273">
        <f t="shared" si="65"/>
        <v>46082</v>
      </c>
      <c r="V109" s="274"/>
    </row>
    <row r="110" spans="1:22" ht="16.5" customHeight="1" thickTop="1" thickBot="1" x14ac:dyDescent="0.3">
      <c r="A110" s="273">
        <f>+DATA!$A$6</f>
        <v>46113</v>
      </c>
      <c r="B110" s="275">
        <f t="shared" ca="1" si="61"/>
        <v>0</v>
      </c>
      <c r="C110" s="275">
        <f t="shared" ca="1" si="63"/>
        <v>0</v>
      </c>
      <c r="D110" s="275">
        <f t="shared" ca="1" si="63"/>
        <v>0</v>
      </c>
      <c r="E110" s="275">
        <f t="shared" ca="1" si="63"/>
        <v>0</v>
      </c>
      <c r="F110" s="275">
        <f t="shared" ca="1" si="63"/>
        <v>0</v>
      </c>
      <c r="G110" s="275">
        <f t="shared" ca="1" si="63"/>
        <v>0</v>
      </c>
      <c r="H110" s="275">
        <f t="shared" ca="1" si="63"/>
        <v>0</v>
      </c>
      <c r="I110" s="275">
        <f t="shared" ca="1" si="62"/>
        <v>0</v>
      </c>
      <c r="J110" s="275">
        <f t="shared" ca="1" si="63"/>
        <v>0</v>
      </c>
      <c r="K110" s="275">
        <f t="shared" ca="1" si="63"/>
        <v>0</v>
      </c>
      <c r="L110" s="275">
        <f t="shared" ca="1" si="63"/>
        <v>0</v>
      </c>
      <c r="M110" s="275">
        <f t="shared" ca="1" si="63"/>
        <v>0</v>
      </c>
      <c r="N110" s="275">
        <f t="shared" ca="1" si="63"/>
        <v>0</v>
      </c>
      <c r="O110" s="275">
        <f t="shared" ca="1" si="63"/>
        <v>0</v>
      </c>
      <c r="P110" s="275">
        <f t="shared" ca="1" si="63"/>
        <v>0</v>
      </c>
      <c r="Q110" s="275">
        <f t="shared" ca="1" si="63"/>
        <v>0</v>
      </c>
      <c r="R110" s="275">
        <f t="shared" ca="1" si="63"/>
        <v>0</v>
      </c>
      <c r="S110" s="275">
        <f t="shared" ca="1" si="64"/>
        <v>0</v>
      </c>
      <c r="T110" s="275">
        <f t="shared" ca="1" si="64"/>
        <v>0</v>
      </c>
      <c r="U110" s="273">
        <f t="shared" si="65"/>
        <v>46113</v>
      </c>
      <c r="V110" s="274"/>
    </row>
    <row r="111" spans="1:22" ht="16.5" customHeight="1" thickTop="1" thickBot="1" x14ac:dyDescent="0.3">
      <c r="A111" s="273">
        <f>+DATA!$A$7</f>
        <v>46143</v>
      </c>
      <c r="B111" s="275">
        <f t="shared" ca="1" si="61"/>
        <v>0</v>
      </c>
      <c r="C111" s="275">
        <f t="shared" ca="1" si="63"/>
        <v>0</v>
      </c>
      <c r="D111" s="275">
        <f t="shared" ca="1" si="63"/>
        <v>0</v>
      </c>
      <c r="E111" s="275">
        <f t="shared" ca="1" si="63"/>
        <v>0</v>
      </c>
      <c r="F111" s="275">
        <f t="shared" ca="1" si="63"/>
        <v>0</v>
      </c>
      <c r="G111" s="275">
        <f t="shared" ca="1" si="63"/>
        <v>0</v>
      </c>
      <c r="H111" s="275">
        <f t="shared" ca="1" si="63"/>
        <v>0</v>
      </c>
      <c r="I111" s="275">
        <f t="shared" ca="1" si="62"/>
        <v>0</v>
      </c>
      <c r="J111" s="275">
        <f t="shared" ca="1" si="63"/>
        <v>0</v>
      </c>
      <c r="K111" s="275">
        <f t="shared" ca="1" si="63"/>
        <v>0</v>
      </c>
      <c r="L111" s="275">
        <f t="shared" ca="1" si="63"/>
        <v>0</v>
      </c>
      <c r="M111" s="275">
        <f t="shared" ca="1" si="63"/>
        <v>0</v>
      </c>
      <c r="N111" s="275">
        <f t="shared" ca="1" si="63"/>
        <v>0</v>
      </c>
      <c r="O111" s="275">
        <f t="shared" ca="1" si="63"/>
        <v>0</v>
      </c>
      <c r="P111" s="275">
        <f t="shared" ca="1" si="63"/>
        <v>0</v>
      </c>
      <c r="Q111" s="275">
        <f t="shared" ca="1" si="63"/>
        <v>0</v>
      </c>
      <c r="R111" s="275">
        <f t="shared" ca="1" si="63"/>
        <v>0</v>
      </c>
      <c r="S111" s="275">
        <f t="shared" ca="1" si="64"/>
        <v>0</v>
      </c>
      <c r="T111" s="275">
        <f t="shared" ca="1" si="64"/>
        <v>0</v>
      </c>
      <c r="U111" s="273">
        <f t="shared" si="65"/>
        <v>46143</v>
      </c>
      <c r="V111" s="274"/>
    </row>
    <row r="112" spans="1:22" ht="16.5" customHeight="1" thickTop="1" thickBot="1" x14ac:dyDescent="0.3">
      <c r="A112" s="273">
        <f>+DATA!$A$8</f>
        <v>46174</v>
      </c>
      <c r="B112" s="275">
        <f t="shared" ca="1" si="61"/>
        <v>0</v>
      </c>
      <c r="C112" s="275">
        <f t="shared" ca="1" si="63"/>
        <v>0</v>
      </c>
      <c r="D112" s="275">
        <f t="shared" ca="1" si="63"/>
        <v>0</v>
      </c>
      <c r="E112" s="275">
        <f t="shared" ca="1" si="63"/>
        <v>0</v>
      </c>
      <c r="F112" s="275">
        <f t="shared" ca="1" si="63"/>
        <v>0</v>
      </c>
      <c r="G112" s="275">
        <f t="shared" ca="1" si="63"/>
        <v>0</v>
      </c>
      <c r="H112" s="275">
        <f t="shared" ca="1" si="63"/>
        <v>0</v>
      </c>
      <c r="I112" s="275">
        <f t="shared" ca="1" si="62"/>
        <v>0</v>
      </c>
      <c r="J112" s="275">
        <f t="shared" ca="1" si="63"/>
        <v>0</v>
      </c>
      <c r="K112" s="275">
        <f t="shared" ca="1" si="63"/>
        <v>0</v>
      </c>
      <c r="L112" s="275">
        <f t="shared" ca="1" si="63"/>
        <v>0</v>
      </c>
      <c r="M112" s="275">
        <f t="shared" ca="1" si="63"/>
        <v>0</v>
      </c>
      <c r="N112" s="275">
        <f t="shared" ca="1" si="63"/>
        <v>0</v>
      </c>
      <c r="O112" s="275">
        <f t="shared" ca="1" si="63"/>
        <v>0</v>
      </c>
      <c r="P112" s="275">
        <f t="shared" ca="1" si="63"/>
        <v>0</v>
      </c>
      <c r="Q112" s="275">
        <f t="shared" ca="1" si="63"/>
        <v>0</v>
      </c>
      <c r="R112" s="275">
        <f t="shared" ca="1" si="63"/>
        <v>0</v>
      </c>
      <c r="S112" s="275">
        <f t="shared" ca="1" si="64"/>
        <v>0</v>
      </c>
      <c r="T112" s="275">
        <f t="shared" ca="1" si="64"/>
        <v>0</v>
      </c>
      <c r="U112" s="273">
        <f t="shared" si="65"/>
        <v>46174</v>
      </c>
      <c r="V112" s="274"/>
    </row>
    <row r="113" spans="1:22" ht="16.5" customHeight="1" thickTop="1" thickBot="1" x14ac:dyDescent="0.3">
      <c r="A113" s="273">
        <f>+DATA!$A$9</f>
        <v>46204</v>
      </c>
      <c r="B113" s="275">
        <f t="shared" ca="1" si="61"/>
        <v>0</v>
      </c>
      <c r="C113" s="275">
        <f t="shared" ca="1" si="63"/>
        <v>0</v>
      </c>
      <c r="D113" s="275">
        <f t="shared" ca="1" si="63"/>
        <v>0</v>
      </c>
      <c r="E113" s="275">
        <f t="shared" ca="1" si="63"/>
        <v>0</v>
      </c>
      <c r="F113" s="275">
        <f t="shared" ca="1" si="63"/>
        <v>0</v>
      </c>
      <c r="G113" s="275">
        <f t="shared" ca="1" si="63"/>
        <v>0</v>
      </c>
      <c r="H113" s="275">
        <f t="shared" ca="1" si="63"/>
        <v>0</v>
      </c>
      <c r="I113" s="275">
        <f t="shared" ca="1" si="62"/>
        <v>0</v>
      </c>
      <c r="J113" s="275">
        <f t="shared" ca="1" si="63"/>
        <v>0</v>
      </c>
      <c r="K113" s="275">
        <f t="shared" ca="1" si="63"/>
        <v>0</v>
      </c>
      <c r="L113" s="275">
        <f t="shared" ca="1" si="63"/>
        <v>0</v>
      </c>
      <c r="M113" s="275">
        <f t="shared" ca="1" si="63"/>
        <v>0</v>
      </c>
      <c r="N113" s="275">
        <f t="shared" ca="1" si="63"/>
        <v>0</v>
      </c>
      <c r="O113" s="275">
        <f t="shared" ca="1" si="63"/>
        <v>0</v>
      </c>
      <c r="P113" s="275">
        <f t="shared" ca="1" si="63"/>
        <v>0</v>
      </c>
      <c r="Q113" s="275">
        <f t="shared" ca="1" si="63"/>
        <v>0</v>
      </c>
      <c r="R113" s="275">
        <f t="shared" ca="1" si="63"/>
        <v>0</v>
      </c>
      <c r="S113" s="275">
        <f t="shared" ca="1" si="64"/>
        <v>0</v>
      </c>
      <c r="T113" s="275">
        <f t="shared" ca="1" si="64"/>
        <v>0</v>
      </c>
      <c r="U113" s="273">
        <f t="shared" si="65"/>
        <v>46204</v>
      </c>
      <c r="V113" s="274"/>
    </row>
    <row r="114" spans="1:22" ht="16.5" customHeight="1" thickTop="1" thickBot="1" x14ac:dyDescent="0.3">
      <c r="A114" s="273">
        <f>+DATA!$A$10</f>
        <v>46235</v>
      </c>
      <c r="B114" s="275">
        <f t="shared" ca="1" si="61"/>
        <v>0</v>
      </c>
      <c r="C114" s="275">
        <f t="shared" ca="1" si="63"/>
        <v>0</v>
      </c>
      <c r="D114" s="275">
        <f t="shared" ca="1" si="63"/>
        <v>0</v>
      </c>
      <c r="E114" s="275">
        <f t="shared" ca="1" si="63"/>
        <v>0</v>
      </c>
      <c r="F114" s="275">
        <f t="shared" ca="1" si="63"/>
        <v>0</v>
      </c>
      <c r="G114" s="275">
        <f t="shared" ca="1" si="63"/>
        <v>0</v>
      </c>
      <c r="H114" s="275">
        <f t="shared" ca="1" si="63"/>
        <v>0</v>
      </c>
      <c r="I114" s="275">
        <f t="shared" ca="1" si="62"/>
        <v>0</v>
      </c>
      <c r="J114" s="275">
        <f t="shared" ca="1" si="63"/>
        <v>0</v>
      </c>
      <c r="K114" s="275">
        <f t="shared" ca="1" si="63"/>
        <v>0</v>
      </c>
      <c r="L114" s="275">
        <f t="shared" ca="1" si="63"/>
        <v>0</v>
      </c>
      <c r="M114" s="275">
        <f t="shared" ca="1" si="63"/>
        <v>0</v>
      </c>
      <c r="N114" s="275">
        <f t="shared" ca="1" si="63"/>
        <v>0</v>
      </c>
      <c r="O114" s="275">
        <f t="shared" ca="1" si="63"/>
        <v>0</v>
      </c>
      <c r="P114" s="275">
        <f t="shared" ca="1" si="63"/>
        <v>0</v>
      </c>
      <c r="Q114" s="275">
        <f t="shared" ca="1" si="63"/>
        <v>0</v>
      </c>
      <c r="R114" s="275">
        <f t="shared" ca="1" si="63"/>
        <v>0</v>
      </c>
      <c r="S114" s="275">
        <f t="shared" ca="1" si="64"/>
        <v>0</v>
      </c>
      <c r="T114" s="275">
        <f t="shared" ca="1" si="64"/>
        <v>0</v>
      </c>
      <c r="U114" s="273">
        <f t="shared" si="65"/>
        <v>46235</v>
      </c>
      <c r="V114" s="274"/>
    </row>
    <row r="115" spans="1:22" ht="16.5" customHeight="1" thickTop="1" thickBot="1" x14ac:dyDescent="0.3">
      <c r="A115" s="273">
        <f>+DATA!$A$11</f>
        <v>46266</v>
      </c>
      <c r="B115" s="275">
        <f t="shared" ca="1" si="61"/>
        <v>0</v>
      </c>
      <c r="C115" s="275">
        <f t="shared" ca="1" si="63"/>
        <v>0</v>
      </c>
      <c r="D115" s="275">
        <f t="shared" ca="1" si="63"/>
        <v>0</v>
      </c>
      <c r="E115" s="275">
        <f t="shared" ca="1" si="63"/>
        <v>0</v>
      </c>
      <c r="F115" s="275">
        <f t="shared" ca="1" si="63"/>
        <v>0</v>
      </c>
      <c r="G115" s="275">
        <f t="shared" ca="1" si="63"/>
        <v>0</v>
      </c>
      <c r="H115" s="275">
        <f t="shared" ca="1" si="63"/>
        <v>0</v>
      </c>
      <c r="I115" s="275">
        <f t="shared" ca="1" si="62"/>
        <v>0</v>
      </c>
      <c r="J115" s="275">
        <f t="shared" ca="1" si="63"/>
        <v>0</v>
      </c>
      <c r="K115" s="275">
        <f t="shared" ca="1" si="63"/>
        <v>0</v>
      </c>
      <c r="L115" s="275">
        <f t="shared" ca="1" si="63"/>
        <v>0</v>
      </c>
      <c r="M115" s="275">
        <f t="shared" ca="1" si="63"/>
        <v>0</v>
      </c>
      <c r="N115" s="275">
        <f t="shared" ca="1" si="63"/>
        <v>0</v>
      </c>
      <c r="O115" s="275">
        <f t="shared" ca="1" si="63"/>
        <v>0</v>
      </c>
      <c r="P115" s="275">
        <f t="shared" ca="1" si="63"/>
        <v>0</v>
      </c>
      <c r="Q115" s="275">
        <f t="shared" ca="1" si="63"/>
        <v>0</v>
      </c>
      <c r="R115" s="275">
        <f t="shared" ca="1" si="63"/>
        <v>0</v>
      </c>
      <c r="S115" s="275">
        <f t="shared" ca="1" si="64"/>
        <v>0</v>
      </c>
      <c r="T115" s="275">
        <f t="shared" ca="1" si="64"/>
        <v>0</v>
      </c>
      <c r="U115" s="273">
        <f t="shared" si="65"/>
        <v>46266</v>
      </c>
      <c r="V115" s="274"/>
    </row>
    <row r="116" spans="1:22" ht="16.5" customHeight="1" thickTop="1" thickBot="1" x14ac:dyDescent="0.3">
      <c r="A116" s="273">
        <f>+DATA!$A$12</f>
        <v>46296</v>
      </c>
      <c r="B116" s="275">
        <f t="shared" ca="1" si="61"/>
        <v>0</v>
      </c>
      <c r="C116" s="275">
        <f t="shared" ca="1" si="63"/>
        <v>0</v>
      </c>
      <c r="D116" s="275">
        <f t="shared" ca="1" si="63"/>
        <v>0</v>
      </c>
      <c r="E116" s="275">
        <f t="shared" ca="1" si="63"/>
        <v>0</v>
      </c>
      <c r="F116" s="275">
        <f t="shared" ca="1" si="63"/>
        <v>0</v>
      </c>
      <c r="G116" s="275">
        <f t="shared" ca="1" si="63"/>
        <v>0</v>
      </c>
      <c r="H116" s="275">
        <f t="shared" ca="1" si="63"/>
        <v>0</v>
      </c>
      <c r="I116" s="275">
        <f t="shared" ca="1" si="62"/>
        <v>0</v>
      </c>
      <c r="J116" s="275">
        <f t="shared" ca="1" si="63"/>
        <v>0</v>
      </c>
      <c r="K116" s="275">
        <f t="shared" ca="1" si="63"/>
        <v>0</v>
      </c>
      <c r="L116" s="275">
        <f t="shared" ca="1" si="63"/>
        <v>0</v>
      </c>
      <c r="M116" s="275">
        <f t="shared" ca="1" si="63"/>
        <v>0</v>
      </c>
      <c r="N116" s="275">
        <f t="shared" ca="1" si="63"/>
        <v>0</v>
      </c>
      <c r="O116" s="275">
        <f t="shared" ca="1" si="63"/>
        <v>0</v>
      </c>
      <c r="P116" s="275">
        <f t="shared" ca="1" si="63"/>
        <v>0</v>
      </c>
      <c r="Q116" s="275">
        <f t="shared" ca="1" si="63"/>
        <v>0</v>
      </c>
      <c r="R116" s="275">
        <f t="shared" ca="1" si="63"/>
        <v>0</v>
      </c>
      <c r="S116" s="275">
        <f t="shared" ca="1" si="64"/>
        <v>0</v>
      </c>
      <c r="T116" s="275">
        <f t="shared" ca="1" si="64"/>
        <v>0</v>
      </c>
      <c r="U116" s="273">
        <f t="shared" si="65"/>
        <v>46296</v>
      </c>
      <c r="V116" s="274"/>
    </row>
    <row r="117" spans="1:22" ht="16.5" customHeight="1" thickTop="1" thickBot="1" x14ac:dyDescent="0.3">
      <c r="A117" s="273">
        <f>+DATA!$A$13</f>
        <v>46327</v>
      </c>
      <c r="B117" s="275">
        <f t="shared" ca="1" si="61"/>
        <v>0</v>
      </c>
      <c r="C117" s="275">
        <f t="shared" ca="1" si="63"/>
        <v>0</v>
      </c>
      <c r="D117" s="275">
        <f t="shared" ca="1" si="63"/>
        <v>0</v>
      </c>
      <c r="E117" s="275">
        <f t="shared" ca="1" si="63"/>
        <v>0</v>
      </c>
      <c r="F117" s="275">
        <f t="shared" ca="1" si="63"/>
        <v>0</v>
      </c>
      <c r="G117" s="275">
        <f t="shared" ca="1" si="63"/>
        <v>0</v>
      </c>
      <c r="H117" s="275">
        <f t="shared" ca="1" si="63"/>
        <v>0</v>
      </c>
      <c r="I117" s="275">
        <f t="shared" ca="1" si="62"/>
        <v>0</v>
      </c>
      <c r="J117" s="275">
        <f t="shared" ca="1" si="63"/>
        <v>0</v>
      </c>
      <c r="K117" s="275">
        <f t="shared" ca="1" si="63"/>
        <v>0</v>
      </c>
      <c r="L117" s="275">
        <f t="shared" ca="1" si="63"/>
        <v>0</v>
      </c>
      <c r="M117" s="275">
        <f t="shared" ca="1" si="63"/>
        <v>0</v>
      </c>
      <c r="N117" s="275">
        <f t="shared" ca="1" si="63"/>
        <v>0</v>
      </c>
      <c r="O117" s="275">
        <f t="shared" ca="1" si="63"/>
        <v>0</v>
      </c>
      <c r="P117" s="275">
        <f t="shared" ca="1" si="63"/>
        <v>0</v>
      </c>
      <c r="Q117" s="275">
        <f t="shared" ca="1" si="63"/>
        <v>0</v>
      </c>
      <c r="R117" s="275">
        <f t="shared" ca="1" si="63"/>
        <v>0</v>
      </c>
      <c r="S117" s="275">
        <f t="shared" ca="1" si="64"/>
        <v>0</v>
      </c>
      <c r="T117" s="275">
        <f t="shared" ca="1" si="64"/>
        <v>0</v>
      </c>
      <c r="U117" s="273">
        <f t="shared" si="65"/>
        <v>46327</v>
      </c>
      <c r="V117" s="274"/>
    </row>
    <row r="118" spans="1:22" ht="16.5" customHeight="1" thickTop="1" thickBot="1" x14ac:dyDescent="0.3">
      <c r="A118" s="273">
        <f>+DATA!$A$14</f>
        <v>46357</v>
      </c>
      <c r="B118" s="275">
        <f t="shared" ca="1" si="61"/>
        <v>0</v>
      </c>
      <c r="C118" s="275">
        <f t="shared" ca="1" si="63"/>
        <v>0</v>
      </c>
      <c r="D118" s="275">
        <f t="shared" ca="1" si="63"/>
        <v>0</v>
      </c>
      <c r="E118" s="275">
        <f t="shared" ca="1" si="63"/>
        <v>0</v>
      </c>
      <c r="F118" s="275">
        <f t="shared" ca="1" si="63"/>
        <v>0</v>
      </c>
      <c r="G118" s="275">
        <f t="shared" ca="1" si="63"/>
        <v>0</v>
      </c>
      <c r="H118" s="275">
        <f t="shared" ca="1" si="63"/>
        <v>0</v>
      </c>
      <c r="I118" s="275">
        <f t="shared" ca="1" si="62"/>
        <v>0</v>
      </c>
      <c r="J118" s="275">
        <f t="shared" ca="1" si="63"/>
        <v>0</v>
      </c>
      <c r="K118" s="275">
        <f t="shared" ca="1" si="63"/>
        <v>0</v>
      </c>
      <c r="L118" s="275">
        <f t="shared" ca="1" si="63"/>
        <v>0</v>
      </c>
      <c r="M118" s="275">
        <f t="shared" ca="1" si="63"/>
        <v>0</v>
      </c>
      <c r="N118" s="275">
        <f t="shared" ca="1" si="63"/>
        <v>0</v>
      </c>
      <c r="O118" s="275">
        <f t="shared" ca="1" si="63"/>
        <v>0</v>
      </c>
      <c r="P118" s="275">
        <f t="shared" ca="1" si="63"/>
        <v>0</v>
      </c>
      <c r="Q118" s="275">
        <f t="shared" ca="1" si="63"/>
        <v>0</v>
      </c>
      <c r="R118" s="275">
        <f t="shared" ca="1" si="63"/>
        <v>0</v>
      </c>
      <c r="S118" s="275">
        <f t="shared" ca="1" si="64"/>
        <v>0</v>
      </c>
      <c r="T118" s="275">
        <f t="shared" ca="1" si="64"/>
        <v>0</v>
      </c>
      <c r="U118" s="766">
        <f t="shared" si="65"/>
        <v>46357</v>
      </c>
      <c r="V118" s="767"/>
    </row>
    <row r="119" spans="1:22" ht="15.75" customHeight="1" thickBot="1" x14ac:dyDescent="0.3">
      <c r="A119" s="50"/>
      <c r="B119" s="762">
        <f ca="1">SUM(B107:B118)</f>
        <v>0</v>
      </c>
      <c r="C119" s="762">
        <f t="shared" ref="C119:R119" ca="1" si="66">SUM(C107:C118)</f>
        <v>0</v>
      </c>
      <c r="D119" s="762">
        <f t="shared" ca="1" si="66"/>
        <v>0</v>
      </c>
      <c r="E119" s="762">
        <f t="shared" ca="1" si="66"/>
        <v>0</v>
      </c>
      <c r="F119" s="762">
        <f t="shared" ca="1" si="66"/>
        <v>0</v>
      </c>
      <c r="G119" s="762">
        <f t="shared" ca="1" si="66"/>
        <v>0</v>
      </c>
      <c r="H119" s="762">
        <f t="shared" ca="1" si="66"/>
        <v>0</v>
      </c>
      <c r="I119" s="762">
        <f t="shared" ca="1" si="66"/>
        <v>0</v>
      </c>
      <c r="J119" s="762">
        <f t="shared" ca="1" si="66"/>
        <v>0</v>
      </c>
      <c r="K119" s="762">
        <f t="shared" ca="1" si="66"/>
        <v>0</v>
      </c>
      <c r="L119" s="762">
        <f t="shared" ca="1" si="66"/>
        <v>0</v>
      </c>
      <c r="M119" s="762">
        <f t="shared" ca="1" si="66"/>
        <v>0</v>
      </c>
      <c r="N119" s="762">
        <f t="shared" ca="1" si="66"/>
        <v>0</v>
      </c>
      <c r="O119" s="762">
        <f t="shared" ca="1" si="66"/>
        <v>0</v>
      </c>
      <c r="P119" s="762">
        <f t="shared" ca="1" si="66"/>
        <v>0</v>
      </c>
      <c r="Q119" s="762">
        <f t="shared" ca="1" si="66"/>
        <v>0</v>
      </c>
      <c r="R119" s="762">
        <f t="shared" ca="1" si="66"/>
        <v>0</v>
      </c>
      <c r="S119" s="762">
        <f t="shared" ref="S119" ca="1" si="67">SUM(S107:S118)</f>
        <v>0</v>
      </c>
      <c r="T119" s="762">
        <f t="shared" ref="T119" ca="1" si="68">SUM(T107:T118)</f>
        <v>0</v>
      </c>
      <c r="U119" s="339"/>
      <c r="V119" s="49"/>
    </row>
    <row r="120" spans="1:22" ht="16.5" customHeight="1" thickTop="1" thickBot="1" x14ac:dyDescent="0.3">
      <c r="A120" s="50" t="s">
        <v>266</v>
      </c>
      <c r="B120" s="757">
        <f ca="1">B119</f>
        <v>0</v>
      </c>
      <c r="C120" s="757">
        <f t="shared" ref="C120:R120" ca="1" si="69">C119</f>
        <v>0</v>
      </c>
      <c r="D120" s="757">
        <f t="shared" ca="1" si="69"/>
        <v>0</v>
      </c>
      <c r="E120" s="757">
        <f t="shared" ca="1" si="69"/>
        <v>0</v>
      </c>
      <c r="F120" s="757">
        <f t="shared" ca="1" si="69"/>
        <v>0</v>
      </c>
      <c r="G120" s="757">
        <f t="shared" ca="1" si="69"/>
        <v>0</v>
      </c>
      <c r="H120" s="757">
        <f t="shared" ca="1" si="69"/>
        <v>0</v>
      </c>
      <c r="I120" s="757">
        <f t="shared" ca="1" si="69"/>
        <v>0</v>
      </c>
      <c r="J120" s="757">
        <f t="shared" ca="1" si="69"/>
        <v>0</v>
      </c>
      <c r="K120" s="757">
        <f t="shared" ca="1" si="69"/>
        <v>0</v>
      </c>
      <c r="L120" s="757">
        <f t="shared" ca="1" si="69"/>
        <v>0</v>
      </c>
      <c r="M120" s="757">
        <f t="shared" ca="1" si="69"/>
        <v>0</v>
      </c>
      <c r="N120" s="757">
        <f t="shared" ca="1" si="69"/>
        <v>0</v>
      </c>
      <c r="O120" s="757">
        <f t="shared" ca="1" si="69"/>
        <v>0</v>
      </c>
      <c r="P120" s="757">
        <f t="shared" ca="1" si="69"/>
        <v>0</v>
      </c>
      <c r="Q120" s="757">
        <f t="shared" ca="1" si="69"/>
        <v>0</v>
      </c>
      <c r="R120" s="757">
        <f t="shared" ca="1" si="69"/>
        <v>0</v>
      </c>
      <c r="S120" s="757">
        <f t="shared" ref="S120" ca="1" si="70">S119</f>
        <v>0</v>
      </c>
      <c r="T120" s="757">
        <f t="shared" ref="T120" ca="1" si="71">T119</f>
        <v>0</v>
      </c>
      <c r="U120" s="273"/>
      <c r="V120" s="274">
        <f>SUM(V107:V118)</f>
        <v>0</v>
      </c>
    </row>
    <row r="121" spans="1:22" ht="15.75" customHeight="1" thickBot="1" x14ac:dyDescent="0.3">
      <c r="A121" s="51"/>
      <c r="B121" s="24"/>
      <c r="C121" s="24"/>
      <c r="D121" s="24"/>
      <c r="E121" s="24"/>
      <c r="F121" s="24"/>
      <c r="G121" s="24"/>
      <c r="H121" s="24"/>
      <c r="I121" s="24"/>
      <c r="J121" s="24"/>
      <c r="K121" s="24"/>
      <c r="L121" s="24"/>
      <c r="M121" s="24"/>
      <c r="N121" s="24"/>
      <c r="O121" s="24"/>
      <c r="P121" s="24"/>
      <c r="Q121" s="24"/>
      <c r="R121" s="24"/>
      <c r="S121" s="24"/>
      <c r="T121" s="24"/>
      <c r="U121" s="51"/>
      <c r="V121" s="52"/>
    </row>
    <row r="122" spans="1:22" ht="15.75" customHeight="1" thickBot="1" x14ac:dyDescent="0.3"/>
    <row r="123" spans="1:22" ht="15.75" customHeight="1" thickBot="1" x14ac:dyDescent="0.3">
      <c r="A123" s="271" t="s">
        <v>271</v>
      </c>
      <c r="B123" s="760"/>
      <c r="C123" s="760"/>
      <c r="D123" s="760"/>
      <c r="E123" s="760"/>
      <c r="F123" s="760"/>
      <c r="G123" s="760"/>
      <c r="H123" s="760"/>
      <c r="I123" s="760"/>
      <c r="J123" s="760"/>
      <c r="K123" s="760"/>
      <c r="L123" s="760"/>
      <c r="M123" s="760"/>
      <c r="N123" s="760"/>
      <c r="O123" s="760"/>
      <c r="P123" s="760"/>
      <c r="Q123" s="760"/>
      <c r="R123" s="760"/>
      <c r="S123" s="760"/>
      <c r="T123" s="760"/>
      <c r="U123" s="761"/>
      <c r="V123" s="268"/>
    </row>
    <row r="124" spans="1:22" ht="24.75" customHeight="1" thickTop="1" thickBot="1" x14ac:dyDescent="0.4">
      <c r="A124" s="278">
        <f>DATA!$A$2</f>
        <v>46023</v>
      </c>
      <c r="B124" s="778"/>
      <c r="C124" s="778"/>
      <c r="D124" s="778"/>
      <c r="E124" s="778"/>
      <c r="F124" s="778"/>
      <c r="G124" s="778"/>
      <c r="H124" s="778"/>
      <c r="I124" s="778"/>
      <c r="J124" s="778"/>
      <c r="K124" s="778"/>
      <c r="L124" s="778"/>
      <c r="M124" s="778"/>
      <c r="N124" s="778"/>
      <c r="O124" s="778"/>
      <c r="P124" s="778"/>
      <c r="Q124" s="778"/>
      <c r="R124" s="778"/>
      <c r="S124" s="778"/>
      <c r="T124" s="778"/>
      <c r="U124" s="759"/>
      <c r="V124" s="269"/>
    </row>
    <row r="125" spans="1:22" ht="15.75" customHeight="1" thickBot="1" x14ac:dyDescent="0.3">
      <c r="A125" s="25" t="s">
        <v>262</v>
      </c>
      <c r="B125" s="777">
        <f>+B105</f>
        <v>2018001</v>
      </c>
      <c r="C125" s="777">
        <f t="shared" ref="C125:R125" si="72">+C105</f>
        <v>2018002</v>
      </c>
      <c r="D125" s="777">
        <f t="shared" si="72"/>
        <v>2024006</v>
      </c>
      <c r="E125" s="777">
        <f t="shared" si="72"/>
        <v>2025008</v>
      </c>
      <c r="F125" s="777">
        <f t="shared" si="72"/>
        <v>2025009</v>
      </c>
      <c r="G125" s="777">
        <f t="shared" si="72"/>
        <v>2020005</v>
      </c>
      <c r="H125" s="777">
        <f t="shared" si="72"/>
        <v>2018004</v>
      </c>
      <c r="I125" s="777">
        <f t="shared" si="72"/>
        <v>2021009</v>
      </c>
      <c r="J125" s="777">
        <f t="shared" si="72"/>
        <v>2023005</v>
      </c>
      <c r="K125" s="777">
        <f t="shared" si="72"/>
        <v>2023006</v>
      </c>
      <c r="L125" s="777">
        <f t="shared" si="72"/>
        <v>2023007</v>
      </c>
      <c r="M125" s="777">
        <f t="shared" si="72"/>
        <v>2023008</v>
      </c>
      <c r="N125" s="777">
        <f t="shared" si="72"/>
        <v>2025001</v>
      </c>
      <c r="O125" s="777">
        <f t="shared" si="72"/>
        <v>2025003</v>
      </c>
      <c r="P125" s="777">
        <f t="shared" si="72"/>
        <v>2025005</v>
      </c>
      <c r="Q125" s="777">
        <f t="shared" si="72"/>
        <v>2024002</v>
      </c>
      <c r="R125" s="777">
        <f t="shared" si="72"/>
        <v>2025006</v>
      </c>
      <c r="S125" s="777">
        <f t="shared" ref="S125:T125" si="73">+S105</f>
        <v>2025007</v>
      </c>
      <c r="T125" s="777">
        <f t="shared" si="73"/>
        <v>2025011</v>
      </c>
      <c r="U125" s="764" t="str">
        <f>+A123</f>
        <v>Overtime Tax</v>
      </c>
      <c r="V125" s="765"/>
    </row>
    <row r="126" spans="1:22" ht="15.75" customHeight="1" thickBot="1" x14ac:dyDescent="0.3">
      <c r="A126" s="25" t="s">
        <v>263</v>
      </c>
      <c r="B126" s="270" t="str">
        <f>IF(B$5=0,0,INDEX([1]!empdata,MATCH(B$5,[1]!empid,0),16))</f>
        <v>RGaldes</v>
      </c>
      <c r="C126" s="270" t="str">
        <f>IF(C$5=0,0,INDEX([1]!empdata,MATCH(C$5,[1]!empid,0),16))</f>
        <v>LCarini</v>
      </c>
      <c r="D126" s="270" t="str">
        <f>IF(D$5=0,0,INDEX([1]!empdata,MATCH(D$5,[1]!empid,0),16))</f>
        <v>KMizzi</v>
      </c>
      <c r="E126" s="270" t="str">
        <f>IF(E$5=0,0,INDEX([1]!empdata,MATCH(E$5,[1]!empid,0),16))</f>
        <v>RCamilleri</v>
      </c>
      <c r="F126" s="270" t="str">
        <f>IF(F$5=0,0,INDEX([1]!empdata,MATCH(F$5,[1]!empid,0),16))</f>
        <v>DMifsud_Ceci</v>
      </c>
      <c r="G126" s="270" t="str">
        <f>IF(G$5=0,0,INDEX([1]!empdata,MATCH(G$5,[1]!empid,0),16))</f>
        <v>MCamilleri</v>
      </c>
      <c r="H126" s="270" t="str">
        <f>IF(H$5=0,0,INDEX([1]!empdata,MATCH(H$5,[1]!empid,0),16))</f>
        <v>LBonnici</v>
      </c>
      <c r="I126" s="270" t="str">
        <f>IF(I$5=0,0,INDEX([1]!empdata,MATCH(I$5,[1]!empid,0),16))</f>
        <v>RAttard</v>
      </c>
      <c r="J126" s="270" t="str">
        <f>IF(J$5=0,0,INDEX([1]!empdata,MATCH(J$5,[1]!empid,0),16))</f>
        <v>RSreejith</v>
      </c>
      <c r="K126" s="270" t="str">
        <f>IF(K$5=0,0,INDEX([1]!empdata,MATCH(K$5,[1]!empid,0),16))</f>
        <v>RMallan_Albani</v>
      </c>
      <c r="L126" s="270" t="str">
        <f>IF(L$5=0,0,INDEX([1]!empdata,MATCH(L$5,[1]!empid,0),16))</f>
        <v>AHaneena</v>
      </c>
      <c r="M126" s="270" t="str">
        <f>IF(M$5=0,0,INDEX([1]!empdata,MATCH(M$5,[1]!empid,0),16))</f>
        <v>ELama</v>
      </c>
      <c r="N126" s="270" t="str">
        <f>IF(N$5=0,0,INDEX([1]!empdata,MATCH(N$5,[1]!empid,0),16))</f>
        <v>MAcero_Garzon</v>
      </c>
      <c r="O126" s="270" t="str">
        <f>IF(O$5=0,0,INDEX([1]!empdata,MATCH(O$5,[1]!empid,0),16))</f>
        <v>RAcharya</v>
      </c>
      <c r="P126" s="270" t="str">
        <f>IF(P$5=0,0,INDEX([1]!empdata,MATCH(P$5,[1]!empid,0),16))</f>
        <v>AKunnamkudath</v>
      </c>
      <c r="Q126" s="270" t="str">
        <f>IF(Q$5=0,0,INDEX([1]!empdata,MATCH(Q$5,[1]!empid,0),16))</f>
        <v>MEllul</v>
      </c>
      <c r="R126" s="270" t="str">
        <f>IF(R$5=0,0,INDEX([1]!empdata,MATCH(R$5,[1]!empid,0),16))</f>
        <v>ECurmi</v>
      </c>
      <c r="S126" s="270" t="str">
        <f>IF(S$5=0,0,INDEX([1]!empdata,MATCH(S$5,[1]!empid,0),16))</f>
        <v>AFalzon</v>
      </c>
      <c r="T126" s="270" t="str">
        <f>IF(T$5=0,0,INDEX([1]!empdata,MATCH(T$5,[1]!empid,0),16))</f>
        <v>ZMifsud</v>
      </c>
      <c r="U126" s="763" t="str">
        <f>+U125</f>
        <v>Overtime Tax</v>
      </c>
      <c r="V126" s="272" t="s">
        <v>264</v>
      </c>
    </row>
    <row r="127" spans="1:22" ht="16.5" customHeight="1" thickTop="1" thickBot="1" x14ac:dyDescent="0.3">
      <c r="A127" s="273">
        <f>+DATA!$A$3</f>
        <v>46023</v>
      </c>
      <c r="B127" s="275">
        <f t="shared" ref="B127:Q138" ca="1" si="74">IF(B$5=0,0,INDEX((INDIRECT(B$6&amp;"!INDAT")),(MATCH($A127,(INDIRECT(B$6&amp;"!$O$2:$O$15")),0)),17))</f>
        <v>0</v>
      </c>
      <c r="C127" s="275">
        <f t="shared" ca="1" si="74"/>
        <v>0</v>
      </c>
      <c r="D127" s="275">
        <f t="shared" ca="1" si="74"/>
        <v>0</v>
      </c>
      <c r="E127" s="275">
        <f t="shared" ca="1" si="74"/>
        <v>0</v>
      </c>
      <c r="F127" s="275">
        <f t="shared" ca="1" si="74"/>
        <v>0</v>
      </c>
      <c r="G127" s="275">
        <f t="shared" ca="1" si="74"/>
        <v>0</v>
      </c>
      <c r="H127" s="275">
        <f t="shared" ca="1" si="74"/>
        <v>0</v>
      </c>
      <c r="I127" s="275">
        <f t="shared" ref="I127:I138" ca="1" si="75">IF(I$5=0,0,INDEX((INDIRECT(I$6&amp;"!INDAT")),(MATCH($A127,(INDIRECT(I$6&amp;"!$O$2:$O$15")),0)),17))</f>
        <v>0</v>
      </c>
      <c r="J127" s="275">
        <f t="shared" ca="1" si="74"/>
        <v>0</v>
      </c>
      <c r="K127" s="275">
        <f t="shared" ca="1" si="74"/>
        <v>0</v>
      </c>
      <c r="L127" s="275">
        <f t="shared" ca="1" si="74"/>
        <v>0</v>
      </c>
      <c r="M127" s="275">
        <f t="shared" ca="1" si="74"/>
        <v>0</v>
      </c>
      <c r="N127" s="275">
        <f t="shared" ca="1" si="74"/>
        <v>0</v>
      </c>
      <c r="O127" s="275">
        <f t="shared" ca="1" si="74"/>
        <v>0</v>
      </c>
      <c r="P127" s="275">
        <f t="shared" ca="1" si="74"/>
        <v>0</v>
      </c>
      <c r="Q127" s="275">
        <f t="shared" ca="1" si="74"/>
        <v>0</v>
      </c>
      <c r="R127" s="275">
        <f t="shared" ref="C127:S138" ca="1" si="76">IF(R$5=0,0,INDEX((INDIRECT(R$6&amp;"!INDAT")),(MATCH($A127,(INDIRECT(R$6&amp;"!$O$2:$O$15")),0)),17))</f>
        <v>0</v>
      </c>
      <c r="S127" s="275">
        <f t="shared" ca="1" si="76"/>
        <v>0</v>
      </c>
      <c r="T127" s="275">
        <f t="shared" ref="S127:T138" ca="1" si="77">IF(T$5=0,0,INDEX((INDIRECT(T$6&amp;"!INDAT")),(MATCH($A127,(INDIRECT(T$6&amp;"!$O$2:$O$15")),0)),17))</f>
        <v>0</v>
      </c>
      <c r="U127" s="273">
        <f t="shared" ref="U127:U138" si="78">+A127</f>
        <v>46023</v>
      </c>
      <c r="V127" s="274"/>
    </row>
    <row r="128" spans="1:22" ht="16.5" customHeight="1" thickTop="1" thickBot="1" x14ac:dyDescent="0.3">
      <c r="A128" s="273">
        <f>+DATA!$A$4</f>
        <v>46054</v>
      </c>
      <c r="B128" s="275">
        <f t="shared" ca="1" si="74"/>
        <v>0</v>
      </c>
      <c r="C128" s="275">
        <f t="shared" ca="1" si="76"/>
        <v>0</v>
      </c>
      <c r="D128" s="275">
        <f t="shared" ca="1" si="76"/>
        <v>0</v>
      </c>
      <c r="E128" s="275">
        <f t="shared" ca="1" si="76"/>
        <v>0</v>
      </c>
      <c r="F128" s="275">
        <f t="shared" ca="1" si="76"/>
        <v>0</v>
      </c>
      <c r="G128" s="275">
        <f t="shared" ca="1" si="76"/>
        <v>0</v>
      </c>
      <c r="H128" s="275">
        <f t="shared" ca="1" si="76"/>
        <v>0</v>
      </c>
      <c r="I128" s="275">
        <f t="shared" ca="1" si="75"/>
        <v>0</v>
      </c>
      <c r="J128" s="275">
        <f t="shared" ca="1" si="76"/>
        <v>0</v>
      </c>
      <c r="K128" s="275">
        <f t="shared" ca="1" si="76"/>
        <v>0</v>
      </c>
      <c r="L128" s="275">
        <f t="shared" ca="1" si="76"/>
        <v>0</v>
      </c>
      <c r="M128" s="275">
        <f t="shared" ca="1" si="76"/>
        <v>0</v>
      </c>
      <c r="N128" s="275">
        <f t="shared" ca="1" si="76"/>
        <v>0</v>
      </c>
      <c r="O128" s="275">
        <f t="shared" ca="1" si="76"/>
        <v>0</v>
      </c>
      <c r="P128" s="275">
        <f t="shared" ca="1" si="76"/>
        <v>0</v>
      </c>
      <c r="Q128" s="275">
        <f t="shared" ca="1" si="76"/>
        <v>0</v>
      </c>
      <c r="R128" s="275">
        <f t="shared" ca="1" si="76"/>
        <v>0</v>
      </c>
      <c r="S128" s="275">
        <f t="shared" ca="1" si="77"/>
        <v>0</v>
      </c>
      <c r="T128" s="275">
        <f t="shared" ca="1" si="77"/>
        <v>0</v>
      </c>
      <c r="U128" s="273">
        <f t="shared" si="78"/>
        <v>46054</v>
      </c>
      <c r="V128" s="274"/>
    </row>
    <row r="129" spans="1:22" ht="16.5" customHeight="1" thickTop="1" thickBot="1" x14ac:dyDescent="0.3">
      <c r="A129" s="273">
        <f>+DATA!$A$5</f>
        <v>46082</v>
      </c>
      <c r="B129" s="275">
        <f t="shared" ca="1" si="74"/>
        <v>0</v>
      </c>
      <c r="C129" s="275">
        <f t="shared" ca="1" si="76"/>
        <v>0</v>
      </c>
      <c r="D129" s="275">
        <f t="shared" ca="1" si="76"/>
        <v>0</v>
      </c>
      <c r="E129" s="275">
        <f t="shared" ca="1" si="76"/>
        <v>0</v>
      </c>
      <c r="F129" s="275">
        <f t="shared" ca="1" si="76"/>
        <v>0</v>
      </c>
      <c r="G129" s="275">
        <f t="shared" ca="1" si="76"/>
        <v>0</v>
      </c>
      <c r="H129" s="275">
        <f t="shared" ca="1" si="76"/>
        <v>0</v>
      </c>
      <c r="I129" s="275">
        <f t="shared" ca="1" si="75"/>
        <v>0</v>
      </c>
      <c r="J129" s="275">
        <f t="shared" ca="1" si="76"/>
        <v>0</v>
      </c>
      <c r="K129" s="275">
        <f t="shared" ca="1" si="76"/>
        <v>0</v>
      </c>
      <c r="L129" s="275">
        <f t="shared" ca="1" si="76"/>
        <v>0</v>
      </c>
      <c r="M129" s="275">
        <f t="shared" ca="1" si="76"/>
        <v>0</v>
      </c>
      <c r="N129" s="275">
        <f t="shared" ca="1" si="76"/>
        <v>0</v>
      </c>
      <c r="O129" s="275">
        <f t="shared" ca="1" si="76"/>
        <v>0</v>
      </c>
      <c r="P129" s="275">
        <f t="shared" ca="1" si="76"/>
        <v>0</v>
      </c>
      <c r="Q129" s="275">
        <f t="shared" ca="1" si="76"/>
        <v>0</v>
      </c>
      <c r="R129" s="275">
        <f t="shared" ca="1" si="76"/>
        <v>0</v>
      </c>
      <c r="S129" s="275">
        <f t="shared" ca="1" si="77"/>
        <v>0</v>
      </c>
      <c r="T129" s="275">
        <f t="shared" ca="1" si="77"/>
        <v>0</v>
      </c>
      <c r="U129" s="273">
        <f t="shared" si="78"/>
        <v>46082</v>
      </c>
      <c r="V129" s="274"/>
    </row>
    <row r="130" spans="1:22" ht="16.5" customHeight="1" thickTop="1" thickBot="1" x14ac:dyDescent="0.3">
      <c r="A130" s="273">
        <f>+DATA!$A$6</f>
        <v>46113</v>
      </c>
      <c r="B130" s="275">
        <f t="shared" ca="1" si="74"/>
        <v>0</v>
      </c>
      <c r="C130" s="275">
        <f t="shared" ca="1" si="76"/>
        <v>0</v>
      </c>
      <c r="D130" s="275">
        <f t="shared" ca="1" si="76"/>
        <v>0</v>
      </c>
      <c r="E130" s="275">
        <f t="shared" ca="1" si="76"/>
        <v>0</v>
      </c>
      <c r="F130" s="275">
        <f t="shared" ca="1" si="76"/>
        <v>0</v>
      </c>
      <c r="G130" s="275">
        <f t="shared" ca="1" si="76"/>
        <v>0</v>
      </c>
      <c r="H130" s="275">
        <f t="shared" ca="1" si="76"/>
        <v>0</v>
      </c>
      <c r="I130" s="275">
        <f t="shared" ca="1" si="75"/>
        <v>0</v>
      </c>
      <c r="J130" s="275">
        <f t="shared" ca="1" si="76"/>
        <v>0</v>
      </c>
      <c r="K130" s="275">
        <f t="shared" ca="1" si="76"/>
        <v>0</v>
      </c>
      <c r="L130" s="275">
        <f t="shared" ca="1" si="76"/>
        <v>0</v>
      </c>
      <c r="M130" s="275">
        <f t="shared" ca="1" si="76"/>
        <v>0</v>
      </c>
      <c r="N130" s="275">
        <f t="shared" ca="1" si="76"/>
        <v>0</v>
      </c>
      <c r="O130" s="275">
        <f t="shared" ca="1" si="76"/>
        <v>0</v>
      </c>
      <c r="P130" s="275">
        <f t="shared" ca="1" si="76"/>
        <v>0</v>
      </c>
      <c r="Q130" s="275">
        <f t="shared" ca="1" si="76"/>
        <v>0</v>
      </c>
      <c r="R130" s="275">
        <f t="shared" ca="1" si="76"/>
        <v>0</v>
      </c>
      <c r="S130" s="275">
        <f t="shared" ca="1" si="77"/>
        <v>0</v>
      </c>
      <c r="T130" s="275">
        <f t="shared" ca="1" si="77"/>
        <v>0</v>
      </c>
      <c r="U130" s="273">
        <f t="shared" si="78"/>
        <v>46113</v>
      </c>
      <c r="V130" s="274"/>
    </row>
    <row r="131" spans="1:22" ht="16.5" customHeight="1" thickTop="1" thickBot="1" x14ac:dyDescent="0.3">
      <c r="A131" s="273">
        <f>+DATA!$A$7</f>
        <v>46143</v>
      </c>
      <c r="B131" s="275">
        <f t="shared" ca="1" si="74"/>
        <v>0</v>
      </c>
      <c r="C131" s="275">
        <f t="shared" ca="1" si="76"/>
        <v>0</v>
      </c>
      <c r="D131" s="275">
        <f t="shared" ca="1" si="76"/>
        <v>0</v>
      </c>
      <c r="E131" s="275">
        <f t="shared" ca="1" si="76"/>
        <v>0</v>
      </c>
      <c r="F131" s="275">
        <f t="shared" ca="1" si="76"/>
        <v>0</v>
      </c>
      <c r="G131" s="275">
        <f t="shared" ca="1" si="76"/>
        <v>0</v>
      </c>
      <c r="H131" s="275">
        <f t="shared" ca="1" si="76"/>
        <v>0</v>
      </c>
      <c r="I131" s="275">
        <f t="shared" ca="1" si="75"/>
        <v>0</v>
      </c>
      <c r="J131" s="275">
        <f t="shared" ca="1" si="76"/>
        <v>0</v>
      </c>
      <c r="K131" s="275">
        <f t="shared" ca="1" si="76"/>
        <v>0</v>
      </c>
      <c r="L131" s="275">
        <f t="shared" ca="1" si="76"/>
        <v>0</v>
      </c>
      <c r="M131" s="275">
        <f t="shared" ca="1" si="76"/>
        <v>0</v>
      </c>
      <c r="N131" s="275">
        <f t="shared" ca="1" si="76"/>
        <v>0</v>
      </c>
      <c r="O131" s="275">
        <f t="shared" ca="1" si="76"/>
        <v>0</v>
      </c>
      <c r="P131" s="275">
        <f t="shared" ca="1" si="76"/>
        <v>0</v>
      </c>
      <c r="Q131" s="275">
        <f t="shared" ca="1" si="76"/>
        <v>0</v>
      </c>
      <c r="R131" s="275">
        <f t="shared" ca="1" si="76"/>
        <v>0</v>
      </c>
      <c r="S131" s="275">
        <f t="shared" ca="1" si="77"/>
        <v>0</v>
      </c>
      <c r="T131" s="275">
        <f t="shared" ca="1" si="77"/>
        <v>0</v>
      </c>
      <c r="U131" s="273">
        <f t="shared" si="78"/>
        <v>46143</v>
      </c>
      <c r="V131" s="274"/>
    </row>
    <row r="132" spans="1:22" ht="16.5" customHeight="1" thickTop="1" thickBot="1" x14ac:dyDescent="0.3">
      <c r="A132" s="273">
        <f>+DATA!$A$8</f>
        <v>46174</v>
      </c>
      <c r="B132" s="275">
        <f t="shared" ca="1" si="74"/>
        <v>0</v>
      </c>
      <c r="C132" s="275">
        <f t="shared" ca="1" si="76"/>
        <v>0</v>
      </c>
      <c r="D132" s="275">
        <f t="shared" ca="1" si="76"/>
        <v>0</v>
      </c>
      <c r="E132" s="275">
        <f t="shared" ca="1" si="76"/>
        <v>0</v>
      </c>
      <c r="F132" s="275">
        <f t="shared" ca="1" si="76"/>
        <v>0</v>
      </c>
      <c r="G132" s="275">
        <f t="shared" ca="1" si="76"/>
        <v>0</v>
      </c>
      <c r="H132" s="275">
        <f t="shared" ca="1" si="76"/>
        <v>0</v>
      </c>
      <c r="I132" s="275">
        <f t="shared" ca="1" si="75"/>
        <v>0</v>
      </c>
      <c r="J132" s="275">
        <f t="shared" ca="1" si="76"/>
        <v>0</v>
      </c>
      <c r="K132" s="275">
        <f t="shared" ca="1" si="76"/>
        <v>0</v>
      </c>
      <c r="L132" s="275">
        <f t="shared" ca="1" si="76"/>
        <v>0</v>
      </c>
      <c r="M132" s="275">
        <f t="shared" ca="1" si="76"/>
        <v>0</v>
      </c>
      <c r="N132" s="275">
        <f t="shared" ca="1" si="76"/>
        <v>0</v>
      </c>
      <c r="O132" s="275">
        <f t="shared" ca="1" si="76"/>
        <v>0</v>
      </c>
      <c r="P132" s="275">
        <f t="shared" ca="1" si="76"/>
        <v>0</v>
      </c>
      <c r="Q132" s="275">
        <f t="shared" ca="1" si="76"/>
        <v>0</v>
      </c>
      <c r="R132" s="275">
        <f t="shared" ca="1" si="76"/>
        <v>0</v>
      </c>
      <c r="S132" s="275">
        <f t="shared" ca="1" si="77"/>
        <v>0</v>
      </c>
      <c r="T132" s="275">
        <f t="shared" ca="1" si="77"/>
        <v>0</v>
      </c>
      <c r="U132" s="273">
        <f t="shared" si="78"/>
        <v>46174</v>
      </c>
      <c r="V132" s="274"/>
    </row>
    <row r="133" spans="1:22" ht="16.5" customHeight="1" thickTop="1" thickBot="1" x14ac:dyDescent="0.3">
      <c r="A133" s="273">
        <f>+DATA!$A$9</f>
        <v>46204</v>
      </c>
      <c r="B133" s="275">
        <f t="shared" ca="1" si="74"/>
        <v>0</v>
      </c>
      <c r="C133" s="275">
        <f t="shared" ca="1" si="76"/>
        <v>0</v>
      </c>
      <c r="D133" s="275">
        <f t="shared" ca="1" si="76"/>
        <v>0</v>
      </c>
      <c r="E133" s="275">
        <f t="shared" ca="1" si="76"/>
        <v>0</v>
      </c>
      <c r="F133" s="275">
        <f t="shared" ca="1" si="76"/>
        <v>0</v>
      </c>
      <c r="G133" s="275">
        <f t="shared" ca="1" si="76"/>
        <v>0</v>
      </c>
      <c r="H133" s="275">
        <f t="shared" ca="1" si="76"/>
        <v>0</v>
      </c>
      <c r="I133" s="275">
        <f t="shared" ca="1" si="75"/>
        <v>0</v>
      </c>
      <c r="J133" s="275">
        <f t="shared" ca="1" si="76"/>
        <v>0</v>
      </c>
      <c r="K133" s="275">
        <f t="shared" ca="1" si="76"/>
        <v>0</v>
      </c>
      <c r="L133" s="275">
        <f t="shared" ca="1" si="76"/>
        <v>0</v>
      </c>
      <c r="M133" s="275">
        <f t="shared" ca="1" si="76"/>
        <v>0</v>
      </c>
      <c r="N133" s="275">
        <f t="shared" ca="1" si="76"/>
        <v>0</v>
      </c>
      <c r="O133" s="275">
        <f t="shared" ca="1" si="76"/>
        <v>0</v>
      </c>
      <c r="P133" s="275">
        <f t="shared" ca="1" si="76"/>
        <v>0</v>
      </c>
      <c r="Q133" s="275">
        <f t="shared" ca="1" si="76"/>
        <v>0</v>
      </c>
      <c r="R133" s="275">
        <f t="shared" ca="1" si="76"/>
        <v>0</v>
      </c>
      <c r="S133" s="275">
        <f t="shared" ca="1" si="77"/>
        <v>0</v>
      </c>
      <c r="T133" s="275">
        <f t="shared" ca="1" si="77"/>
        <v>0</v>
      </c>
      <c r="U133" s="273">
        <f t="shared" si="78"/>
        <v>46204</v>
      </c>
      <c r="V133" s="274"/>
    </row>
    <row r="134" spans="1:22" ht="16.5" customHeight="1" thickTop="1" thickBot="1" x14ac:dyDescent="0.3">
      <c r="A134" s="273">
        <f>+DATA!$A$10</f>
        <v>46235</v>
      </c>
      <c r="B134" s="275">
        <f t="shared" ca="1" si="74"/>
        <v>0</v>
      </c>
      <c r="C134" s="275">
        <f t="shared" ca="1" si="76"/>
        <v>0</v>
      </c>
      <c r="D134" s="275">
        <f t="shared" ca="1" si="76"/>
        <v>0</v>
      </c>
      <c r="E134" s="275">
        <f t="shared" ca="1" si="76"/>
        <v>0</v>
      </c>
      <c r="F134" s="275">
        <f t="shared" ca="1" si="76"/>
        <v>0</v>
      </c>
      <c r="G134" s="275">
        <f t="shared" ca="1" si="76"/>
        <v>0</v>
      </c>
      <c r="H134" s="275">
        <f t="shared" ca="1" si="76"/>
        <v>0</v>
      </c>
      <c r="I134" s="275">
        <f t="shared" ca="1" si="75"/>
        <v>0</v>
      </c>
      <c r="J134" s="275">
        <f t="shared" ca="1" si="76"/>
        <v>0</v>
      </c>
      <c r="K134" s="275">
        <f t="shared" ca="1" si="76"/>
        <v>0</v>
      </c>
      <c r="L134" s="275">
        <f t="shared" ca="1" si="76"/>
        <v>0</v>
      </c>
      <c r="M134" s="275">
        <f t="shared" ca="1" si="76"/>
        <v>0</v>
      </c>
      <c r="N134" s="275">
        <f t="shared" ca="1" si="76"/>
        <v>0</v>
      </c>
      <c r="O134" s="275">
        <f t="shared" ca="1" si="76"/>
        <v>0</v>
      </c>
      <c r="P134" s="275">
        <f t="shared" ca="1" si="76"/>
        <v>0</v>
      </c>
      <c r="Q134" s="275">
        <f t="shared" ca="1" si="76"/>
        <v>0</v>
      </c>
      <c r="R134" s="275">
        <f t="shared" ca="1" si="76"/>
        <v>0</v>
      </c>
      <c r="S134" s="275">
        <f t="shared" ca="1" si="77"/>
        <v>0</v>
      </c>
      <c r="T134" s="275">
        <f t="shared" ca="1" si="77"/>
        <v>0</v>
      </c>
      <c r="U134" s="273">
        <f t="shared" si="78"/>
        <v>46235</v>
      </c>
      <c r="V134" s="274"/>
    </row>
    <row r="135" spans="1:22" ht="16.5" customHeight="1" thickTop="1" thickBot="1" x14ac:dyDescent="0.3">
      <c r="A135" s="273">
        <f>+DATA!$A$11</f>
        <v>46266</v>
      </c>
      <c r="B135" s="275">
        <f t="shared" ca="1" si="74"/>
        <v>0</v>
      </c>
      <c r="C135" s="275">
        <f t="shared" ca="1" si="76"/>
        <v>0</v>
      </c>
      <c r="D135" s="275">
        <f t="shared" ca="1" si="76"/>
        <v>0</v>
      </c>
      <c r="E135" s="275">
        <f t="shared" ca="1" si="76"/>
        <v>0</v>
      </c>
      <c r="F135" s="275">
        <f t="shared" ca="1" si="76"/>
        <v>0</v>
      </c>
      <c r="G135" s="275">
        <f t="shared" ca="1" si="76"/>
        <v>0</v>
      </c>
      <c r="H135" s="275">
        <f t="shared" ca="1" si="76"/>
        <v>0</v>
      </c>
      <c r="I135" s="275">
        <f t="shared" ca="1" si="75"/>
        <v>0</v>
      </c>
      <c r="J135" s="275">
        <f t="shared" ca="1" si="76"/>
        <v>0</v>
      </c>
      <c r="K135" s="275">
        <f t="shared" ca="1" si="76"/>
        <v>0</v>
      </c>
      <c r="L135" s="275">
        <f t="shared" ca="1" si="76"/>
        <v>0</v>
      </c>
      <c r="M135" s="275">
        <f t="shared" ca="1" si="76"/>
        <v>0</v>
      </c>
      <c r="N135" s="275">
        <f t="shared" ca="1" si="76"/>
        <v>0</v>
      </c>
      <c r="O135" s="275">
        <f t="shared" ca="1" si="76"/>
        <v>0</v>
      </c>
      <c r="P135" s="275">
        <f t="shared" ca="1" si="76"/>
        <v>0</v>
      </c>
      <c r="Q135" s="275">
        <f t="shared" ca="1" si="76"/>
        <v>0</v>
      </c>
      <c r="R135" s="275">
        <f t="shared" ca="1" si="76"/>
        <v>0</v>
      </c>
      <c r="S135" s="275">
        <f t="shared" ca="1" si="77"/>
        <v>0</v>
      </c>
      <c r="T135" s="275">
        <f t="shared" ca="1" si="77"/>
        <v>0</v>
      </c>
      <c r="U135" s="273">
        <f t="shared" si="78"/>
        <v>46266</v>
      </c>
      <c r="V135" s="274"/>
    </row>
    <row r="136" spans="1:22" ht="16.5" customHeight="1" thickTop="1" thickBot="1" x14ac:dyDescent="0.3">
      <c r="A136" s="273">
        <f>+DATA!$A$12</f>
        <v>46296</v>
      </c>
      <c r="B136" s="275">
        <f t="shared" ca="1" si="74"/>
        <v>0</v>
      </c>
      <c r="C136" s="275">
        <f t="shared" ca="1" si="76"/>
        <v>0</v>
      </c>
      <c r="D136" s="275">
        <f t="shared" ca="1" si="76"/>
        <v>0</v>
      </c>
      <c r="E136" s="275">
        <f t="shared" ca="1" si="76"/>
        <v>0</v>
      </c>
      <c r="F136" s="275">
        <f t="shared" ca="1" si="76"/>
        <v>0</v>
      </c>
      <c r="G136" s="275">
        <f t="shared" ca="1" si="76"/>
        <v>0</v>
      </c>
      <c r="H136" s="275">
        <f t="shared" ca="1" si="76"/>
        <v>0</v>
      </c>
      <c r="I136" s="275">
        <f t="shared" ca="1" si="75"/>
        <v>0</v>
      </c>
      <c r="J136" s="275">
        <f t="shared" ca="1" si="76"/>
        <v>0</v>
      </c>
      <c r="K136" s="275">
        <f t="shared" ca="1" si="76"/>
        <v>0</v>
      </c>
      <c r="L136" s="275">
        <f t="shared" ca="1" si="76"/>
        <v>0</v>
      </c>
      <c r="M136" s="275">
        <f t="shared" ca="1" si="76"/>
        <v>0</v>
      </c>
      <c r="N136" s="275">
        <f t="shared" ca="1" si="76"/>
        <v>0</v>
      </c>
      <c r="O136" s="275">
        <f t="shared" ca="1" si="76"/>
        <v>0</v>
      </c>
      <c r="P136" s="275">
        <f t="shared" ca="1" si="76"/>
        <v>0</v>
      </c>
      <c r="Q136" s="275">
        <f t="shared" ca="1" si="76"/>
        <v>0</v>
      </c>
      <c r="R136" s="275">
        <f t="shared" ca="1" si="76"/>
        <v>0</v>
      </c>
      <c r="S136" s="275">
        <f t="shared" ca="1" si="77"/>
        <v>0</v>
      </c>
      <c r="T136" s="275">
        <f t="shared" ca="1" si="77"/>
        <v>0</v>
      </c>
      <c r="U136" s="273">
        <f t="shared" si="78"/>
        <v>46296</v>
      </c>
      <c r="V136" s="274"/>
    </row>
    <row r="137" spans="1:22" ht="16.5" customHeight="1" thickTop="1" thickBot="1" x14ac:dyDescent="0.3">
      <c r="A137" s="273">
        <f>+DATA!$A$13</f>
        <v>46327</v>
      </c>
      <c r="B137" s="275">
        <f t="shared" ca="1" si="74"/>
        <v>0</v>
      </c>
      <c r="C137" s="275">
        <f t="shared" ca="1" si="76"/>
        <v>0</v>
      </c>
      <c r="D137" s="275">
        <f t="shared" ca="1" si="76"/>
        <v>0</v>
      </c>
      <c r="E137" s="275">
        <f t="shared" ca="1" si="76"/>
        <v>0</v>
      </c>
      <c r="F137" s="275">
        <f t="shared" ca="1" si="76"/>
        <v>0</v>
      </c>
      <c r="G137" s="275">
        <f t="shared" ca="1" si="76"/>
        <v>0</v>
      </c>
      <c r="H137" s="275">
        <f t="shared" ca="1" si="76"/>
        <v>0</v>
      </c>
      <c r="I137" s="275">
        <f t="shared" ca="1" si="75"/>
        <v>0</v>
      </c>
      <c r="J137" s="275">
        <f t="shared" ca="1" si="76"/>
        <v>0</v>
      </c>
      <c r="K137" s="275">
        <f t="shared" ca="1" si="76"/>
        <v>0</v>
      </c>
      <c r="L137" s="275">
        <f t="shared" ca="1" si="76"/>
        <v>0</v>
      </c>
      <c r="M137" s="275">
        <f t="shared" ca="1" si="76"/>
        <v>0</v>
      </c>
      <c r="N137" s="275">
        <f t="shared" ca="1" si="76"/>
        <v>0</v>
      </c>
      <c r="O137" s="275">
        <f t="shared" ca="1" si="76"/>
        <v>0</v>
      </c>
      <c r="P137" s="275">
        <f t="shared" ca="1" si="76"/>
        <v>0</v>
      </c>
      <c r="Q137" s="275">
        <f t="shared" ca="1" si="76"/>
        <v>0</v>
      </c>
      <c r="R137" s="275">
        <f t="shared" ca="1" si="76"/>
        <v>0</v>
      </c>
      <c r="S137" s="275">
        <f t="shared" ca="1" si="77"/>
        <v>0</v>
      </c>
      <c r="T137" s="275">
        <f t="shared" ca="1" si="77"/>
        <v>0</v>
      </c>
      <c r="U137" s="273">
        <f t="shared" si="78"/>
        <v>46327</v>
      </c>
      <c r="V137" s="274"/>
    </row>
    <row r="138" spans="1:22" ht="16.5" customHeight="1" thickTop="1" thickBot="1" x14ac:dyDescent="0.3">
      <c r="A138" s="273">
        <f>+DATA!$A$14</f>
        <v>46357</v>
      </c>
      <c r="B138" s="275">
        <f t="shared" ca="1" si="74"/>
        <v>0</v>
      </c>
      <c r="C138" s="275">
        <f t="shared" ca="1" si="76"/>
        <v>0</v>
      </c>
      <c r="D138" s="275">
        <f t="shared" ca="1" si="76"/>
        <v>0</v>
      </c>
      <c r="E138" s="275">
        <f t="shared" ca="1" si="76"/>
        <v>0</v>
      </c>
      <c r="F138" s="275">
        <f t="shared" ca="1" si="76"/>
        <v>0</v>
      </c>
      <c r="G138" s="275">
        <f t="shared" ca="1" si="76"/>
        <v>0</v>
      </c>
      <c r="H138" s="275">
        <f t="shared" ca="1" si="76"/>
        <v>0</v>
      </c>
      <c r="I138" s="275">
        <f t="shared" ca="1" si="75"/>
        <v>0</v>
      </c>
      <c r="J138" s="275">
        <f t="shared" ca="1" si="76"/>
        <v>0</v>
      </c>
      <c r="K138" s="275">
        <f t="shared" ca="1" si="76"/>
        <v>0</v>
      </c>
      <c r="L138" s="275">
        <f t="shared" ca="1" si="76"/>
        <v>0</v>
      </c>
      <c r="M138" s="275">
        <f t="shared" ca="1" si="76"/>
        <v>0</v>
      </c>
      <c r="N138" s="275">
        <f t="shared" ca="1" si="76"/>
        <v>0</v>
      </c>
      <c r="O138" s="275">
        <f t="shared" ca="1" si="76"/>
        <v>0</v>
      </c>
      <c r="P138" s="275">
        <f t="shared" ca="1" si="76"/>
        <v>0</v>
      </c>
      <c r="Q138" s="275">
        <f t="shared" ca="1" si="76"/>
        <v>0</v>
      </c>
      <c r="R138" s="275">
        <f t="shared" ca="1" si="76"/>
        <v>0</v>
      </c>
      <c r="S138" s="275">
        <f t="shared" ca="1" si="77"/>
        <v>0</v>
      </c>
      <c r="T138" s="275">
        <f t="shared" ca="1" si="77"/>
        <v>0</v>
      </c>
      <c r="U138" s="766">
        <f t="shared" si="78"/>
        <v>46357</v>
      </c>
      <c r="V138" s="767"/>
    </row>
    <row r="139" spans="1:22" ht="15.75" customHeight="1" thickBot="1" x14ac:dyDescent="0.3">
      <c r="A139" s="50"/>
      <c r="B139" s="762">
        <f ca="1">SUM(B127:B138)</f>
        <v>0</v>
      </c>
      <c r="C139" s="762">
        <f t="shared" ref="C139:R139" ca="1" si="79">SUM(C127:C138)</f>
        <v>0</v>
      </c>
      <c r="D139" s="762">
        <f t="shared" ca="1" si="79"/>
        <v>0</v>
      </c>
      <c r="E139" s="762">
        <f t="shared" ca="1" si="79"/>
        <v>0</v>
      </c>
      <c r="F139" s="762">
        <f t="shared" ca="1" si="79"/>
        <v>0</v>
      </c>
      <c r="G139" s="762">
        <f t="shared" ca="1" si="79"/>
        <v>0</v>
      </c>
      <c r="H139" s="762">
        <f t="shared" ca="1" si="79"/>
        <v>0</v>
      </c>
      <c r="I139" s="762">
        <f t="shared" ca="1" si="79"/>
        <v>0</v>
      </c>
      <c r="J139" s="762">
        <f t="shared" ca="1" si="79"/>
        <v>0</v>
      </c>
      <c r="K139" s="762">
        <f t="shared" ca="1" si="79"/>
        <v>0</v>
      </c>
      <c r="L139" s="762">
        <f t="shared" ca="1" si="79"/>
        <v>0</v>
      </c>
      <c r="M139" s="762">
        <f t="shared" ca="1" si="79"/>
        <v>0</v>
      </c>
      <c r="N139" s="762">
        <f t="shared" ca="1" si="79"/>
        <v>0</v>
      </c>
      <c r="O139" s="762">
        <f t="shared" ca="1" si="79"/>
        <v>0</v>
      </c>
      <c r="P139" s="762">
        <f t="shared" ca="1" si="79"/>
        <v>0</v>
      </c>
      <c r="Q139" s="762">
        <f t="shared" ca="1" si="79"/>
        <v>0</v>
      </c>
      <c r="R139" s="762">
        <f t="shared" ca="1" si="79"/>
        <v>0</v>
      </c>
      <c r="S139" s="762">
        <f t="shared" ref="S139" ca="1" si="80">SUM(S127:S138)</f>
        <v>0</v>
      </c>
      <c r="T139" s="762">
        <f t="shared" ref="T139" ca="1" si="81">SUM(T127:T138)</f>
        <v>0</v>
      </c>
      <c r="U139" s="339"/>
      <c r="V139" s="49"/>
    </row>
    <row r="140" spans="1:22" ht="16.5" customHeight="1" thickTop="1" thickBot="1" x14ac:dyDescent="0.3">
      <c r="A140" s="50" t="s">
        <v>266</v>
      </c>
      <c r="B140" s="757">
        <f ca="1">B139</f>
        <v>0</v>
      </c>
      <c r="C140" s="757">
        <f t="shared" ref="C140:R140" ca="1" si="82">C139</f>
        <v>0</v>
      </c>
      <c r="D140" s="757">
        <f t="shared" ca="1" si="82"/>
        <v>0</v>
      </c>
      <c r="E140" s="757">
        <f t="shared" ca="1" si="82"/>
        <v>0</v>
      </c>
      <c r="F140" s="757">
        <f t="shared" ca="1" si="82"/>
        <v>0</v>
      </c>
      <c r="G140" s="757">
        <f t="shared" ca="1" si="82"/>
        <v>0</v>
      </c>
      <c r="H140" s="757">
        <f t="shared" ca="1" si="82"/>
        <v>0</v>
      </c>
      <c r="I140" s="757">
        <f t="shared" ca="1" si="82"/>
        <v>0</v>
      </c>
      <c r="J140" s="757">
        <f t="shared" ca="1" si="82"/>
        <v>0</v>
      </c>
      <c r="K140" s="757">
        <f t="shared" ca="1" si="82"/>
        <v>0</v>
      </c>
      <c r="L140" s="757">
        <f t="shared" ca="1" si="82"/>
        <v>0</v>
      </c>
      <c r="M140" s="757">
        <f t="shared" ca="1" si="82"/>
        <v>0</v>
      </c>
      <c r="N140" s="757">
        <f t="shared" ca="1" si="82"/>
        <v>0</v>
      </c>
      <c r="O140" s="757">
        <f t="shared" ca="1" si="82"/>
        <v>0</v>
      </c>
      <c r="P140" s="757">
        <f t="shared" ca="1" si="82"/>
        <v>0</v>
      </c>
      <c r="Q140" s="757">
        <f t="shared" ca="1" si="82"/>
        <v>0</v>
      </c>
      <c r="R140" s="757">
        <f t="shared" ca="1" si="82"/>
        <v>0</v>
      </c>
      <c r="S140" s="757">
        <f t="shared" ref="S140" ca="1" si="83">S139</f>
        <v>0</v>
      </c>
      <c r="T140" s="757">
        <f t="shared" ref="T140" ca="1" si="84">T139</f>
        <v>0</v>
      </c>
      <c r="U140" s="273"/>
      <c r="V140" s="274">
        <f>SUM(V127:V138)</f>
        <v>0</v>
      </c>
    </row>
    <row r="141" spans="1:22" ht="15.75" customHeight="1" thickBot="1" x14ac:dyDescent="0.3">
      <c r="A141" s="51"/>
      <c r="B141" s="24"/>
      <c r="C141" s="24"/>
      <c r="D141" s="24"/>
      <c r="E141" s="24"/>
      <c r="F141" s="24"/>
      <c r="G141" s="24"/>
      <c r="H141" s="24"/>
      <c r="I141" s="24"/>
      <c r="J141" s="24"/>
      <c r="K141" s="24"/>
      <c r="L141" s="24"/>
      <c r="M141" s="24"/>
      <c r="N141" s="24"/>
      <c r="O141" s="24"/>
      <c r="P141" s="24"/>
      <c r="Q141" s="24"/>
      <c r="R141" s="24"/>
      <c r="S141" s="24"/>
      <c r="T141" s="24"/>
      <c r="U141" s="51"/>
      <c r="V141" s="52"/>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8"/>
  <dimension ref="A2:U141"/>
  <sheetViews>
    <sheetView workbookViewId="0"/>
  </sheetViews>
  <sheetFormatPr defaultRowHeight="15" x14ac:dyDescent="0.25"/>
  <cols>
    <col min="1" max="1" width="18.5703125" customWidth="1"/>
    <col min="2" max="19" width="12.85546875" customWidth="1"/>
    <col min="20" max="20" width="12" customWidth="1"/>
    <col min="21" max="21" width="14.28515625" customWidth="1"/>
  </cols>
  <sheetData>
    <row r="2" spans="1:21" ht="39.75" customHeight="1" thickBot="1" x14ac:dyDescent="0.3"/>
    <row r="3" spans="1:21" ht="15.75" customHeight="1" thickBot="1" x14ac:dyDescent="0.3">
      <c r="A3" s="271" t="s">
        <v>261</v>
      </c>
      <c r="B3" s="49"/>
      <c r="C3" s="49"/>
      <c r="D3" s="49"/>
      <c r="E3" s="49"/>
      <c r="F3" s="49"/>
      <c r="G3" s="49"/>
      <c r="H3" s="49"/>
      <c r="I3" s="49"/>
      <c r="J3" s="49"/>
      <c r="K3" s="49"/>
      <c r="L3" s="49"/>
      <c r="M3" s="49"/>
      <c r="N3" s="49"/>
      <c r="O3" s="49"/>
      <c r="P3" s="49"/>
      <c r="Q3" s="49"/>
      <c r="R3" s="49"/>
      <c r="S3" s="49"/>
      <c r="T3" s="761"/>
      <c r="U3" s="268"/>
    </row>
    <row r="4" spans="1:21" ht="24.75" customHeight="1" thickTop="1" thickBot="1" x14ac:dyDescent="0.4">
      <c r="A4" s="278">
        <f>DATA!$A$2</f>
        <v>46023</v>
      </c>
      <c r="B4" s="778"/>
      <c r="C4" s="778"/>
      <c r="D4" s="778"/>
      <c r="E4" s="778"/>
      <c r="F4" s="778"/>
      <c r="G4" s="778"/>
      <c r="H4" s="778"/>
      <c r="I4" s="778"/>
      <c r="J4" s="778"/>
      <c r="K4" s="778"/>
      <c r="L4" s="778"/>
      <c r="M4" s="778"/>
      <c r="N4" s="778"/>
      <c r="O4" s="778"/>
      <c r="P4" s="778"/>
      <c r="Q4" s="778"/>
      <c r="R4" s="778"/>
      <c r="S4" s="778"/>
      <c r="T4" s="759"/>
      <c r="U4" s="269"/>
    </row>
    <row r="5" spans="1:21" ht="15.75" customHeight="1" thickBot="1" x14ac:dyDescent="0.3">
      <c r="A5" s="25" t="s">
        <v>262</v>
      </c>
      <c r="B5" s="779"/>
      <c r="C5" s="779"/>
      <c r="D5" s="779"/>
      <c r="E5" s="779"/>
      <c r="F5" s="779"/>
      <c r="G5" s="779"/>
      <c r="H5" s="779"/>
      <c r="I5" s="779"/>
      <c r="J5" s="779"/>
      <c r="K5" s="779"/>
      <c r="L5" s="779"/>
      <c r="M5" s="779"/>
      <c r="N5" s="779"/>
      <c r="O5" s="779"/>
      <c r="P5" s="779"/>
      <c r="Q5" s="779"/>
      <c r="R5" s="779"/>
      <c r="S5" s="779"/>
      <c r="T5" s="764" t="str">
        <f>+A3</f>
        <v>PSLIPVAL</v>
      </c>
      <c r="U5" s="765"/>
    </row>
    <row r="6" spans="1:21" ht="15.75" customHeight="1" thickBot="1" x14ac:dyDescent="0.3">
      <c r="A6" s="25" t="s">
        <v>263</v>
      </c>
      <c r="B6" s="270">
        <f>IF(B$5=0,0,INDEX([1]!empdata,MATCH(B$5,[1]!empid,0),16))</f>
        <v>0</v>
      </c>
      <c r="C6" s="270">
        <f>IF(C$5=0,0,INDEX([1]!empdata,MATCH(C$5,[1]!empid,0),16))</f>
        <v>0</v>
      </c>
      <c r="D6" s="270">
        <f>IF(D$5=0,0,INDEX([1]!empdata,MATCH(D$5,[1]!empid,0),16))</f>
        <v>0</v>
      </c>
      <c r="E6" s="270">
        <f>IF(E$5=0,0,INDEX([1]!empdata,MATCH(E$5,[1]!empid,0),16))</f>
        <v>0</v>
      </c>
      <c r="F6" s="270">
        <f>IF(F$5=0,0,INDEX([1]!empdata,MATCH(F$5,[1]!empid,0),16))</f>
        <v>0</v>
      </c>
      <c r="G6" s="270">
        <f>IF(G$5=0,0,INDEX([1]!empdata,MATCH(G$5,[1]!empid,0),16))</f>
        <v>0</v>
      </c>
      <c r="H6" s="270">
        <f>IF(H$5=0,0,INDEX([1]!empdata,MATCH(H$5,[1]!empid,0),16))</f>
        <v>0</v>
      </c>
      <c r="I6" s="270">
        <f>IF(I$5=0,0,INDEX([1]!empdata,MATCH(I$5,[1]!empid,0),16))</f>
        <v>0</v>
      </c>
      <c r="J6" s="270">
        <f>IF(J$5=0,0,INDEX([1]!empdata,MATCH(J$5,[1]!empid,0),16))</f>
        <v>0</v>
      </c>
      <c r="K6" s="270">
        <f>IF(K$5=0,0,INDEX([1]!empdata,MATCH(K$5,[1]!empid,0),16))</f>
        <v>0</v>
      </c>
      <c r="L6" s="270">
        <f>IF(L$5=0,0,INDEX([1]!empdata,MATCH(L$5,[1]!empid,0),16))</f>
        <v>0</v>
      </c>
      <c r="M6" s="270">
        <f>IF(M$5=0,0,INDEX([1]!empdata,MATCH(M$5,[1]!empid,0),16))</f>
        <v>0</v>
      </c>
      <c r="N6" s="270">
        <f>IF(N$5=0,0,INDEX([1]!empdata,MATCH(N$5,[1]!empid,0),16))</f>
        <v>0</v>
      </c>
      <c r="O6" s="270">
        <f>IF(O$5=0,0,INDEX([1]!empdata,MATCH(O$5,[1]!empid,0),16))</f>
        <v>0</v>
      </c>
      <c r="P6" s="270">
        <f>IF(P$5=0,0,INDEX([1]!empdata,MATCH(P$5,[1]!empid,0),16))</f>
        <v>0</v>
      </c>
      <c r="Q6" s="270">
        <f>IF(Q$5=0,0,INDEX([1]!empdata,MATCH(Q$5,[1]!empid,0),16))</f>
        <v>0</v>
      </c>
      <c r="R6" s="270">
        <f>IF(R$5=0,0,INDEX([1]!empdata,MATCH(R$5,[1]!empid,0),16))</f>
        <v>0</v>
      </c>
      <c r="S6" s="270">
        <f>IF(S$5=0,0,INDEX([1]!empdata,MATCH(S$5,[1]!empid,0),16))</f>
        <v>0</v>
      </c>
      <c r="T6" s="763" t="str">
        <f>+T5</f>
        <v>PSLIPVAL</v>
      </c>
      <c r="U6" s="272" t="s">
        <v>272</v>
      </c>
    </row>
    <row r="7" spans="1:21" ht="16.5" customHeight="1" thickTop="1" thickBot="1" x14ac:dyDescent="0.3">
      <c r="A7" s="273">
        <f>+DATA!$A$3</f>
        <v>46023</v>
      </c>
      <c r="B7" s="275">
        <f t="shared" ref="B7:Q18" ca="1" si="0">IF(B$5=0,0,INDEX((INDIRECT(B$6&amp;"!INDAT")),(MATCH($A7,(INDIRECT(B$6&amp;"!$O$2:$O$15")),0)),24))</f>
        <v>0</v>
      </c>
      <c r="C7" s="275">
        <f t="shared" ca="1" si="0"/>
        <v>0</v>
      </c>
      <c r="D7" s="275">
        <f t="shared" ca="1" si="0"/>
        <v>0</v>
      </c>
      <c r="E7" s="275">
        <f t="shared" ca="1" si="0"/>
        <v>0</v>
      </c>
      <c r="F7" s="275">
        <f t="shared" ca="1" si="0"/>
        <v>0</v>
      </c>
      <c r="G7" s="275">
        <f t="shared" ca="1" si="0"/>
        <v>0</v>
      </c>
      <c r="H7" s="275">
        <f t="shared" ca="1" si="0"/>
        <v>0</v>
      </c>
      <c r="I7" s="275">
        <f t="shared" ca="1" si="0"/>
        <v>0</v>
      </c>
      <c r="J7" s="275">
        <f t="shared" ca="1" si="0"/>
        <v>0</v>
      </c>
      <c r="K7" s="275">
        <f t="shared" ca="1" si="0"/>
        <v>0</v>
      </c>
      <c r="L7" s="275">
        <f t="shared" ca="1" si="0"/>
        <v>0</v>
      </c>
      <c r="M7" s="275">
        <f t="shared" ca="1" si="0"/>
        <v>0</v>
      </c>
      <c r="N7" s="275">
        <f t="shared" ca="1" si="0"/>
        <v>0</v>
      </c>
      <c r="O7" s="275">
        <f t="shared" ca="1" si="0"/>
        <v>0</v>
      </c>
      <c r="P7" s="275">
        <f t="shared" ca="1" si="0"/>
        <v>0</v>
      </c>
      <c r="Q7" s="275">
        <f t="shared" ca="1" si="0"/>
        <v>0</v>
      </c>
      <c r="R7" s="275">
        <f t="shared" ref="C7:S18" ca="1" si="1">IF(R$5=0,0,INDEX((INDIRECT(R$6&amp;"!INDAT")),(MATCH($A7,(INDIRECT(R$6&amp;"!$O$2:$O$15")),0)),24))</f>
        <v>0</v>
      </c>
      <c r="S7" s="275">
        <f t="shared" ca="1" si="1"/>
        <v>0</v>
      </c>
      <c r="T7" s="273">
        <f t="shared" ref="T7:T18" si="2">+A7</f>
        <v>46023</v>
      </c>
      <c r="U7" s="274"/>
    </row>
    <row r="8" spans="1:21" ht="16.5" customHeight="1" thickTop="1" thickBot="1" x14ac:dyDescent="0.3">
      <c r="A8" s="273">
        <f>+DATA!$A$4</f>
        <v>46054</v>
      </c>
      <c r="B8" s="275">
        <f t="shared" ca="1" si="0"/>
        <v>0</v>
      </c>
      <c r="C8" s="275">
        <f t="shared" ca="1" si="1"/>
        <v>0</v>
      </c>
      <c r="D8" s="275">
        <f t="shared" ca="1" si="1"/>
        <v>0</v>
      </c>
      <c r="E8" s="275">
        <f t="shared" ca="1" si="1"/>
        <v>0</v>
      </c>
      <c r="F8" s="275">
        <f t="shared" ca="1" si="1"/>
        <v>0</v>
      </c>
      <c r="G8" s="275">
        <f t="shared" ca="1" si="1"/>
        <v>0</v>
      </c>
      <c r="H8" s="275">
        <f t="shared" ca="1" si="1"/>
        <v>0</v>
      </c>
      <c r="I8" s="275">
        <f t="shared" ca="1" si="1"/>
        <v>0</v>
      </c>
      <c r="J8" s="275">
        <f t="shared" ca="1" si="1"/>
        <v>0</v>
      </c>
      <c r="K8" s="275">
        <f t="shared" ca="1" si="1"/>
        <v>0</v>
      </c>
      <c r="L8" s="275">
        <f t="shared" ca="1" si="1"/>
        <v>0</v>
      </c>
      <c r="M8" s="275">
        <f t="shared" ca="1" si="1"/>
        <v>0</v>
      </c>
      <c r="N8" s="275">
        <f t="shared" ca="1" si="1"/>
        <v>0</v>
      </c>
      <c r="O8" s="275">
        <f t="shared" ca="1" si="1"/>
        <v>0</v>
      </c>
      <c r="P8" s="275">
        <f t="shared" ca="1" si="1"/>
        <v>0</v>
      </c>
      <c r="Q8" s="275">
        <f t="shared" ca="1" si="1"/>
        <v>0</v>
      </c>
      <c r="R8" s="275">
        <f t="shared" ca="1" si="1"/>
        <v>0</v>
      </c>
      <c r="S8" s="275">
        <f t="shared" ca="1" si="1"/>
        <v>0</v>
      </c>
      <c r="T8" s="273">
        <f t="shared" si="2"/>
        <v>46054</v>
      </c>
      <c r="U8" s="274"/>
    </row>
    <row r="9" spans="1:21" ht="16.5" customHeight="1" thickTop="1" thickBot="1" x14ac:dyDescent="0.3">
      <c r="A9" s="273">
        <f>+DATA!$A$5</f>
        <v>46082</v>
      </c>
      <c r="B9" s="275">
        <f t="shared" ca="1" si="0"/>
        <v>0</v>
      </c>
      <c r="C9" s="275">
        <f t="shared" ca="1" si="1"/>
        <v>0</v>
      </c>
      <c r="D9" s="275">
        <f t="shared" ca="1" si="1"/>
        <v>0</v>
      </c>
      <c r="E9" s="275">
        <f t="shared" ca="1" si="1"/>
        <v>0</v>
      </c>
      <c r="F9" s="275">
        <f t="shared" ca="1" si="1"/>
        <v>0</v>
      </c>
      <c r="G9" s="275">
        <f t="shared" ca="1" si="1"/>
        <v>0</v>
      </c>
      <c r="H9" s="275">
        <f t="shared" ca="1" si="1"/>
        <v>0</v>
      </c>
      <c r="I9" s="275">
        <f t="shared" ca="1" si="1"/>
        <v>0</v>
      </c>
      <c r="J9" s="275">
        <f t="shared" ca="1" si="1"/>
        <v>0</v>
      </c>
      <c r="K9" s="275">
        <f t="shared" ca="1" si="1"/>
        <v>0</v>
      </c>
      <c r="L9" s="275">
        <f t="shared" ca="1" si="1"/>
        <v>0</v>
      </c>
      <c r="M9" s="275">
        <f t="shared" ca="1" si="1"/>
        <v>0</v>
      </c>
      <c r="N9" s="275">
        <f t="shared" ca="1" si="1"/>
        <v>0</v>
      </c>
      <c r="O9" s="275">
        <f t="shared" ca="1" si="1"/>
        <v>0</v>
      </c>
      <c r="P9" s="275">
        <f t="shared" ca="1" si="1"/>
        <v>0</v>
      </c>
      <c r="Q9" s="275">
        <f t="shared" ca="1" si="1"/>
        <v>0</v>
      </c>
      <c r="R9" s="275">
        <f t="shared" ca="1" si="1"/>
        <v>0</v>
      </c>
      <c r="S9" s="275">
        <f t="shared" ca="1" si="1"/>
        <v>0</v>
      </c>
      <c r="T9" s="273">
        <f t="shared" si="2"/>
        <v>46082</v>
      </c>
      <c r="U9" s="274"/>
    </row>
    <row r="10" spans="1:21" ht="16.5" customHeight="1" thickTop="1" thickBot="1" x14ac:dyDescent="0.3">
      <c r="A10" s="273">
        <f>+DATA!$A$6</f>
        <v>46113</v>
      </c>
      <c r="B10" s="275">
        <f t="shared" ca="1" si="0"/>
        <v>0</v>
      </c>
      <c r="C10" s="275">
        <f t="shared" ca="1" si="1"/>
        <v>0</v>
      </c>
      <c r="D10" s="275">
        <f t="shared" ca="1" si="1"/>
        <v>0</v>
      </c>
      <c r="E10" s="275">
        <f t="shared" ca="1" si="1"/>
        <v>0</v>
      </c>
      <c r="F10" s="275">
        <f t="shared" ca="1" si="1"/>
        <v>0</v>
      </c>
      <c r="G10" s="275">
        <f t="shared" ca="1" si="1"/>
        <v>0</v>
      </c>
      <c r="H10" s="275">
        <f t="shared" ca="1" si="1"/>
        <v>0</v>
      </c>
      <c r="I10" s="275">
        <f t="shared" ca="1" si="1"/>
        <v>0</v>
      </c>
      <c r="J10" s="275">
        <f t="shared" ca="1" si="1"/>
        <v>0</v>
      </c>
      <c r="K10" s="275">
        <f t="shared" ca="1" si="1"/>
        <v>0</v>
      </c>
      <c r="L10" s="275">
        <f t="shared" ca="1" si="1"/>
        <v>0</v>
      </c>
      <c r="M10" s="275">
        <f t="shared" ca="1" si="1"/>
        <v>0</v>
      </c>
      <c r="N10" s="275">
        <f t="shared" ca="1" si="1"/>
        <v>0</v>
      </c>
      <c r="O10" s="275">
        <f t="shared" ca="1" si="1"/>
        <v>0</v>
      </c>
      <c r="P10" s="275">
        <f t="shared" ca="1" si="1"/>
        <v>0</v>
      </c>
      <c r="Q10" s="275">
        <f t="shared" ca="1" si="1"/>
        <v>0</v>
      </c>
      <c r="R10" s="275">
        <f t="shared" ca="1" si="1"/>
        <v>0</v>
      </c>
      <c r="S10" s="275">
        <f t="shared" ca="1" si="1"/>
        <v>0</v>
      </c>
      <c r="T10" s="273">
        <f t="shared" si="2"/>
        <v>46113</v>
      </c>
      <c r="U10" s="274"/>
    </row>
    <row r="11" spans="1:21" ht="16.5" customHeight="1" thickTop="1" thickBot="1" x14ac:dyDescent="0.3">
      <c r="A11" s="273">
        <f>+DATA!$A$7</f>
        <v>46143</v>
      </c>
      <c r="B11" s="275">
        <f t="shared" ca="1" si="0"/>
        <v>0</v>
      </c>
      <c r="C11" s="275">
        <f t="shared" ca="1" si="1"/>
        <v>0</v>
      </c>
      <c r="D11" s="275">
        <f t="shared" ca="1" si="1"/>
        <v>0</v>
      </c>
      <c r="E11" s="275">
        <f t="shared" ca="1" si="1"/>
        <v>0</v>
      </c>
      <c r="F11" s="275">
        <f t="shared" ca="1" si="1"/>
        <v>0</v>
      </c>
      <c r="G11" s="275">
        <f t="shared" ca="1" si="1"/>
        <v>0</v>
      </c>
      <c r="H11" s="275">
        <f t="shared" ca="1" si="1"/>
        <v>0</v>
      </c>
      <c r="I11" s="275">
        <f t="shared" ca="1" si="1"/>
        <v>0</v>
      </c>
      <c r="J11" s="275">
        <f t="shared" ca="1" si="1"/>
        <v>0</v>
      </c>
      <c r="K11" s="275">
        <f t="shared" ca="1" si="1"/>
        <v>0</v>
      </c>
      <c r="L11" s="275">
        <f t="shared" ca="1" si="1"/>
        <v>0</v>
      </c>
      <c r="M11" s="275">
        <f t="shared" ca="1" si="1"/>
        <v>0</v>
      </c>
      <c r="N11" s="275">
        <f t="shared" ca="1" si="1"/>
        <v>0</v>
      </c>
      <c r="O11" s="275">
        <f t="shared" ca="1" si="1"/>
        <v>0</v>
      </c>
      <c r="P11" s="275">
        <f t="shared" ca="1" si="1"/>
        <v>0</v>
      </c>
      <c r="Q11" s="275">
        <f t="shared" ca="1" si="1"/>
        <v>0</v>
      </c>
      <c r="R11" s="275">
        <f t="shared" ca="1" si="1"/>
        <v>0</v>
      </c>
      <c r="S11" s="275">
        <f t="shared" ca="1" si="1"/>
        <v>0</v>
      </c>
      <c r="T11" s="273">
        <f t="shared" si="2"/>
        <v>46143</v>
      </c>
      <c r="U11" s="274"/>
    </row>
    <row r="12" spans="1:21" ht="16.5" customHeight="1" thickTop="1" thickBot="1" x14ac:dyDescent="0.3">
      <c r="A12" s="273">
        <f>+DATA!$A$8</f>
        <v>46174</v>
      </c>
      <c r="B12" s="275">
        <f t="shared" ca="1" si="0"/>
        <v>0</v>
      </c>
      <c r="C12" s="275">
        <f t="shared" ca="1" si="1"/>
        <v>0</v>
      </c>
      <c r="D12" s="275">
        <f t="shared" ca="1" si="1"/>
        <v>0</v>
      </c>
      <c r="E12" s="275">
        <f t="shared" ca="1" si="1"/>
        <v>0</v>
      </c>
      <c r="F12" s="275">
        <f t="shared" ca="1" si="1"/>
        <v>0</v>
      </c>
      <c r="G12" s="275">
        <f t="shared" ca="1" si="1"/>
        <v>0</v>
      </c>
      <c r="H12" s="275">
        <f t="shared" ca="1" si="1"/>
        <v>0</v>
      </c>
      <c r="I12" s="275">
        <f t="shared" ca="1" si="1"/>
        <v>0</v>
      </c>
      <c r="J12" s="275">
        <f t="shared" ca="1" si="1"/>
        <v>0</v>
      </c>
      <c r="K12" s="275">
        <f t="shared" ca="1" si="1"/>
        <v>0</v>
      </c>
      <c r="L12" s="275">
        <f t="shared" ca="1" si="1"/>
        <v>0</v>
      </c>
      <c r="M12" s="275">
        <f t="shared" ca="1" si="1"/>
        <v>0</v>
      </c>
      <c r="N12" s="275">
        <f t="shared" ca="1" si="1"/>
        <v>0</v>
      </c>
      <c r="O12" s="275">
        <f t="shared" ca="1" si="1"/>
        <v>0</v>
      </c>
      <c r="P12" s="275">
        <f t="shared" ca="1" si="1"/>
        <v>0</v>
      </c>
      <c r="Q12" s="275">
        <f t="shared" ca="1" si="1"/>
        <v>0</v>
      </c>
      <c r="R12" s="275">
        <f t="shared" ca="1" si="1"/>
        <v>0</v>
      </c>
      <c r="S12" s="275">
        <f t="shared" ca="1" si="1"/>
        <v>0</v>
      </c>
      <c r="T12" s="273">
        <f t="shared" si="2"/>
        <v>46174</v>
      </c>
      <c r="U12" s="274"/>
    </row>
    <row r="13" spans="1:21" ht="16.5" customHeight="1" thickTop="1" thickBot="1" x14ac:dyDescent="0.3">
      <c r="A13" s="273">
        <f>+DATA!$A$9</f>
        <v>46204</v>
      </c>
      <c r="B13" s="275">
        <f t="shared" ca="1" si="0"/>
        <v>0</v>
      </c>
      <c r="C13" s="275">
        <f t="shared" ca="1" si="1"/>
        <v>0</v>
      </c>
      <c r="D13" s="275">
        <f t="shared" ca="1" si="1"/>
        <v>0</v>
      </c>
      <c r="E13" s="275">
        <f t="shared" ca="1" si="1"/>
        <v>0</v>
      </c>
      <c r="F13" s="275">
        <f t="shared" ca="1" si="1"/>
        <v>0</v>
      </c>
      <c r="G13" s="275">
        <f t="shared" ca="1" si="1"/>
        <v>0</v>
      </c>
      <c r="H13" s="275">
        <f t="shared" ca="1" si="1"/>
        <v>0</v>
      </c>
      <c r="I13" s="275">
        <f t="shared" ca="1" si="1"/>
        <v>0</v>
      </c>
      <c r="J13" s="275">
        <f t="shared" ca="1" si="1"/>
        <v>0</v>
      </c>
      <c r="K13" s="275">
        <f t="shared" ca="1" si="1"/>
        <v>0</v>
      </c>
      <c r="L13" s="275">
        <f t="shared" ca="1" si="1"/>
        <v>0</v>
      </c>
      <c r="M13" s="275">
        <f t="shared" ca="1" si="1"/>
        <v>0</v>
      </c>
      <c r="N13" s="275">
        <f t="shared" ca="1" si="1"/>
        <v>0</v>
      </c>
      <c r="O13" s="275">
        <f t="shared" ca="1" si="1"/>
        <v>0</v>
      </c>
      <c r="P13" s="275">
        <f t="shared" ca="1" si="1"/>
        <v>0</v>
      </c>
      <c r="Q13" s="275">
        <f t="shared" ca="1" si="1"/>
        <v>0</v>
      </c>
      <c r="R13" s="275">
        <f t="shared" ca="1" si="1"/>
        <v>0</v>
      </c>
      <c r="S13" s="275">
        <f t="shared" ca="1" si="1"/>
        <v>0</v>
      </c>
      <c r="T13" s="273">
        <f t="shared" si="2"/>
        <v>46204</v>
      </c>
      <c r="U13" s="274"/>
    </row>
    <row r="14" spans="1:21" ht="16.5" customHeight="1" thickTop="1" thickBot="1" x14ac:dyDescent="0.3">
      <c r="A14" s="273">
        <f>+DATA!$A$10</f>
        <v>46235</v>
      </c>
      <c r="B14" s="275">
        <f t="shared" ca="1" si="0"/>
        <v>0</v>
      </c>
      <c r="C14" s="275">
        <f t="shared" ca="1" si="1"/>
        <v>0</v>
      </c>
      <c r="D14" s="275">
        <f t="shared" ca="1" si="1"/>
        <v>0</v>
      </c>
      <c r="E14" s="275">
        <f t="shared" ca="1" si="1"/>
        <v>0</v>
      </c>
      <c r="F14" s="275">
        <f t="shared" ca="1" si="1"/>
        <v>0</v>
      </c>
      <c r="G14" s="275">
        <f t="shared" ca="1" si="1"/>
        <v>0</v>
      </c>
      <c r="H14" s="275">
        <f t="shared" ca="1" si="1"/>
        <v>0</v>
      </c>
      <c r="I14" s="275">
        <f t="shared" ca="1" si="1"/>
        <v>0</v>
      </c>
      <c r="J14" s="275">
        <f t="shared" ca="1" si="1"/>
        <v>0</v>
      </c>
      <c r="K14" s="275">
        <f t="shared" ca="1" si="1"/>
        <v>0</v>
      </c>
      <c r="L14" s="275">
        <f t="shared" ca="1" si="1"/>
        <v>0</v>
      </c>
      <c r="M14" s="275">
        <f t="shared" ca="1" si="1"/>
        <v>0</v>
      </c>
      <c r="N14" s="275">
        <f t="shared" ca="1" si="1"/>
        <v>0</v>
      </c>
      <c r="O14" s="275">
        <f t="shared" ca="1" si="1"/>
        <v>0</v>
      </c>
      <c r="P14" s="275">
        <f t="shared" ca="1" si="1"/>
        <v>0</v>
      </c>
      <c r="Q14" s="275">
        <f t="shared" ca="1" si="1"/>
        <v>0</v>
      </c>
      <c r="R14" s="275">
        <f t="shared" ca="1" si="1"/>
        <v>0</v>
      </c>
      <c r="S14" s="275">
        <f t="shared" ca="1" si="1"/>
        <v>0</v>
      </c>
      <c r="T14" s="273">
        <f t="shared" si="2"/>
        <v>46235</v>
      </c>
      <c r="U14" s="274"/>
    </row>
    <row r="15" spans="1:21" ht="16.5" customHeight="1" thickTop="1" thickBot="1" x14ac:dyDescent="0.3">
      <c r="A15" s="273">
        <f>+DATA!$A$11</f>
        <v>46266</v>
      </c>
      <c r="B15" s="275">
        <f t="shared" ca="1" si="0"/>
        <v>0</v>
      </c>
      <c r="C15" s="275">
        <f t="shared" ca="1" si="1"/>
        <v>0</v>
      </c>
      <c r="D15" s="275">
        <f t="shared" ca="1" si="1"/>
        <v>0</v>
      </c>
      <c r="E15" s="275">
        <f t="shared" ca="1" si="1"/>
        <v>0</v>
      </c>
      <c r="F15" s="275">
        <f t="shared" ca="1" si="1"/>
        <v>0</v>
      </c>
      <c r="G15" s="275">
        <f t="shared" ca="1" si="1"/>
        <v>0</v>
      </c>
      <c r="H15" s="275">
        <f t="shared" ca="1" si="1"/>
        <v>0</v>
      </c>
      <c r="I15" s="275">
        <f t="shared" ca="1" si="1"/>
        <v>0</v>
      </c>
      <c r="J15" s="275">
        <f t="shared" ca="1" si="1"/>
        <v>0</v>
      </c>
      <c r="K15" s="275">
        <f t="shared" ca="1" si="1"/>
        <v>0</v>
      </c>
      <c r="L15" s="275">
        <f t="shared" ca="1" si="1"/>
        <v>0</v>
      </c>
      <c r="M15" s="275">
        <f t="shared" ca="1" si="1"/>
        <v>0</v>
      </c>
      <c r="N15" s="275">
        <f t="shared" ca="1" si="1"/>
        <v>0</v>
      </c>
      <c r="O15" s="275">
        <f t="shared" ca="1" si="1"/>
        <v>0</v>
      </c>
      <c r="P15" s="275">
        <f t="shared" ca="1" si="1"/>
        <v>0</v>
      </c>
      <c r="Q15" s="275">
        <f t="shared" ca="1" si="1"/>
        <v>0</v>
      </c>
      <c r="R15" s="275">
        <f t="shared" ca="1" si="1"/>
        <v>0</v>
      </c>
      <c r="S15" s="275">
        <f t="shared" ca="1" si="1"/>
        <v>0</v>
      </c>
      <c r="T15" s="273">
        <f t="shared" si="2"/>
        <v>46266</v>
      </c>
      <c r="U15" s="274"/>
    </row>
    <row r="16" spans="1:21" ht="16.5" customHeight="1" thickTop="1" thickBot="1" x14ac:dyDescent="0.3">
      <c r="A16" s="273">
        <f>+DATA!$A$12</f>
        <v>46296</v>
      </c>
      <c r="B16" s="275">
        <f t="shared" ca="1" si="0"/>
        <v>0</v>
      </c>
      <c r="C16" s="275">
        <f t="shared" ca="1" si="1"/>
        <v>0</v>
      </c>
      <c r="D16" s="275">
        <f t="shared" ca="1" si="1"/>
        <v>0</v>
      </c>
      <c r="E16" s="275">
        <f t="shared" ca="1" si="1"/>
        <v>0</v>
      </c>
      <c r="F16" s="275">
        <f t="shared" ca="1" si="1"/>
        <v>0</v>
      </c>
      <c r="G16" s="275">
        <f t="shared" ca="1" si="1"/>
        <v>0</v>
      </c>
      <c r="H16" s="275">
        <f t="shared" ca="1" si="1"/>
        <v>0</v>
      </c>
      <c r="I16" s="275">
        <f t="shared" ca="1" si="1"/>
        <v>0</v>
      </c>
      <c r="J16" s="275">
        <f t="shared" ca="1" si="1"/>
        <v>0</v>
      </c>
      <c r="K16" s="275">
        <f t="shared" ca="1" si="1"/>
        <v>0</v>
      </c>
      <c r="L16" s="275">
        <f t="shared" ca="1" si="1"/>
        <v>0</v>
      </c>
      <c r="M16" s="275">
        <f t="shared" ca="1" si="1"/>
        <v>0</v>
      </c>
      <c r="N16" s="275">
        <f t="shared" ca="1" si="1"/>
        <v>0</v>
      </c>
      <c r="O16" s="275">
        <f t="shared" ca="1" si="1"/>
        <v>0</v>
      </c>
      <c r="P16" s="275">
        <f t="shared" ca="1" si="1"/>
        <v>0</v>
      </c>
      <c r="Q16" s="275">
        <f t="shared" ca="1" si="1"/>
        <v>0</v>
      </c>
      <c r="R16" s="275">
        <f t="shared" ca="1" si="1"/>
        <v>0</v>
      </c>
      <c r="S16" s="275">
        <f t="shared" ca="1" si="1"/>
        <v>0</v>
      </c>
      <c r="T16" s="273">
        <f t="shared" si="2"/>
        <v>46296</v>
      </c>
      <c r="U16" s="274"/>
    </row>
    <row r="17" spans="1:21" ht="16.5" customHeight="1" thickTop="1" thickBot="1" x14ac:dyDescent="0.3">
      <c r="A17" s="273">
        <f>+DATA!$A$13</f>
        <v>46327</v>
      </c>
      <c r="B17" s="275">
        <f t="shared" ca="1" si="0"/>
        <v>0</v>
      </c>
      <c r="C17" s="275">
        <f t="shared" ca="1" si="1"/>
        <v>0</v>
      </c>
      <c r="D17" s="275">
        <f t="shared" ca="1" si="1"/>
        <v>0</v>
      </c>
      <c r="E17" s="275">
        <f t="shared" ca="1" si="1"/>
        <v>0</v>
      </c>
      <c r="F17" s="275">
        <f t="shared" ca="1" si="1"/>
        <v>0</v>
      </c>
      <c r="G17" s="275">
        <f t="shared" ca="1" si="1"/>
        <v>0</v>
      </c>
      <c r="H17" s="275">
        <f t="shared" ca="1" si="1"/>
        <v>0</v>
      </c>
      <c r="I17" s="275">
        <f t="shared" ca="1" si="1"/>
        <v>0</v>
      </c>
      <c r="J17" s="275">
        <f t="shared" ca="1" si="1"/>
        <v>0</v>
      </c>
      <c r="K17" s="275">
        <f t="shared" ca="1" si="1"/>
        <v>0</v>
      </c>
      <c r="L17" s="275">
        <f t="shared" ca="1" si="1"/>
        <v>0</v>
      </c>
      <c r="M17" s="275">
        <f t="shared" ca="1" si="1"/>
        <v>0</v>
      </c>
      <c r="N17" s="275">
        <f t="shared" ca="1" si="1"/>
        <v>0</v>
      </c>
      <c r="O17" s="275">
        <f t="shared" ca="1" si="1"/>
        <v>0</v>
      </c>
      <c r="P17" s="275">
        <f t="shared" ca="1" si="1"/>
        <v>0</v>
      </c>
      <c r="Q17" s="275">
        <f t="shared" ca="1" si="1"/>
        <v>0</v>
      </c>
      <c r="R17" s="275">
        <f t="shared" ca="1" si="1"/>
        <v>0</v>
      </c>
      <c r="S17" s="275">
        <f t="shared" ca="1" si="1"/>
        <v>0</v>
      </c>
      <c r="T17" s="273">
        <f t="shared" si="2"/>
        <v>46327</v>
      </c>
      <c r="U17" s="274"/>
    </row>
    <row r="18" spans="1:21" ht="16.5" customHeight="1" thickTop="1" thickBot="1" x14ac:dyDescent="0.3">
      <c r="A18" s="273">
        <f>+DATA!$A$14</f>
        <v>46357</v>
      </c>
      <c r="B18" s="275">
        <f t="shared" ca="1" si="0"/>
        <v>0</v>
      </c>
      <c r="C18" s="275">
        <f t="shared" ca="1" si="1"/>
        <v>0</v>
      </c>
      <c r="D18" s="275">
        <f t="shared" ca="1" si="1"/>
        <v>0</v>
      </c>
      <c r="E18" s="275">
        <f t="shared" ca="1" si="1"/>
        <v>0</v>
      </c>
      <c r="F18" s="275">
        <f t="shared" ca="1" si="1"/>
        <v>0</v>
      </c>
      <c r="G18" s="275">
        <f t="shared" ca="1" si="1"/>
        <v>0</v>
      </c>
      <c r="H18" s="275">
        <f t="shared" ca="1" si="1"/>
        <v>0</v>
      </c>
      <c r="I18" s="275">
        <f t="shared" ca="1" si="1"/>
        <v>0</v>
      </c>
      <c r="J18" s="275">
        <f t="shared" ca="1" si="1"/>
        <v>0</v>
      </c>
      <c r="K18" s="275">
        <f t="shared" ca="1" si="1"/>
        <v>0</v>
      </c>
      <c r="L18" s="275">
        <f t="shared" ca="1" si="1"/>
        <v>0</v>
      </c>
      <c r="M18" s="275">
        <f t="shared" ca="1" si="1"/>
        <v>0</v>
      </c>
      <c r="N18" s="275">
        <f t="shared" ca="1" si="1"/>
        <v>0</v>
      </c>
      <c r="O18" s="275">
        <f t="shared" ca="1" si="1"/>
        <v>0</v>
      </c>
      <c r="P18" s="275">
        <f t="shared" ca="1" si="1"/>
        <v>0</v>
      </c>
      <c r="Q18" s="275">
        <f t="shared" ca="1" si="1"/>
        <v>0</v>
      </c>
      <c r="R18" s="275">
        <f t="shared" ca="1" si="1"/>
        <v>0</v>
      </c>
      <c r="S18" s="275">
        <f t="shared" ca="1" si="1"/>
        <v>0</v>
      </c>
      <c r="T18" s="766">
        <f t="shared" si="2"/>
        <v>46357</v>
      </c>
      <c r="U18" s="767"/>
    </row>
    <row r="19" spans="1:21" ht="15.75" customHeight="1" thickBot="1" x14ac:dyDescent="0.3">
      <c r="A19" s="267" t="s">
        <v>265</v>
      </c>
      <c r="T19" s="339"/>
      <c r="U19" s="49"/>
    </row>
    <row r="20" spans="1:21" ht="16.5" customHeight="1" thickTop="1" thickBot="1" x14ac:dyDescent="0.3">
      <c r="A20" s="50" t="s">
        <v>266</v>
      </c>
      <c r="B20" s="762">
        <f ca="1">SUM(B7:B18)</f>
        <v>0</v>
      </c>
      <c r="C20" s="762">
        <f t="shared" ref="C20:S20" ca="1" si="3">SUM(C7:C18)</f>
        <v>0</v>
      </c>
      <c r="D20" s="762">
        <f t="shared" ca="1" si="3"/>
        <v>0</v>
      </c>
      <c r="E20" s="762">
        <f t="shared" ca="1" si="3"/>
        <v>0</v>
      </c>
      <c r="F20" s="762">
        <f t="shared" ca="1" si="3"/>
        <v>0</v>
      </c>
      <c r="G20" s="762">
        <f t="shared" ca="1" si="3"/>
        <v>0</v>
      </c>
      <c r="H20" s="762">
        <f t="shared" ca="1" si="3"/>
        <v>0</v>
      </c>
      <c r="I20" s="762">
        <f t="shared" ca="1" si="3"/>
        <v>0</v>
      </c>
      <c r="J20" s="762">
        <f t="shared" ca="1" si="3"/>
        <v>0</v>
      </c>
      <c r="K20" s="762">
        <f t="shared" ca="1" si="3"/>
        <v>0</v>
      </c>
      <c r="L20" s="762">
        <f t="shared" ca="1" si="3"/>
        <v>0</v>
      </c>
      <c r="M20" s="762">
        <f t="shared" ca="1" si="3"/>
        <v>0</v>
      </c>
      <c r="N20" s="762">
        <f t="shared" ca="1" si="3"/>
        <v>0</v>
      </c>
      <c r="O20" s="762">
        <f t="shared" ca="1" si="3"/>
        <v>0</v>
      </c>
      <c r="P20" s="762">
        <f t="shared" ca="1" si="3"/>
        <v>0</v>
      </c>
      <c r="Q20" s="762">
        <f t="shared" ca="1" si="3"/>
        <v>0</v>
      </c>
      <c r="R20" s="762">
        <f t="shared" ca="1" si="3"/>
        <v>0</v>
      </c>
      <c r="S20" s="762">
        <f t="shared" ca="1" si="3"/>
        <v>0</v>
      </c>
      <c r="T20" s="273"/>
      <c r="U20" s="274">
        <f>SUM(U7:U18)</f>
        <v>0</v>
      </c>
    </row>
    <row r="21" spans="1:21" ht="16.5" customHeight="1" thickTop="1" thickBot="1" x14ac:dyDescent="0.3">
      <c r="A21" s="51"/>
      <c r="B21" s="24"/>
      <c r="C21" s="24"/>
      <c r="D21" s="24"/>
      <c r="E21" s="24"/>
      <c r="F21" s="24"/>
      <c r="G21" s="24"/>
      <c r="H21" s="24"/>
      <c r="I21" s="24"/>
      <c r="J21" s="24"/>
      <c r="K21" s="24"/>
      <c r="L21" s="24"/>
      <c r="M21" s="24"/>
      <c r="N21" s="24"/>
      <c r="O21" s="24"/>
      <c r="P21" s="24"/>
      <c r="Q21" s="24"/>
      <c r="R21" s="24"/>
      <c r="S21" s="24"/>
      <c r="T21" s="51"/>
      <c r="U21" s="52"/>
    </row>
    <row r="22" spans="1:21" ht="15.75" customHeight="1" thickBot="1" x14ac:dyDescent="0.3"/>
    <row r="23" spans="1:21" ht="15.75" customHeight="1" thickBot="1" x14ac:dyDescent="0.3">
      <c r="A23" s="271" t="s">
        <v>267</v>
      </c>
      <c r="B23" s="760"/>
      <c r="C23" s="760"/>
      <c r="D23" s="760"/>
      <c r="E23" s="760"/>
      <c r="F23" s="760"/>
      <c r="G23" s="760"/>
      <c r="H23" s="760"/>
      <c r="I23" s="760"/>
      <c r="J23" s="760"/>
      <c r="K23" s="760"/>
      <c r="L23" s="760"/>
      <c r="M23" s="760"/>
      <c r="N23" s="760"/>
      <c r="O23" s="760"/>
      <c r="P23" s="760"/>
      <c r="Q23" s="760"/>
      <c r="R23" s="760"/>
      <c r="S23" s="760"/>
      <c r="T23" s="761"/>
      <c r="U23" s="268"/>
    </row>
    <row r="24" spans="1:21" ht="24.75" customHeight="1" thickTop="1" thickBot="1" x14ac:dyDescent="0.4">
      <c r="A24" s="278">
        <f>DATA!$A$2</f>
        <v>46023</v>
      </c>
      <c r="B24" s="778"/>
      <c r="C24" s="778"/>
      <c r="D24" s="778"/>
      <c r="E24" s="778"/>
      <c r="F24" s="778"/>
      <c r="G24" s="778"/>
      <c r="H24" s="778"/>
      <c r="I24" s="778"/>
      <c r="J24" s="778"/>
      <c r="K24" s="778"/>
      <c r="L24" s="778"/>
      <c r="M24" s="778"/>
      <c r="N24" s="778"/>
      <c r="O24" s="778"/>
      <c r="P24" s="778"/>
      <c r="Q24" s="778"/>
      <c r="R24" s="778"/>
      <c r="S24" s="778"/>
      <c r="T24" s="759"/>
      <c r="U24" s="269"/>
    </row>
    <row r="25" spans="1:21" ht="15.75" customHeight="1" thickBot="1" x14ac:dyDescent="0.3">
      <c r="A25" s="25" t="s">
        <v>262</v>
      </c>
      <c r="B25" s="777"/>
      <c r="C25" s="777"/>
      <c r="D25" s="777"/>
      <c r="E25" s="777"/>
      <c r="F25" s="777"/>
      <c r="G25" s="777"/>
      <c r="H25" s="777"/>
      <c r="I25" s="777"/>
      <c r="J25" s="777"/>
      <c r="K25" s="777"/>
      <c r="L25" s="777"/>
      <c r="M25" s="777"/>
      <c r="N25" s="777"/>
      <c r="O25" s="777"/>
      <c r="P25" s="777"/>
      <c r="Q25" s="777"/>
      <c r="R25" s="777"/>
      <c r="S25" s="777"/>
      <c r="T25" s="764" t="str">
        <f>+A23</f>
        <v>GROSS</v>
      </c>
      <c r="U25" s="765"/>
    </row>
    <row r="26" spans="1:21" ht="15.75" customHeight="1" thickBot="1" x14ac:dyDescent="0.3">
      <c r="A26" s="25" t="s">
        <v>263</v>
      </c>
      <c r="B26" s="270">
        <f>IF(B$5=0,0,INDEX([1]!empdata,MATCH(B$5,[1]!empid,0),16))</f>
        <v>0</v>
      </c>
      <c r="C26" s="270">
        <f>IF(C$5=0,0,INDEX([1]!empdata,MATCH(C$5,[1]!empid,0),16))</f>
        <v>0</v>
      </c>
      <c r="D26" s="270">
        <f>IF(D$5=0,0,INDEX([1]!empdata,MATCH(D$5,[1]!empid,0),16))</f>
        <v>0</v>
      </c>
      <c r="E26" s="270">
        <f>IF(E$5=0,0,INDEX([1]!empdata,MATCH(E$5,[1]!empid,0),16))</f>
        <v>0</v>
      </c>
      <c r="F26" s="270">
        <f>IF(F$5=0,0,INDEX([1]!empdata,MATCH(F$5,[1]!empid,0),16))</f>
        <v>0</v>
      </c>
      <c r="G26" s="270">
        <f>IF(G$5=0,0,INDEX([1]!empdata,MATCH(G$5,[1]!empid,0),16))</f>
        <v>0</v>
      </c>
      <c r="H26" s="270">
        <f>IF(H$5=0,0,INDEX([1]!empdata,MATCH(H$5,[1]!empid,0),16))</f>
        <v>0</v>
      </c>
      <c r="I26" s="270">
        <f>IF(I$5=0,0,INDEX([1]!empdata,MATCH(I$5,[1]!empid,0),16))</f>
        <v>0</v>
      </c>
      <c r="J26" s="270">
        <f>IF(J$5=0,0,INDEX([1]!empdata,MATCH(J$5,[1]!empid,0),16))</f>
        <v>0</v>
      </c>
      <c r="K26" s="270">
        <f>IF(K$5=0,0,INDEX([1]!empdata,MATCH(K$5,[1]!empid,0),16))</f>
        <v>0</v>
      </c>
      <c r="L26" s="270">
        <f>IF(L$5=0,0,INDEX([1]!empdata,MATCH(L$5,[1]!empid,0),16))</f>
        <v>0</v>
      </c>
      <c r="M26" s="270">
        <f>IF(M$5=0,0,INDEX([1]!empdata,MATCH(M$5,[1]!empid,0),16))</f>
        <v>0</v>
      </c>
      <c r="N26" s="270">
        <f>IF(N$5=0,0,INDEX([1]!empdata,MATCH(N$5,[1]!empid,0),16))</f>
        <v>0</v>
      </c>
      <c r="O26" s="270">
        <f>IF(O$5=0,0,INDEX([1]!empdata,MATCH(O$5,[1]!empid,0),16))</f>
        <v>0</v>
      </c>
      <c r="P26" s="270">
        <f>IF(P$5=0,0,INDEX([1]!empdata,MATCH(P$5,[1]!empid,0),16))</f>
        <v>0</v>
      </c>
      <c r="Q26" s="270">
        <f>IF(Q$5=0,0,INDEX([1]!empdata,MATCH(Q$5,[1]!empid,0),16))</f>
        <v>0</v>
      </c>
      <c r="R26" s="270">
        <f>IF(R$5=0,0,INDEX([1]!empdata,MATCH(R$5,[1]!empid,0),16))</f>
        <v>0</v>
      </c>
      <c r="S26" s="270">
        <f>IF(S$5=0,0,INDEX([1]!empdata,MATCH(S$5,[1]!empid,0),16))</f>
        <v>0</v>
      </c>
      <c r="T26" s="763" t="str">
        <f>+T25</f>
        <v>GROSS</v>
      </c>
      <c r="U26" s="272" t="s">
        <v>272</v>
      </c>
    </row>
    <row r="27" spans="1:21" ht="16.5" customHeight="1" thickTop="1" thickBot="1" x14ac:dyDescent="0.3">
      <c r="A27" s="273">
        <f>+DATA!$A$3</f>
        <v>46023</v>
      </c>
      <c r="B27" s="275">
        <f t="shared" ref="B27:Q38" ca="1" si="4">IF(B$5=0,0,INDEX((INDIRECT(B$6&amp;"!INDAT")),(MATCH($A27,(INDIRECT(B$6&amp;"!$O$2:$O$15")),0)),12))</f>
        <v>0</v>
      </c>
      <c r="C27" s="275">
        <f t="shared" ca="1" si="4"/>
        <v>0</v>
      </c>
      <c r="D27" s="275">
        <f t="shared" ca="1" si="4"/>
        <v>0</v>
      </c>
      <c r="E27" s="275">
        <f t="shared" ca="1" si="4"/>
        <v>0</v>
      </c>
      <c r="F27" s="275">
        <f t="shared" ca="1" si="4"/>
        <v>0</v>
      </c>
      <c r="G27" s="275">
        <f t="shared" ca="1" si="4"/>
        <v>0</v>
      </c>
      <c r="H27" s="275">
        <f t="shared" ca="1" si="4"/>
        <v>0</v>
      </c>
      <c r="I27" s="275">
        <f t="shared" ca="1" si="4"/>
        <v>0</v>
      </c>
      <c r="J27" s="275">
        <f t="shared" ca="1" si="4"/>
        <v>0</v>
      </c>
      <c r="K27" s="275">
        <f t="shared" ca="1" si="4"/>
        <v>0</v>
      </c>
      <c r="L27" s="275">
        <f t="shared" ca="1" si="4"/>
        <v>0</v>
      </c>
      <c r="M27" s="275">
        <f t="shared" ca="1" si="4"/>
        <v>0</v>
      </c>
      <c r="N27" s="275">
        <f t="shared" ca="1" si="4"/>
        <v>0</v>
      </c>
      <c r="O27" s="275">
        <f t="shared" ca="1" si="4"/>
        <v>0</v>
      </c>
      <c r="P27" s="275">
        <f t="shared" ca="1" si="4"/>
        <v>0</v>
      </c>
      <c r="Q27" s="275">
        <f t="shared" ca="1" si="4"/>
        <v>0</v>
      </c>
      <c r="R27" s="275">
        <f t="shared" ref="C27:S38" ca="1" si="5">IF(R$5=0,0,INDEX((INDIRECT(R$6&amp;"!INDAT")),(MATCH($A27,(INDIRECT(R$6&amp;"!$O$2:$O$15")),0)),12))</f>
        <v>0</v>
      </c>
      <c r="S27" s="275">
        <f t="shared" ca="1" si="5"/>
        <v>0</v>
      </c>
      <c r="T27" s="273">
        <f t="shared" ref="T27:T38" si="6">+A27</f>
        <v>46023</v>
      </c>
      <c r="U27" s="274"/>
    </row>
    <row r="28" spans="1:21" ht="16.5" customHeight="1" thickTop="1" thickBot="1" x14ac:dyDescent="0.3">
      <c r="A28" s="273">
        <f>+DATA!$A$4</f>
        <v>46054</v>
      </c>
      <c r="B28" s="275">
        <f t="shared" ca="1" si="4"/>
        <v>0</v>
      </c>
      <c r="C28" s="275">
        <f t="shared" ca="1" si="5"/>
        <v>0</v>
      </c>
      <c r="D28" s="275">
        <f t="shared" ca="1" si="5"/>
        <v>0</v>
      </c>
      <c r="E28" s="275">
        <f t="shared" ca="1" si="5"/>
        <v>0</v>
      </c>
      <c r="F28" s="275">
        <f t="shared" ca="1" si="5"/>
        <v>0</v>
      </c>
      <c r="G28" s="275">
        <f t="shared" ca="1" si="5"/>
        <v>0</v>
      </c>
      <c r="H28" s="275">
        <f t="shared" ca="1" si="5"/>
        <v>0</v>
      </c>
      <c r="I28" s="275">
        <f t="shared" ca="1" si="5"/>
        <v>0</v>
      </c>
      <c r="J28" s="275">
        <f t="shared" ca="1" si="5"/>
        <v>0</v>
      </c>
      <c r="K28" s="275">
        <f t="shared" ca="1" si="5"/>
        <v>0</v>
      </c>
      <c r="L28" s="275">
        <f t="shared" ca="1" si="5"/>
        <v>0</v>
      </c>
      <c r="M28" s="275">
        <f t="shared" ca="1" si="5"/>
        <v>0</v>
      </c>
      <c r="N28" s="275">
        <f t="shared" ca="1" si="5"/>
        <v>0</v>
      </c>
      <c r="O28" s="275">
        <f t="shared" ca="1" si="5"/>
        <v>0</v>
      </c>
      <c r="P28" s="275">
        <f t="shared" ca="1" si="5"/>
        <v>0</v>
      </c>
      <c r="Q28" s="275">
        <f t="shared" ca="1" si="5"/>
        <v>0</v>
      </c>
      <c r="R28" s="275">
        <f t="shared" ca="1" si="5"/>
        <v>0</v>
      </c>
      <c r="S28" s="275">
        <f t="shared" ca="1" si="5"/>
        <v>0</v>
      </c>
      <c r="T28" s="273">
        <f t="shared" si="6"/>
        <v>46054</v>
      </c>
      <c r="U28" s="274"/>
    </row>
    <row r="29" spans="1:21" ht="16.5" customHeight="1" thickTop="1" thickBot="1" x14ac:dyDescent="0.3">
      <c r="A29" s="273">
        <f>+DATA!$A$5</f>
        <v>46082</v>
      </c>
      <c r="B29" s="275">
        <f t="shared" ca="1" si="4"/>
        <v>0</v>
      </c>
      <c r="C29" s="275">
        <f t="shared" ca="1" si="5"/>
        <v>0</v>
      </c>
      <c r="D29" s="275">
        <f t="shared" ca="1" si="5"/>
        <v>0</v>
      </c>
      <c r="E29" s="275">
        <f t="shared" ca="1" si="5"/>
        <v>0</v>
      </c>
      <c r="F29" s="275">
        <f t="shared" ca="1" si="5"/>
        <v>0</v>
      </c>
      <c r="G29" s="275">
        <f t="shared" ca="1" si="5"/>
        <v>0</v>
      </c>
      <c r="H29" s="275">
        <f t="shared" ca="1" si="5"/>
        <v>0</v>
      </c>
      <c r="I29" s="275">
        <f t="shared" ca="1" si="5"/>
        <v>0</v>
      </c>
      <c r="J29" s="275">
        <f t="shared" ca="1" si="5"/>
        <v>0</v>
      </c>
      <c r="K29" s="275">
        <f t="shared" ca="1" si="5"/>
        <v>0</v>
      </c>
      <c r="L29" s="275">
        <f t="shared" ca="1" si="5"/>
        <v>0</v>
      </c>
      <c r="M29" s="275">
        <f t="shared" ca="1" si="5"/>
        <v>0</v>
      </c>
      <c r="N29" s="275">
        <f t="shared" ca="1" si="5"/>
        <v>0</v>
      </c>
      <c r="O29" s="275">
        <f t="shared" ca="1" si="5"/>
        <v>0</v>
      </c>
      <c r="P29" s="275">
        <f t="shared" ca="1" si="5"/>
        <v>0</v>
      </c>
      <c r="Q29" s="275">
        <f t="shared" ca="1" si="5"/>
        <v>0</v>
      </c>
      <c r="R29" s="275">
        <f t="shared" ca="1" si="5"/>
        <v>0</v>
      </c>
      <c r="S29" s="275">
        <f t="shared" ca="1" si="5"/>
        <v>0</v>
      </c>
      <c r="T29" s="273">
        <f t="shared" si="6"/>
        <v>46082</v>
      </c>
      <c r="U29" s="274"/>
    </row>
    <row r="30" spans="1:21" ht="16.5" customHeight="1" thickTop="1" thickBot="1" x14ac:dyDescent="0.3">
      <c r="A30" s="273">
        <f>+DATA!$A$6</f>
        <v>46113</v>
      </c>
      <c r="B30" s="275">
        <f t="shared" ca="1" si="4"/>
        <v>0</v>
      </c>
      <c r="C30" s="275">
        <f t="shared" ca="1" si="5"/>
        <v>0</v>
      </c>
      <c r="D30" s="275">
        <f t="shared" ca="1" si="5"/>
        <v>0</v>
      </c>
      <c r="E30" s="275">
        <f t="shared" ca="1" si="5"/>
        <v>0</v>
      </c>
      <c r="F30" s="275">
        <f t="shared" ca="1" si="5"/>
        <v>0</v>
      </c>
      <c r="G30" s="275">
        <f t="shared" ca="1" si="5"/>
        <v>0</v>
      </c>
      <c r="H30" s="275">
        <f t="shared" ca="1" si="5"/>
        <v>0</v>
      </c>
      <c r="I30" s="275">
        <f t="shared" ca="1" si="5"/>
        <v>0</v>
      </c>
      <c r="J30" s="275">
        <f t="shared" ca="1" si="5"/>
        <v>0</v>
      </c>
      <c r="K30" s="275">
        <f t="shared" ca="1" si="5"/>
        <v>0</v>
      </c>
      <c r="L30" s="275">
        <f t="shared" ca="1" si="5"/>
        <v>0</v>
      </c>
      <c r="M30" s="275">
        <f t="shared" ca="1" si="5"/>
        <v>0</v>
      </c>
      <c r="N30" s="275">
        <f t="shared" ca="1" si="5"/>
        <v>0</v>
      </c>
      <c r="O30" s="275">
        <f t="shared" ca="1" si="5"/>
        <v>0</v>
      </c>
      <c r="P30" s="275">
        <f t="shared" ca="1" si="5"/>
        <v>0</v>
      </c>
      <c r="Q30" s="275">
        <f t="shared" ca="1" si="5"/>
        <v>0</v>
      </c>
      <c r="R30" s="275">
        <f t="shared" ca="1" si="5"/>
        <v>0</v>
      </c>
      <c r="S30" s="275">
        <f t="shared" ca="1" si="5"/>
        <v>0</v>
      </c>
      <c r="T30" s="273">
        <f t="shared" si="6"/>
        <v>46113</v>
      </c>
      <c r="U30" s="274"/>
    </row>
    <row r="31" spans="1:21" ht="16.5" customHeight="1" thickTop="1" thickBot="1" x14ac:dyDescent="0.3">
      <c r="A31" s="273">
        <f>+DATA!$A$7</f>
        <v>46143</v>
      </c>
      <c r="B31" s="275">
        <f t="shared" ca="1" si="4"/>
        <v>0</v>
      </c>
      <c r="C31" s="275">
        <f t="shared" ca="1" si="5"/>
        <v>0</v>
      </c>
      <c r="D31" s="275">
        <f t="shared" ca="1" si="5"/>
        <v>0</v>
      </c>
      <c r="E31" s="275">
        <f t="shared" ca="1" si="5"/>
        <v>0</v>
      </c>
      <c r="F31" s="275">
        <f t="shared" ca="1" si="5"/>
        <v>0</v>
      </c>
      <c r="G31" s="275">
        <f t="shared" ca="1" si="5"/>
        <v>0</v>
      </c>
      <c r="H31" s="275">
        <f t="shared" ca="1" si="5"/>
        <v>0</v>
      </c>
      <c r="I31" s="275">
        <f t="shared" ca="1" si="5"/>
        <v>0</v>
      </c>
      <c r="J31" s="275">
        <f t="shared" ca="1" si="5"/>
        <v>0</v>
      </c>
      <c r="K31" s="275">
        <f t="shared" ca="1" si="5"/>
        <v>0</v>
      </c>
      <c r="L31" s="275">
        <f t="shared" ca="1" si="5"/>
        <v>0</v>
      </c>
      <c r="M31" s="275">
        <f t="shared" ca="1" si="5"/>
        <v>0</v>
      </c>
      <c r="N31" s="275">
        <f t="shared" ca="1" si="5"/>
        <v>0</v>
      </c>
      <c r="O31" s="275">
        <f t="shared" ca="1" si="5"/>
        <v>0</v>
      </c>
      <c r="P31" s="275">
        <f t="shared" ca="1" si="5"/>
        <v>0</v>
      </c>
      <c r="Q31" s="275">
        <f t="shared" ca="1" si="5"/>
        <v>0</v>
      </c>
      <c r="R31" s="275">
        <f t="shared" ca="1" si="5"/>
        <v>0</v>
      </c>
      <c r="S31" s="275">
        <f t="shared" ca="1" si="5"/>
        <v>0</v>
      </c>
      <c r="T31" s="273">
        <f t="shared" si="6"/>
        <v>46143</v>
      </c>
      <c r="U31" s="274"/>
    </row>
    <row r="32" spans="1:21" ht="16.5" customHeight="1" thickTop="1" thickBot="1" x14ac:dyDescent="0.3">
      <c r="A32" s="273">
        <f>+DATA!$A$8</f>
        <v>46174</v>
      </c>
      <c r="B32" s="275">
        <f t="shared" ca="1" si="4"/>
        <v>0</v>
      </c>
      <c r="C32" s="275">
        <f t="shared" ca="1" si="5"/>
        <v>0</v>
      </c>
      <c r="D32" s="275">
        <f t="shared" ca="1" si="5"/>
        <v>0</v>
      </c>
      <c r="E32" s="275">
        <f t="shared" ca="1" si="5"/>
        <v>0</v>
      </c>
      <c r="F32" s="275">
        <f t="shared" ca="1" si="5"/>
        <v>0</v>
      </c>
      <c r="G32" s="275">
        <f t="shared" ca="1" si="5"/>
        <v>0</v>
      </c>
      <c r="H32" s="275">
        <f t="shared" ca="1" si="5"/>
        <v>0</v>
      </c>
      <c r="I32" s="275">
        <f t="shared" ca="1" si="5"/>
        <v>0</v>
      </c>
      <c r="J32" s="275">
        <f t="shared" ca="1" si="5"/>
        <v>0</v>
      </c>
      <c r="K32" s="275">
        <f t="shared" ca="1" si="5"/>
        <v>0</v>
      </c>
      <c r="L32" s="275">
        <f t="shared" ca="1" si="5"/>
        <v>0</v>
      </c>
      <c r="M32" s="275">
        <f t="shared" ca="1" si="5"/>
        <v>0</v>
      </c>
      <c r="N32" s="275">
        <f t="shared" ca="1" si="5"/>
        <v>0</v>
      </c>
      <c r="O32" s="275">
        <f t="shared" ca="1" si="5"/>
        <v>0</v>
      </c>
      <c r="P32" s="275">
        <f t="shared" ca="1" si="5"/>
        <v>0</v>
      </c>
      <c r="Q32" s="275">
        <f t="shared" ca="1" si="5"/>
        <v>0</v>
      </c>
      <c r="R32" s="275">
        <f t="shared" ca="1" si="5"/>
        <v>0</v>
      </c>
      <c r="S32" s="275">
        <f t="shared" ca="1" si="5"/>
        <v>0</v>
      </c>
      <c r="T32" s="273">
        <f t="shared" si="6"/>
        <v>46174</v>
      </c>
      <c r="U32" s="274"/>
    </row>
    <row r="33" spans="1:21" ht="16.5" customHeight="1" thickTop="1" thickBot="1" x14ac:dyDescent="0.3">
      <c r="A33" s="273">
        <f>+DATA!$A$9</f>
        <v>46204</v>
      </c>
      <c r="B33" s="275">
        <f t="shared" ca="1" si="4"/>
        <v>0</v>
      </c>
      <c r="C33" s="275">
        <f t="shared" ca="1" si="5"/>
        <v>0</v>
      </c>
      <c r="D33" s="275">
        <f t="shared" ca="1" si="5"/>
        <v>0</v>
      </c>
      <c r="E33" s="275">
        <f t="shared" ca="1" si="5"/>
        <v>0</v>
      </c>
      <c r="F33" s="275">
        <f t="shared" ca="1" si="5"/>
        <v>0</v>
      </c>
      <c r="G33" s="275">
        <f t="shared" ca="1" si="5"/>
        <v>0</v>
      </c>
      <c r="H33" s="275">
        <f t="shared" ca="1" si="5"/>
        <v>0</v>
      </c>
      <c r="I33" s="275">
        <f t="shared" ca="1" si="5"/>
        <v>0</v>
      </c>
      <c r="J33" s="275">
        <f t="shared" ca="1" si="5"/>
        <v>0</v>
      </c>
      <c r="K33" s="275">
        <f t="shared" ca="1" si="5"/>
        <v>0</v>
      </c>
      <c r="L33" s="275">
        <f t="shared" ca="1" si="5"/>
        <v>0</v>
      </c>
      <c r="M33" s="275">
        <f t="shared" ca="1" si="5"/>
        <v>0</v>
      </c>
      <c r="N33" s="275">
        <f t="shared" ca="1" si="5"/>
        <v>0</v>
      </c>
      <c r="O33" s="275">
        <f t="shared" ca="1" si="5"/>
        <v>0</v>
      </c>
      <c r="P33" s="275">
        <f t="shared" ca="1" si="5"/>
        <v>0</v>
      </c>
      <c r="Q33" s="275">
        <f t="shared" ca="1" si="5"/>
        <v>0</v>
      </c>
      <c r="R33" s="275">
        <f t="shared" ca="1" si="5"/>
        <v>0</v>
      </c>
      <c r="S33" s="275">
        <f t="shared" ca="1" si="5"/>
        <v>0</v>
      </c>
      <c r="T33" s="273">
        <f t="shared" si="6"/>
        <v>46204</v>
      </c>
      <c r="U33" s="274"/>
    </row>
    <row r="34" spans="1:21" ht="16.5" customHeight="1" thickTop="1" thickBot="1" x14ac:dyDescent="0.3">
      <c r="A34" s="273">
        <f>+DATA!$A$10</f>
        <v>46235</v>
      </c>
      <c r="B34" s="275">
        <f t="shared" ca="1" si="4"/>
        <v>0</v>
      </c>
      <c r="C34" s="275">
        <f t="shared" ca="1" si="5"/>
        <v>0</v>
      </c>
      <c r="D34" s="275">
        <f t="shared" ca="1" si="5"/>
        <v>0</v>
      </c>
      <c r="E34" s="275">
        <f t="shared" ca="1" si="5"/>
        <v>0</v>
      </c>
      <c r="F34" s="275">
        <f t="shared" ca="1" si="5"/>
        <v>0</v>
      </c>
      <c r="G34" s="275">
        <f t="shared" ca="1" si="5"/>
        <v>0</v>
      </c>
      <c r="H34" s="275">
        <f t="shared" ca="1" si="5"/>
        <v>0</v>
      </c>
      <c r="I34" s="275">
        <f t="shared" ca="1" si="5"/>
        <v>0</v>
      </c>
      <c r="J34" s="275">
        <f t="shared" ca="1" si="5"/>
        <v>0</v>
      </c>
      <c r="K34" s="275">
        <f t="shared" ca="1" si="5"/>
        <v>0</v>
      </c>
      <c r="L34" s="275">
        <f t="shared" ca="1" si="5"/>
        <v>0</v>
      </c>
      <c r="M34" s="275">
        <f t="shared" ca="1" si="5"/>
        <v>0</v>
      </c>
      <c r="N34" s="275">
        <f t="shared" ca="1" si="5"/>
        <v>0</v>
      </c>
      <c r="O34" s="275">
        <f t="shared" ca="1" si="5"/>
        <v>0</v>
      </c>
      <c r="P34" s="275">
        <f t="shared" ca="1" si="5"/>
        <v>0</v>
      </c>
      <c r="Q34" s="275">
        <f t="shared" ca="1" si="5"/>
        <v>0</v>
      </c>
      <c r="R34" s="275">
        <f t="shared" ca="1" si="5"/>
        <v>0</v>
      </c>
      <c r="S34" s="275">
        <f t="shared" ca="1" si="5"/>
        <v>0</v>
      </c>
      <c r="T34" s="273">
        <f t="shared" si="6"/>
        <v>46235</v>
      </c>
      <c r="U34" s="274"/>
    </row>
    <row r="35" spans="1:21" ht="16.5" customHeight="1" thickTop="1" thickBot="1" x14ac:dyDescent="0.3">
      <c r="A35" s="273">
        <f>+DATA!$A$11</f>
        <v>46266</v>
      </c>
      <c r="B35" s="275">
        <f t="shared" ca="1" si="4"/>
        <v>0</v>
      </c>
      <c r="C35" s="275">
        <f t="shared" ca="1" si="5"/>
        <v>0</v>
      </c>
      <c r="D35" s="275">
        <f t="shared" ca="1" si="5"/>
        <v>0</v>
      </c>
      <c r="E35" s="275">
        <f t="shared" ca="1" si="5"/>
        <v>0</v>
      </c>
      <c r="F35" s="275">
        <f t="shared" ca="1" si="5"/>
        <v>0</v>
      </c>
      <c r="G35" s="275">
        <f t="shared" ca="1" si="5"/>
        <v>0</v>
      </c>
      <c r="H35" s="275">
        <f t="shared" ca="1" si="5"/>
        <v>0</v>
      </c>
      <c r="I35" s="275">
        <f t="shared" ca="1" si="5"/>
        <v>0</v>
      </c>
      <c r="J35" s="275">
        <f t="shared" ca="1" si="5"/>
        <v>0</v>
      </c>
      <c r="K35" s="275">
        <f t="shared" ca="1" si="5"/>
        <v>0</v>
      </c>
      <c r="L35" s="275">
        <f t="shared" ca="1" si="5"/>
        <v>0</v>
      </c>
      <c r="M35" s="275">
        <f t="shared" ca="1" si="5"/>
        <v>0</v>
      </c>
      <c r="N35" s="275">
        <f t="shared" ca="1" si="5"/>
        <v>0</v>
      </c>
      <c r="O35" s="275">
        <f t="shared" ca="1" si="5"/>
        <v>0</v>
      </c>
      <c r="P35" s="275">
        <f t="shared" ca="1" si="5"/>
        <v>0</v>
      </c>
      <c r="Q35" s="275">
        <f t="shared" ca="1" si="5"/>
        <v>0</v>
      </c>
      <c r="R35" s="275">
        <f t="shared" ca="1" si="5"/>
        <v>0</v>
      </c>
      <c r="S35" s="275">
        <f t="shared" ca="1" si="5"/>
        <v>0</v>
      </c>
      <c r="T35" s="273">
        <f t="shared" si="6"/>
        <v>46266</v>
      </c>
      <c r="U35" s="274"/>
    </row>
    <row r="36" spans="1:21" ht="16.5" customHeight="1" thickTop="1" thickBot="1" x14ac:dyDescent="0.3">
      <c r="A36" s="273">
        <f>+DATA!$A$12</f>
        <v>46296</v>
      </c>
      <c r="B36" s="275">
        <f t="shared" ca="1" si="4"/>
        <v>0</v>
      </c>
      <c r="C36" s="275">
        <f t="shared" ca="1" si="5"/>
        <v>0</v>
      </c>
      <c r="D36" s="275">
        <f t="shared" ca="1" si="5"/>
        <v>0</v>
      </c>
      <c r="E36" s="275">
        <f t="shared" ca="1" si="5"/>
        <v>0</v>
      </c>
      <c r="F36" s="275">
        <f t="shared" ca="1" si="5"/>
        <v>0</v>
      </c>
      <c r="G36" s="275">
        <f t="shared" ca="1" si="5"/>
        <v>0</v>
      </c>
      <c r="H36" s="275">
        <f t="shared" ca="1" si="5"/>
        <v>0</v>
      </c>
      <c r="I36" s="275">
        <f t="shared" ca="1" si="5"/>
        <v>0</v>
      </c>
      <c r="J36" s="275">
        <f t="shared" ca="1" si="5"/>
        <v>0</v>
      </c>
      <c r="K36" s="275">
        <f t="shared" ca="1" si="5"/>
        <v>0</v>
      </c>
      <c r="L36" s="275">
        <f t="shared" ca="1" si="5"/>
        <v>0</v>
      </c>
      <c r="M36" s="275">
        <f t="shared" ca="1" si="5"/>
        <v>0</v>
      </c>
      <c r="N36" s="275">
        <f t="shared" ca="1" si="5"/>
        <v>0</v>
      </c>
      <c r="O36" s="275">
        <f t="shared" ca="1" si="5"/>
        <v>0</v>
      </c>
      <c r="P36" s="275">
        <f t="shared" ca="1" si="5"/>
        <v>0</v>
      </c>
      <c r="Q36" s="275">
        <f t="shared" ca="1" si="5"/>
        <v>0</v>
      </c>
      <c r="R36" s="275">
        <f t="shared" ca="1" si="5"/>
        <v>0</v>
      </c>
      <c r="S36" s="275">
        <f t="shared" ca="1" si="5"/>
        <v>0</v>
      </c>
      <c r="T36" s="273">
        <f t="shared" si="6"/>
        <v>46296</v>
      </c>
      <c r="U36" s="274"/>
    </row>
    <row r="37" spans="1:21" ht="16.5" customHeight="1" thickTop="1" thickBot="1" x14ac:dyDescent="0.3">
      <c r="A37" s="273">
        <f>+DATA!$A$13</f>
        <v>46327</v>
      </c>
      <c r="B37" s="275">
        <f t="shared" ca="1" si="4"/>
        <v>0</v>
      </c>
      <c r="C37" s="275">
        <f t="shared" ca="1" si="5"/>
        <v>0</v>
      </c>
      <c r="D37" s="275">
        <f t="shared" ca="1" si="5"/>
        <v>0</v>
      </c>
      <c r="E37" s="275">
        <f t="shared" ca="1" si="5"/>
        <v>0</v>
      </c>
      <c r="F37" s="275">
        <f t="shared" ca="1" si="5"/>
        <v>0</v>
      </c>
      <c r="G37" s="275">
        <f t="shared" ca="1" si="5"/>
        <v>0</v>
      </c>
      <c r="H37" s="275">
        <f t="shared" ca="1" si="5"/>
        <v>0</v>
      </c>
      <c r="I37" s="275">
        <f t="shared" ca="1" si="5"/>
        <v>0</v>
      </c>
      <c r="J37" s="275">
        <f t="shared" ca="1" si="5"/>
        <v>0</v>
      </c>
      <c r="K37" s="275">
        <f t="shared" ca="1" si="5"/>
        <v>0</v>
      </c>
      <c r="L37" s="275">
        <f t="shared" ca="1" si="5"/>
        <v>0</v>
      </c>
      <c r="M37" s="275">
        <f t="shared" ca="1" si="5"/>
        <v>0</v>
      </c>
      <c r="N37" s="275">
        <f t="shared" ca="1" si="5"/>
        <v>0</v>
      </c>
      <c r="O37" s="275">
        <f t="shared" ca="1" si="5"/>
        <v>0</v>
      </c>
      <c r="P37" s="275">
        <f t="shared" ca="1" si="5"/>
        <v>0</v>
      </c>
      <c r="Q37" s="275">
        <f t="shared" ca="1" si="5"/>
        <v>0</v>
      </c>
      <c r="R37" s="275">
        <f t="shared" ca="1" si="5"/>
        <v>0</v>
      </c>
      <c r="S37" s="275">
        <f t="shared" ca="1" si="5"/>
        <v>0</v>
      </c>
      <c r="T37" s="273">
        <f t="shared" si="6"/>
        <v>46327</v>
      </c>
      <c r="U37" s="274"/>
    </row>
    <row r="38" spans="1:21" ht="16.5" customHeight="1" thickTop="1" thickBot="1" x14ac:dyDescent="0.3">
      <c r="A38" s="273">
        <f>+DATA!$A$14</f>
        <v>46357</v>
      </c>
      <c r="B38" s="275">
        <f t="shared" ca="1" si="4"/>
        <v>0</v>
      </c>
      <c r="C38" s="275">
        <f t="shared" ca="1" si="5"/>
        <v>0</v>
      </c>
      <c r="D38" s="275">
        <f t="shared" ca="1" si="5"/>
        <v>0</v>
      </c>
      <c r="E38" s="275">
        <f t="shared" ca="1" si="5"/>
        <v>0</v>
      </c>
      <c r="F38" s="275">
        <f t="shared" ca="1" si="5"/>
        <v>0</v>
      </c>
      <c r="G38" s="275">
        <f t="shared" ca="1" si="5"/>
        <v>0</v>
      </c>
      <c r="H38" s="275">
        <f t="shared" ca="1" si="5"/>
        <v>0</v>
      </c>
      <c r="I38" s="275">
        <f t="shared" ca="1" si="5"/>
        <v>0</v>
      </c>
      <c r="J38" s="275">
        <f t="shared" ca="1" si="5"/>
        <v>0</v>
      </c>
      <c r="K38" s="275">
        <f t="shared" ca="1" si="5"/>
        <v>0</v>
      </c>
      <c r="L38" s="275">
        <f t="shared" ca="1" si="5"/>
        <v>0</v>
      </c>
      <c r="M38" s="275">
        <f t="shared" ca="1" si="5"/>
        <v>0</v>
      </c>
      <c r="N38" s="275">
        <f t="shared" ca="1" si="5"/>
        <v>0</v>
      </c>
      <c r="O38" s="275">
        <f t="shared" ca="1" si="5"/>
        <v>0</v>
      </c>
      <c r="P38" s="275">
        <f t="shared" ca="1" si="5"/>
        <v>0</v>
      </c>
      <c r="Q38" s="275">
        <f t="shared" ca="1" si="5"/>
        <v>0</v>
      </c>
      <c r="R38" s="275">
        <f t="shared" ca="1" si="5"/>
        <v>0</v>
      </c>
      <c r="S38" s="275">
        <f t="shared" ca="1" si="5"/>
        <v>0</v>
      </c>
      <c r="T38" s="766">
        <f t="shared" si="6"/>
        <v>46357</v>
      </c>
      <c r="U38" s="767"/>
    </row>
    <row r="39" spans="1:21" ht="15.75" customHeight="1" thickBot="1" x14ac:dyDescent="0.3">
      <c r="A39" s="50"/>
      <c r="B39" s="762">
        <f ca="1">SUM(B27:B38)</f>
        <v>0</v>
      </c>
      <c r="C39" s="762">
        <f t="shared" ref="C39:S39" ca="1" si="7">SUM(C27:C38)</f>
        <v>0</v>
      </c>
      <c r="D39" s="762">
        <f t="shared" ca="1" si="7"/>
        <v>0</v>
      </c>
      <c r="E39" s="762">
        <f t="shared" ca="1" si="7"/>
        <v>0</v>
      </c>
      <c r="F39" s="762">
        <f t="shared" ca="1" si="7"/>
        <v>0</v>
      </c>
      <c r="G39" s="762">
        <f t="shared" ca="1" si="7"/>
        <v>0</v>
      </c>
      <c r="H39" s="762">
        <f t="shared" ca="1" si="7"/>
        <v>0</v>
      </c>
      <c r="I39" s="762">
        <f t="shared" ca="1" si="7"/>
        <v>0</v>
      </c>
      <c r="J39" s="762">
        <f t="shared" ca="1" si="7"/>
        <v>0</v>
      </c>
      <c r="K39" s="762">
        <f t="shared" ca="1" si="7"/>
        <v>0</v>
      </c>
      <c r="L39" s="762">
        <f t="shared" ca="1" si="7"/>
        <v>0</v>
      </c>
      <c r="M39" s="762">
        <f t="shared" ca="1" si="7"/>
        <v>0</v>
      </c>
      <c r="N39" s="762">
        <f t="shared" ca="1" si="7"/>
        <v>0</v>
      </c>
      <c r="O39" s="762">
        <f t="shared" ca="1" si="7"/>
        <v>0</v>
      </c>
      <c r="P39" s="762">
        <f t="shared" ca="1" si="7"/>
        <v>0</v>
      </c>
      <c r="Q39" s="762">
        <f t="shared" ca="1" si="7"/>
        <v>0</v>
      </c>
      <c r="R39" s="762">
        <f t="shared" ca="1" si="7"/>
        <v>0</v>
      </c>
      <c r="S39" s="762">
        <f t="shared" ca="1" si="7"/>
        <v>0</v>
      </c>
      <c r="T39" s="339"/>
      <c r="U39" s="49"/>
    </row>
    <row r="40" spans="1:21" ht="16.5" customHeight="1" thickTop="1" thickBot="1" x14ac:dyDescent="0.3">
      <c r="A40" s="50" t="s">
        <v>266</v>
      </c>
      <c r="B40" s="757">
        <f ca="1">B39</f>
        <v>0</v>
      </c>
      <c r="C40" s="757">
        <f t="shared" ref="C40:S40" ca="1" si="8">C39</f>
        <v>0</v>
      </c>
      <c r="D40" s="757">
        <f t="shared" ca="1" si="8"/>
        <v>0</v>
      </c>
      <c r="E40" s="757">
        <f t="shared" ca="1" si="8"/>
        <v>0</v>
      </c>
      <c r="F40" s="757">
        <f t="shared" ca="1" si="8"/>
        <v>0</v>
      </c>
      <c r="G40" s="757">
        <f t="shared" ca="1" si="8"/>
        <v>0</v>
      </c>
      <c r="H40" s="757">
        <f t="shared" ca="1" si="8"/>
        <v>0</v>
      </c>
      <c r="I40" s="757">
        <f t="shared" ca="1" si="8"/>
        <v>0</v>
      </c>
      <c r="J40" s="757">
        <f t="shared" ca="1" si="8"/>
        <v>0</v>
      </c>
      <c r="K40" s="757">
        <f t="shared" ca="1" si="8"/>
        <v>0</v>
      </c>
      <c r="L40" s="757">
        <f t="shared" ca="1" si="8"/>
        <v>0</v>
      </c>
      <c r="M40" s="757">
        <f t="shared" ca="1" si="8"/>
        <v>0</v>
      </c>
      <c r="N40" s="757">
        <f t="shared" ca="1" si="8"/>
        <v>0</v>
      </c>
      <c r="O40" s="757">
        <f t="shared" ca="1" si="8"/>
        <v>0</v>
      </c>
      <c r="P40" s="757">
        <f t="shared" ca="1" si="8"/>
        <v>0</v>
      </c>
      <c r="Q40" s="757">
        <f t="shared" ca="1" si="8"/>
        <v>0</v>
      </c>
      <c r="R40" s="757">
        <f t="shared" ca="1" si="8"/>
        <v>0</v>
      </c>
      <c r="S40" s="757">
        <f t="shared" ca="1" si="8"/>
        <v>0</v>
      </c>
      <c r="T40" s="273"/>
      <c r="U40" s="274">
        <f>SUM(U27:U38)</f>
        <v>0</v>
      </c>
    </row>
    <row r="41" spans="1:21" ht="15.75" customHeight="1" thickBot="1" x14ac:dyDescent="0.3">
      <c r="A41" s="51"/>
      <c r="B41" s="24"/>
      <c r="C41" s="24"/>
      <c r="D41" s="24"/>
      <c r="E41" s="24"/>
      <c r="F41" s="24"/>
      <c r="G41" s="24"/>
      <c r="H41" s="24"/>
      <c r="I41" s="24"/>
      <c r="J41" s="24"/>
      <c r="K41" s="24"/>
      <c r="L41" s="24"/>
      <c r="M41" s="24"/>
      <c r="N41" s="24"/>
      <c r="O41" s="24"/>
      <c r="P41" s="24"/>
      <c r="Q41" s="24"/>
      <c r="R41" s="24"/>
      <c r="S41" s="24"/>
      <c r="T41" s="51"/>
      <c r="U41" s="52"/>
    </row>
    <row r="42" spans="1:21" ht="15.75" customHeight="1" thickBot="1" x14ac:dyDescent="0.3"/>
    <row r="43" spans="1:21" ht="15.75" customHeight="1" thickBot="1" x14ac:dyDescent="0.3">
      <c r="A43" s="271" t="s">
        <v>268</v>
      </c>
      <c r="B43" s="760"/>
      <c r="C43" s="760"/>
      <c r="D43" s="760"/>
      <c r="E43" s="760"/>
      <c r="F43" s="760"/>
      <c r="G43" s="760"/>
      <c r="H43" s="760"/>
      <c r="I43" s="760"/>
      <c r="J43" s="760"/>
      <c r="K43" s="760"/>
      <c r="L43" s="760"/>
      <c r="M43" s="760"/>
      <c r="N43" s="760"/>
      <c r="O43" s="760"/>
      <c r="P43" s="760"/>
      <c r="Q43" s="760"/>
      <c r="R43" s="760"/>
      <c r="S43" s="760"/>
      <c r="T43" s="761"/>
      <c r="U43" s="268"/>
    </row>
    <row r="44" spans="1:21" ht="24.75" customHeight="1" thickTop="1" thickBot="1" x14ac:dyDescent="0.4">
      <c r="A44" s="278">
        <f>DATA!$A$2</f>
        <v>46023</v>
      </c>
      <c r="B44" s="778"/>
      <c r="C44" s="778"/>
      <c r="D44" s="778"/>
      <c r="E44" s="778"/>
      <c r="F44" s="778"/>
      <c r="G44" s="778"/>
      <c r="H44" s="778"/>
      <c r="I44" s="778"/>
      <c r="J44" s="778"/>
      <c r="K44" s="778"/>
      <c r="L44" s="778"/>
      <c r="M44" s="778"/>
      <c r="N44" s="778"/>
      <c r="O44" s="778"/>
      <c r="P44" s="778"/>
      <c r="Q44" s="778"/>
      <c r="R44" s="778"/>
      <c r="S44" s="778"/>
      <c r="T44" s="759"/>
      <c r="U44" s="269"/>
    </row>
    <row r="45" spans="1:21" ht="15.75" customHeight="1" thickBot="1" x14ac:dyDescent="0.3">
      <c r="A45" s="25" t="s">
        <v>262</v>
      </c>
      <c r="B45" s="777"/>
      <c r="C45" s="777"/>
      <c r="D45" s="777"/>
      <c r="E45" s="777"/>
      <c r="F45" s="777"/>
      <c r="G45" s="777"/>
      <c r="H45" s="777"/>
      <c r="I45" s="777"/>
      <c r="J45" s="777"/>
      <c r="K45" s="777"/>
      <c r="L45" s="777"/>
      <c r="M45" s="777"/>
      <c r="N45" s="777"/>
      <c r="O45" s="777"/>
      <c r="P45" s="777"/>
      <c r="Q45" s="777"/>
      <c r="R45" s="777"/>
      <c r="S45" s="777"/>
      <c r="T45" s="764" t="str">
        <f>+A43</f>
        <v>TAX MAIN</v>
      </c>
      <c r="U45" s="765"/>
    </row>
    <row r="46" spans="1:21" ht="15.75" customHeight="1" thickBot="1" x14ac:dyDescent="0.3">
      <c r="A46" s="25" t="s">
        <v>263</v>
      </c>
      <c r="B46" s="270">
        <f>IF(B$5=0,0,INDEX([1]!empdata,MATCH(B$5,[1]!empid,0),16))</f>
        <v>0</v>
      </c>
      <c r="C46" s="270">
        <f>IF(C$5=0,0,INDEX([1]!empdata,MATCH(C$5,[1]!empid,0),16))</f>
        <v>0</v>
      </c>
      <c r="D46" s="270">
        <f>IF(D$5=0,0,INDEX([1]!empdata,MATCH(D$5,[1]!empid,0),16))</f>
        <v>0</v>
      </c>
      <c r="E46" s="270">
        <f>IF(E$5=0,0,INDEX([1]!empdata,MATCH(E$5,[1]!empid,0),16))</f>
        <v>0</v>
      </c>
      <c r="F46" s="270">
        <f>IF(F$5=0,0,INDEX([1]!empdata,MATCH(F$5,[1]!empid,0),16))</f>
        <v>0</v>
      </c>
      <c r="G46" s="270">
        <f>IF(G$5=0,0,INDEX([1]!empdata,MATCH(G$5,[1]!empid,0),16))</f>
        <v>0</v>
      </c>
      <c r="H46" s="270">
        <f>IF(H$5=0,0,INDEX([1]!empdata,MATCH(H$5,[1]!empid,0),16))</f>
        <v>0</v>
      </c>
      <c r="I46" s="270">
        <f>IF(I$5=0,0,INDEX([1]!empdata,MATCH(I$5,[1]!empid,0),16))</f>
        <v>0</v>
      </c>
      <c r="J46" s="270">
        <f>IF(J$5=0,0,INDEX([1]!empdata,MATCH(J$5,[1]!empid,0),16))</f>
        <v>0</v>
      </c>
      <c r="K46" s="270">
        <f>IF(K$5=0,0,INDEX([1]!empdata,MATCH(K$5,[1]!empid,0),16))</f>
        <v>0</v>
      </c>
      <c r="L46" s="270">
        <f>IF(L$5=0,0,INDEX([1]!empdata,MATCH(L$5,[1]!empid,0),16))</f>
        <v>0</v>
      </c>
      <c r="M46" s="270">
        <f>IF(M$5=0,0,INDEX([1]!empdata,MATCH(M$5,[1]!empid,0),16))</f>
        <v>0</v>
      </c>
      <c r="N46" s="270">
        <f>IF(N$5=0,0,INDEX([1]!empdata,MATCH(N$5,[1]!empid,0),16))</f>
        <v>0</v>
      </c>
      <c r="O46" s="270">
        <f>IF(O$5=0,0,INDEX([1]!empdata,MATCH(O$5,[1]!empid,0),16))</f>
        <v>0</v>
      </c>
      <c r="P46" s="270">
        <f>IF(P$5=0,0,INDEX([1]!empdata,MATCH(P$5,[1]!empid,0),16))</f>
        <v>0</v>
      </c>
      <c r="Q46" s="270">
        <f>IF(Q$5=0,0,INDEX([1]!empdata,MATCH(Q$5,[1]!empid,0),16))</f>
        <v>0</v>
      </c>
      <c r="R46" s="270">
        <f>IF(R$5=0,0,INDEX([1]!empdata,MATCH(R$5,[1]!empid,0),16))</f>
        <v>0</v>
      </c>
      <c r="S46" s="270">
        <f>IF(S$5=0,0,INDEX([1]!empdata,MATCH(S$5,[1]!empid,0),16))</f>
        <v>0</v>
      </c>
      <c r="T46" s="763" t="str">
        <f>+T45</f>
        <v>TAX MAIN</v>
      </c>
      <c r="U46" s="272" t="s">
        <v>272</v>
      </c>
    </row>
    <row r="47" spans="1:21" ht="16.5" customHeight="1" thickTop="1" thickBot="1" x14ac:dyDescent="0.3">
      <c r="A47" s="273">
        <f>+DATA!$A$3</f>
        <v>46023</v>
      </c>
      <c r="B47" s="275">
        <f t="shared" ref="B47:Q58" ca="1" si="9">IF(B$5=0,0,INDEX((INDIRECT(B$6&amp;"!INDAT")),(MATCH($A47,(INDIRECT(B$6&amp;"!$O$2:$O$15")),0)),13))</f>
        <v>0</v>
      </c>
      <c r="C47" s="275">
        <f t="shared" ca="1" si="9"/>
        <v>0</v>
      </c>
      <c r="D47" s="275">
        <f t="shared" ca="1" si="9"/>
        <v>0</v>
      </c>
      <c r="E47" s="275">
        <f t="shared" ca="1" si="9"/>
        <v>0</v>
      </c>
      <c r="F47" s="275">
        <f t="shared" ca="1" si="9"/>
        <v>0</v>
      </c>
      <c r="G47" s="275">
        <f t="shared" ca="1" si="9"/>
        <v>0</v>
      </c>
      <c r="H47" s="275">
        <f t="shared" ca="1" si="9"/>
        <v>0</v>
      </c>
      <c r="I47" s="275">
        <f t="shared" ca="1" si="9"/>
        <v>0</v>
      </c>
      <c r="J47" s="275">
        <f t="shared" ca="1" si="9"/>
        <v>0</v>
      </c>
      <c r="K47" s="275">
        <f t="shared" ca="1" si="9"/>
        <v>0</v>
      </c>
      <c r="L47" s="275">
        <f t="shared" ca="1" si="9"/>
        <v>0</v>
      </c>
      <c r="M47" s="275">
        <f t="shared" ca="1" si="9"/>
        <v>0</v>
      </c>
      <c r="N47" s="275">
        <f t="shared" ca="1" si="9"/>
        <v>0</v>
      </c>
      <c r="O47" s="275">
        <f t="shared" ca="1" si="9"/>
        <v>0</v>
      </c>
      <c r="P47" s="275">
        <f t="shared" ca="1" si="9"/>
        <v>0</v>
      </c>
      <c r="Q47" s="275">
        <f t="shared" ca="1" si="9"/>
        <v>0</v>
      </c>
      <c r="R47" s="275">
        <f t="shared" ref="C47:S58" ca="1" si="10">IF(R$5=0,0,INDEX((INDIRECT(R$6&amp;"!INDAT")),(MATCH($A47,(INDIRECT(R$6&amp;"!$O$2:$O$15")),0)),13))</f>
        <v>0</v>
      </c>
      <c r="S47" s="275">
        <f t="shared" ca="1" si="10"/>
        <v>0</v>
      </c>
      <c r="T47" s="273">
        <f t="shared" ref="T47:T58" si="11">+A47</f>
        <v>46023</v>
      </c>
      <c r="U47" s="274"/>
    </row>
    <row r="48" spans="1:21" ht="16.5" customHeight="1" thickTop="1" thickBot="1" x14ac:dyDescent="0.3">
      <c r="A48" s="273">
        <f>+DATA!$A$4</f>
        <v>46054</v>
      </c>
      <c r="B48" s="275">
        <f t="shared" ca="1" si="9"/>
        <v>0</v>
      </c>
      <c r="C48" s="275">
        <f t="shared" ca="1" si="10"/>
        <v>0</v>
      </c>
      <c r="D48" s="275">
        <f t="shared" ca="1" si="10"/>
        <v>0</v>
      </c>
      <c r="E48" s="275">
        <f t="shared" ca="1" si="10"/>
        <v>0</v>
      </c>
      <c r="F48" s="275">
        <f t="shared" ca="1" si="10"/>
        <v>0</v>
      </c>
      <c r="G48" s="275">
        <f t="shared" ca="1" si="10"/>
        <v>0</v>
      </c>
      <c r="H48" s="275">
        <f t="shared" ca="1" si="10"/>
        <v>0</v>
      </c>
      <c r="I48" s="275">
        <f t="shared" ca="1" si="10"/>
        <v>0</v>
      </c>
      <c r="J48" s="275">
        <f t="shared" ca="1" si="10"/>
        <v>0</v>
      </c>
      <c r="K48" s="275">
        <f t="shared" ca="1" si="10"/>
        <v>0</v>
      </c>
      <c r="L48" s="275">
        <f t="shared" ca="1" si="10"/>
        <v>0</v>
      </c>
      <c r="M48" s="275">
        <f t="shared" ca="1" si="10"/>
        <v>0</v>
      </c>
      <c r="N48" s="275">
        <f t="shared" ca="1" si="10"/>
        <v>0</v>
      </c>
      <c r="O48" s="275">
        <f t="shared" ca="1" si="10"/>
        <v>0</v>
      </c>
      <c r="P48" s="275">
        <f t="shared" ca="1" si="10"/>
        <v>0</v>
      </c>
      <c r="Q48" s="275">
        <f t="shared" ca="1" si="10"/>
        <v>0</v>
      </c>
      <c r="R48" s="275">
        <f t="shared" ca="1" si="10"/>
        <v>0</v>
      </c>
      <c r="S48" s="275">
        <f t="shared" ca="1" si="10"/>
        <v>0</v>
      </c>
      <c r="T48" s="273">
        <f t="shared" si="11"/>
        <v>46054</v>
      </c>
      <c r="U48" s="274"/>
    </row>
    <row r="49" spans="1:21" ht="16.5" customHeight="1" thickTop="1" thickBot="1" x14ac:dyDescent="0.3">
      <c r="A49" s="273">
        <f>+DATA!$A$5</f>
        <v>46082</v>
      </c>
      <c r="B49" s="275">
        <f t="shared" ca="1" si="9"/>
        <v>0</v>
      </c>
      <c r="C49" s="275">
        <f t="shared" ca="1" si="10"/>
        <v>0</v>
      </c>
      <c r="D49" s="275">
        <f t="shared" ca="1" si="10"/>
        <v>0</v>
      </c>
      <c r="E49" s="275">
        <f t="shared" ca="1" si="10"/>
        <v>0</v>
      </c>
      <c r="F49" s="275">
        <f t="shared" ca="1" si="10"/>
        <v>0</v>
      </c>
      <c r="G49" s="275">
        <f t="shared" ca="1" si="10"/>
        <v>0</v>
      </c>
      <c r="H49" s="275">
        <f t="shared" ca="1" si="10"/>
        <v>0</v>
      </c>
      <c r="I49" s="275">
        <f t="shared" ca="1" si="10"/>
        <v>0</v>
      </c>
      <c r="J49" s="275">
        <f t="shared" ca="1" si="10"/>
        <v>0</v>
      </c>
      <c r="K49" s="275">
        <f t="shared" ca="1" si="10"/>
        <v>0</v>
      </c>
      <c r="L49" s="275">
        <f t="shared" ca="1" si="10"/>
        <v>0</v>
      </c>
      <c r="M49" s="275">
        <f t="shared" ca="1" si="10"/>
        <v>0</v>
      </c>
      <c r="N49" s="275">
        <f t="shared" ca="1" si="10"/>
        <v>0</v>
      </c>
      <c r="O49" s="275">
        <f t="shared" ca="1" si="10"/>
        <v>0</v>
      </c>
      <c r="P49" s="275">
        <f t="shared" ca="1" si="10"/>
        <v>0</v>
      </c>
      <c r="Q49" s="275">
        <f t="shared" ca="1" si="10"/>
        <v>0</v>
      </c>
      <c r="R49" s="275">
        <f t="shared" ca="1" si="10"/>
        <v>0</v>
      </c>
      <c r="S49" s="275">
        <f t="shared" ca="1" si="10"/>
        <v>0</v>
      </c>
      <c r="T49" s="273">
        <f t="shared" si="11"/>
        <v>46082</v>
      </c>
      <c r="U49" s="274"/>
    </row>
    <row r="50" spans="1:21" ht="16.5" customHeight="1" thickTop="1" thickBot="1" x14ac:dyDescent="0.3">
      <c r="A50" s="273">
        <f>+DATA!$A$6</f>
        <v>46113</v>
      </c>
      <c r="B50" s="275">
        <f t="shared" ca="1" si="9"/>
        <v>0</v>
      </c>
      <c r="C50" s="275">
        <f t="shared" ca="1" si="10"/>
        <v>0</v>
      </c>
      <c r="D50" s="275">
        <f t="shared" ca="1" si="10"/>
        <v>0</v>
      </c>
      <c r="E50" s="275">
        <f t="shared" ca="1" si="10"/>
        <v>0</v>
      </c>
      <c r="F50" s="275">
        <f t="shared" ca="1" si="10"/>
        <v>0</v>
      </c>
      <c r="G50" s="275">
        <f t="shared" ca="1" si="10"/>
        <v>0</v>
      </c>
      <c r="H50" s="275">
        <f t="shared" ca="1" si="10"/>
        <v>0</v>
      </c>
      <c r="I50" s="275">
        <f t="shared" ca="1" si="10"/>
        <v>0</v>
      </c>
      <c r="J50" s="275">
        <f t="shared" ca="1" si="10"/>
        <v>0</v>
      </c>
      <c r="K50" s="275">
        <f t="shared" ca="1" si="10"/>
        <v>0</v>
      </c>
      <c r="L50" s="275">
        <f t="shared" ca="1" si="10"/>
        <v>0</v>
      </c>
      <c r="M50" s="275">
        <f t="shared" ca="1" si="10"/>
        <v>0</v>
      </c>
      <c r="N50" s="275">
        <f t="shared" ca="1" si="10"/>
        <v>0</v>
      </c>
      <c r="O50" s="275">
        <f t="shared" ca="1" si="10"/>
        <v>0</v>
      </c>
      <c r="P50" s="275">
        <f t="shared" ca="1" si="10"/>
        <v>0</v>
      </c>
      <c r="Q50" s="275">
        <f t="shared" ca="1" si="10"/>
        <v>0</v>
      </c>
      <c r="R50" s="275">
        <f t="shared" ca="1" si="10"/>
        <v>0</v>
      </c>
      <c r="S50" s="275">
        <f t="shared" ca="1" si="10"/>
        <v>0</v>
      </c>
      <c r="T50" s="273">
        <f t="shared" si="11"/>
        <v>46113</v>
      </c>
      <c r="U50" s="274"/>
    </row>
    <row r="51" spans="1:21" ht="16.5" customHeight="1" thickTop="1" thickBot="1" x14ac:dyDescent="0.3">
      <c r="A51" s="273">
        <f>+DATA!$A$7</f>
        <v>46143</v>
      </c>
      <c r="B51" s="275">
        <f t="shared" ca="1" si="9"/>
        <v>0</v>
      </c>
      <c r="C51" s="275">
        <f t="shared" ca="1" si="10"/>
        <v>0</v>
      </c>
      <c r="D51" s="275">
        <f t="shared" ca="1" si="10"/>
        <v>0</v>
      </c>
      <c r="E51" s="275">
        <f t="shared" ca="1" si="10"/>
        <v>0</v>
      </c>
      <c r="F51" s="275">
        <f t="shared" ca="1" si="10"/>
        <v>0</v>
      </c>
      <c r="G51" s="275">
        <f t="shared" ca="1" si="10"/>
        <v>0</v>
      </c>
      <c r="H51" s="275">
        <f t="shared" ca="1" si="10"/>
        <v>0</v>
      </c>
      <c r="I51" s="275">
        <f t="shared" ca="1" si="10"/>
        <v>0</v>
      </c>
      <c r="J51" s="275">
        <f t="shared" ca="1" si="10"/>
        <v>0</v>
      </c>
      <c r="K51" s="275">
        <f t="shared" ca="1" si="10"/>
        <v>0</v>
      </c>
      <c r="L51" s="275">
        <f t="shared" ca="1" si="10"/>
        <v>0</v>
      </c>
      <c r="M51" s="275">
        <f t="shared" ca="1" si="10"/>
        <v>0</v>
      </c>
      <c r="N51" s="275">
        <f t="shared" ca="1" si="10"/>
        <v>0</v>
      </c>
      <c r="O51" s="275">
        <f t="shared" ca="1" si="10"/>
        <v>0</v>
      </c>
      <c r="P51" s="275">
        <f t="shared" ca="1" si="10"/>
        <v>0</v>
      </c>
      <c r="Q51" s="275">
        <f t="shared" ca="1" si="10"/>
        <v>0</v>
      </c>
      <c r="R51" s="275">
        <f t="shared" ca="1" si="10"/>
        <v>0</v>
      </c>
      <c r="S51" s="275">
        <f t="shared" ca="1" si="10"/>
        <v>0</v>
      </c>
      <c r="T51" s="273">
        <f t="shared" si="11"/>
        <v>46143</v>
      </c>
      <c r="U51" s="274"/>
    </row>
    <row r="52" spans="1:21" ht="16.5" customHeight="1" thickTop="1" thickBot="1" x14ac:dyDescent="0.3">
      <c r="A52" s="273">
        <f>+DATA!$A$8</f>
        <v>46174</v>
      </c>
      <c r="B52" s="275">
        <f t="shared" ca="1" si="9"/>
        <v>0</v>
      </c>
      <c r="C52" s="275">
        <f t="shared" ca="1" si="10"/>
        <v>0</v>
      </c>
      <c r="D52" s="275">
        <f t="shared" ca="1" si="10"/>
        <v>0</v>
      </c>
      <c r="E52" s="275">
        <f t="shared" ca="1" si="10"/>
        <v>0</v>
      </c>
      <c r="F52" s="275">
        <f t="shared" ca="1" si="10"/>
        <v>0</v>
      </c>
      <c r="G52" s="275">
        <f t="shared" ca="1" si="10"/>
        <v>0</v>
      </c>
      <c r="H52" s="275">
        <f t="shared" ca="1" si="10"/>
        <v>0</v>
      </c>
      <c r="I52" s="275">
        <f t="shared" ca="1" si="10"/>
        <v>0</v>
      </c>
      <c r="J52" s="275">
        <f t="shared" ca="1" si="10"/>
        <v>0</v>
      </c>
      <c r="K52" s="275">
        <f t="shared" ca="1" si="10"/>
        <v>0</v>
      </c>
      <c r="L52" s="275">
        <f t="shared" ca="1" si="10"/>
        <v>0</v>
      </c>
      <c r="M52" s="275">
        <f t="shared" ca="1" si="10"/>
        <v>0</v>
      </c>
      <c r="N52" s="275">
        <f t="shared" ca="1" si="10"/>
        <v>0</v>
      </c>
      <c r="O52" s="275">
        <f t="shared" ca="1" si="10"/>
        <v>0</v>
      </c>
      <c r="P52" s="275">
        <f t="shared" ca="1" si="10"/>
        <v>0</v>
      </c>
      <c r="Q52" s="275">
        <f t="shared" ca="1" si="10"/>
        <v>0</v>
      </c>
      <c r="R52" s="275">
        <f t="shared" ca="1" si="10"/>
        <v>0</v>
      </c>
      <c r="S52" s="275">
        <f t="shared" ca="1" si="10"/>
        <v>0</v>
      </c>
      <c r="T52" s="273">
        <f t="shared" si="11"/>
        <v>46174</v>
      </c>
      <c r="U52" s="274"/>
    </row>
    <row r="53" spans="1:21" ht="16.5" customHeight="1" thickTop="1" thickBot="1" x14ac:dyDescent="0.3">
      <c r="A53" s="273">
        <f>+DATA!$A$9</f>
        <v>46204</v>
      </c>
      <c r="B53" s="275">
        <f t="shared" ca="1" si="9"/>
        <v>0</v>
      </c>
      <c r="C53" s="275">
        <f t="shared" ca="1" si="10"/>
        <v>0</v>
      </c>
      <c r="D53" s="275">
        <f t="shared" ca="1" si="10"/>
        <v>0</v>
      </c>
      <c r="E53" s="275">
        <f t="shared" ca="1" si="10"/>
        <v>0</v>
      </c>
      <c r="F53" s="275">
        <f t="shared" ca="1" si="10"/>
        <v>0</v>
      </c>
      <c r="G53" s="275">
        <f t="shared" ca="1" si="10"/>
        <v>0</v>
      </c>
      <c r="H53" s="275">
        <f t="shared" ca="1" si="10"/>
        <v>0</v>
      </c>
      <c r="I53" s="275">
        <f t="shared" ca="1" si="10"/>
        <v>0</v>
      </c>
      <c r="J53" s="275">
        <f t="shared" ca="1" si="10"/>
        <v>0</v>
      </c>
      <c r="K53" s="275">
        <f t="shared" ca="1" si="10"/>
        <v>0</v>
      </c>
      <c r="L53" s="275">
        <f t="shared" ca="1" si="10"/>
        <v>0</v>
      </c>
      <c r="M53" s="275">
        <f t="shared" ca="1" si="10"/>
        <v>0</v>
      </c>
      <c r="N53" s="275">
        <f t="shared" ca="1" si="10"/>
        <v>0</v>
      </c>
      <c r="O53" s="275">
        <f t="shared" ca="1" si="10"/>
        <v>0</v>
      </c>
      <c r="P53" s="275">
        <f t="shared" ca="1" si="10"/>
        <v>0</v>
      </c>
      <c r="Q53" s="275">
        <f t="shared" ca="1" si="10"/>
        <v>0</v>
      </c>
      <c r="R53" s="275">
        <f t="shared" ca="1" si="10"/>
        <v>0</v>
      </c>
      <c r="S53" s="275">
        <f t="shared" ca="1" si="10"/>
        <v>0</v>
      </c>
      <c r="T53" s="273">
        <f t="shared" si="11"/>
        <v>46204</v>
      </c>
      <c r="U53" s="274"/>
    </row>
    <row r="54" spans="1:21" ht="16.5" customHeight="1" thickTop="1" thickBot="1" x14ac:dyDescent="0.3">
      <c r="A54" s="273">
        <f>+DATA!$A$10</f>
        <v>46235</v>
      </c>
      <c r="B54" s="275">
        <f t="shared" ca="1" si="9"/>
        <v>0</v>
      </c>
      <c r="C54" s="275">
        <f t="shared" ca="1" si="10"/>
        <v>0</v>
      </c>
      <c r="D54" s="275">
        <f t="shared" ca="1" si="10"/>
        <v>0</v>
      </c>
      <c r="E54" s="275">
        <f t="shared" ca="1" si="10"/>
        <v>0</v>
      </c>
      <c r="F54" s="275">
        <f t="shared" ca="1" si="10"/>
        <v>0</v>
      </c>
      <c r="G54" s="275">
        <f t="shared" ca="1" si="10"/>
        <v>0</v>
      </c>
      <c r="H54" s="275">
        <f t="shared" ca="1" si="10"/>
        <v>0</v>
      </c>
      <c r="I54" s="275">
        <f t="shared" ca="1" si="10"/>
        <v>0</v>
      </c>
      <c r="J54" s="275">
        <f t="shared" ca="1" si="10"/>
        <v>0</v>
      </c>
      <c r="K54" s="275">
        <f t="shared" ca="1" si="10"/>
        <v>0</v>
      </c>
      <c r="L54" s="275">
        <f t="shared" ca="1" si="10"/>
        <v>0</v>
      </c>
      <c r="M54" s="275">
        <f t="shared" ca="1" si="10"/>
        <v>0</v>
      </c>
      <c r="N54" s="275">
        <f t="shared" ca="1" si="10"/>
        <v>0</v>
      </c>
      <c r="O54" s="275">
        <f t="shared" ca="1" si="10"/>
        <v>0</v>
      </c>
      <c r="P54" s="275">
        <f t="shared" ca="1" si="10"/>
        <v>0</v>
      </c>
      <c r="Q54" s="275">
        <f t="shared" ca="1" si="10"/>
        <v>0</v>
      </c>
      <c r="R54" s="275">
        <f t="shared" ca="1" si="10"/>
        <v>0</v>
      </c>
      <c r="S54" s="275">
        <f t="shared" ca="1" si="10"/>
        <v>0</v>
      </c>
      <c r="T54" s="273">
        <f t="shared" si="11"/>
        <v>46235</v>
      </c>
      <c r="U54" s="274"/>
    </row>
    <row r="55" spans="1:21" ht="16.5" customHeight="1" thickTop="1" thickBot="1" x14ac:dyDescent="0.3">
      <c r="A55" s="273">
        <f>+DATA!$A$11</f>
        <v>46266</v>
      </c>
      <c r="B55" s="275">
        <f t="shared" ca="1" si="9"/>
        <v>0</v>
      </c>
      <c r="C55" s="275">
        <f t="shared" ca="1" si="10"/>
        <v>0</v>
      </c>
      <c r="D55" s="275">
        <f t="shared" ca="1" si="10"/>
        <v>0</v>
      </c>
      <c r="E55" s="275">
        <f t="shared" ca="1" si="10"/>
        <v>0</v>
      </c>
      <c r="F55" s="275">
        <f t="shared" ca="1" si="10"/>
        <v>0</v>
      </c>
      <c r="G55" s="275">
        <f t="shared" ca="1" si="10"/>
        <v>0</v>
      </c>
      <c r="H55" s="275">
        <f t="shared" ca="1" si="10"/>
        <v>0</v>
      </c>
      <c r="I55" s="275">
        <f t="shared" ca="1" si="10"/>
        <v>0</v>
      </c>
      <c r="J55" s="275">
        <f t="shared" ca="1" si="10"/>
        <v>0</v>
      </c>
      <c r="K55" s="275">
        <f t="shared" ca="1" si="10"/>
        <v>0</v>
      </c>
      <c r="L55" s="275">
        <f t="shared" ca="1" si="10"/>
        <v>0</v>
      </c>
      <c r="M55" s="275">
        <f t="shared" ca="1" si="10"/>
        <v>0</v>
      </c>
      <c r="N55" s="275">
        <f t="shared" ca="1" si="10"/>
        <v>0</v>
      </c>
      <c r="O55" s="275">
        <f t="shared" ca="1" si="10"/>
        <v>0</v>
      </c>
      <c r="P55" s="275">
        <f t="shared" ca="1" si="10"/>
        <v>0</v>
      </c>
      <c r="Q55" s="275">
        <f t="shared" ca="1" si="10"/>
        <v>0</v>
      </c>
      <c r="R55" s="275">
        <f t="shared" ca="1" si="10"/>
        <v>0</v>
      </c>
      <c r="S55" s="275">
        <f t="shared" ca="1" si="10"/>
        <v>0</v>
      </c>
      <c r="T55" s="273">
        <f t="shared" si="11"/>
        <v>46266</v>
      </c>
      <c r="U55" s="274"/>
    </row>
    <row r="56" spans="1:21" ht="16.5" customHeight="1" thickTop="1" thickBot="1" x14ac:dyDescent="0.3">
      <c r="A56" s="273">
        <f>+DATA!$A$12</f>
        <v>46296</v>
      </c>
      <c r="B56" s="275">
        <f t="shared" ca="1" si="9"/>
        <v>0</v>
      </c>
      <c r="C56" s="275">
        <f t="shared" ca="1" si="10"/>
        <v>0</v>
      </c>
      <c r="D56" s="275">
        <f t="shared" ca="1" si="10"/>
        <v>0</v>
      </c>
      <c r="E56" s="275">
        <f t="shared" ca="1" si="10"/>
        <v>0</v>
      </c>
      <c r="F56" s="275">
        <f t="shared" ca="1" si="10"/>
        <v>0</v>
      </c>
      <c r="G56" s="275">
        <f t="shared" ca="1" si="10"/>
        <v>0</v>
      </c>
      <c r="H56" s="275">
        <f t="shared" ca="1" si="10"/>
        <v>0</v>
      </c>
      <c r="I56" s="275">
        <f t="shared" ca="1" si="10"/>
        <v>0</v>
      </c>
      <c r="J56" s="275">
        <f t="shared" ca="1" si="10"/>
        <v>0</v>
      </c>
      <c r="K56" s="275">
        <f t="shared" ca="1" si="10"/>
        <v>0</v>
      </c>
      <c r="L56" s="275">
        <f t="shared" ca="1" si="10"/>
        <v>0</v>
      </c>
      <c r="M56" s="275">
        <f t="shared" ca="1" si="10"/>
        <v>0</v>
      </c>
      <c r="N56" s="275">
        <f t="shared" ca="1" si="10"/>
        <v>0</v>
      </c>
      <c r="O56" s="275">
        <f t="shared" ca="1" si="10"/>
        <v>0</v>
      </c>
      <c r="P56" s="275">
        <f t="shared" ca="1" si="10"/>
        <v>0</v>
      </c>
      <c r="Q56" s="275">
        <f t="shared" ca="1" si="10"/>
        <v>0</v>
      </c>
      <c r="R56" s="275">
        <f t="shared" ca="1" si="10"/>
        <v>0</v>
      </c>
      <c r="S56" s="275">
        <f t="shared" ca="1" si="10"/>
        <v>0</v>
      </c>
      <c r="T56" s="273">
        <f t="shared" si="11"/>
        <v>46296</v>
      </c>
      <c r="U56" s="274"/>
    </row>
    <row r="57" spans="1:21" ht="16.5" customHeight="1" thickTop="1" thickBot="1" x14ac:dyDescent="0.3">
      <c r="A57" s="273">
        <f>+DATA!$A$13</f>
        <v>46327</v>
      </c>
      <c r="B57" s="275">
        <f t="shared" ca="1" si="9"/>
        <v>0</v>
      </c>
      <c r="C57" s="275">
        <f t="shared" ca="1" si="10"/>
        <v>0</v>
      </c>
      <c r="D57" s="275">
        <f t="shared" ca="1" si="10"/>
        <v>0</v>
      </c>
      <c r="E57" s="275">
        <f t="shared" ca="1" si="10"/>
        <v>0</v>
      </c>
      <c r="F57" s="275">
        <f t="shared" ca="1" si="10"/>
        <v>0</v>
      </c>
      <c r="G57" s="275">
        <f t="shared" ca="1" si="10"/>
        <v>0</v>
      </c>
      <c r="H57" s="275">
        <f t="shared" ca="1" si="10"/>
        <v>0</v>
      </c>
      <c r="I57" s="275">
        <f t="shared" ca="1" si="10"/>
        <v>0</v>
      </c>
      <c r="J57" s="275">
        <f t="shared" ca="1" si="10"/>
        <v>0</v>
      </c>
      <c r="K57" s="275">
        <f t="shared" ca="1" si="10"/>
        <v>0</v>
      </c>
      <c r="L57" s="275">
        <f t="shared" ca="1" si="10"/>
        <v>0</v>
      </c>
      <c r="M57" s="275">
        <f t="shared" ca="1" si="10"/>
        <v>0</v>
      </c>
      <c r="N57" s="275">
        <f t="shared" ca="1" si="10"/>
        <v>0</v>
      </c>
      <c r="O57" s="275">
        <f t="shared" ca="1" si="10"/>
        <v>0</v>
      </c>
      <c r="P57" s="275">
        <f t="shared" ca="1" si="10"/>
        <v>0</v>
      </c>
      <c r="Q57" s="275">
        <f t="shared" ca="1" si="10"/>
        <v>0</v>
      </c>
      <c r="R57" s="275">
        <f t="shared" ca="1" si="10"/>
        <v>0</v>
      </c>
      <c r="S57" s="275">
        <f t="shared" ca="1" si="10"/>
        <v>0</v>
      </c>
      <c r="T57" s="273">
        <f t="shared" si="11"/>
        <v>46327</v>
      </c>
      <c r="U57" s="274"/>
    </row>
    <row r="58" spans="1:21" ht="16.5" customHeight="1" thickTop="1" thickBot="1" x14ac:dyDescent="0.3">
      <c r="A58" s="273">
        <f>+DATA!$A$14</f>
        <v>46357</v>
      </c>
      <c r="B58" s="275">
        <f t="shared" ca="1" si="9"/>
        <v>0</v>
      </c>
      <c r="C58" s="275">
        <f t="shared" ca="1" si="10"/>
        <v>0</v>
      </c>
      <c r="D58" s="275">
        <f t="shared" ca="1" si="10"/>
        <v>0</v>
      </c>
      <c r="E58" s="275">
        <f t="shared" ca="1" si="10"/>
        <v>0</v>
      </c>
      <c r="F58" s="275">
        <f t="shared" ca="1" si="10"/>
        <v>0</v>
      </c>
      <c r="G58" s="275">
        <f t="shared" ca="1" si="10"/>
        <v>0</v>
      </c>
      <c r="H58" s="275">
        <f t="shared" ca="1" si="10"/>
        <v>0</v>
      </c>
      <c r="I58" s="275">
        <f t="shared" ca="1" si="10"/>
        <v>0</v>
      </c>
      <c r="J58" s="275">
        <f t="shared" ca="1" si="10"/>
        <v>0</v>
      </c>
      <c r="K58" s="275">
        <f t="shared" ca="1" si="10"/>
        <v>0</v>
      </c>
      <c r="L58" s="275">
        <f t="shared" ca="1" si="10"/>
        <v>0</v>
      </c>
      <c r="M58" s="275">
        <f t="shared" ca="1" si="10"/>
        <v>0</v>
      </c>
      <c r="N58" s="275">
        <f t="shared" ca="1" si="10"/>
        <v>0</v>
      </c>
      <c r="O58" s="275">
        <f t="shared" ca="1" si="10"/>
        <v>0</v>
      </c>
      <c r="P58" s="275">
        <f t="shared" ca="1" si="10"/>
        <v>0</v>
      </c>
      <c r="Q58" s="275">
        <f t="shared" ca="1" si="10"/>
        <v>0</v>
      </c>
      <c r="R58" s="275">
        <f t="shared" ca="1" si="10"/>
        <v>0</v>
      </c>
      <c r="S58" s="275">
        <f t="shared" ca="1" si="10"/>
        <v>0</v>
      </c>
      <c r="T58" s="766">
        <f t="shared" si="11"/>
        <v>46357</v>
      </c>
      <c r="U58" s="767"/>
    </row>
    <row r="59" spans="1:21" ht="15.75" customHeight="1" thickBot="1" x14ac:dyDescent="0.3">
      <c r="A59" s="50"/>
      <c r="B59" s="762">
        <f ca="1">SUM(B47:B58)</f>
        <v>0</v>
      </c>
      <c r="C59" s="762">
        <f t="shared" ref="C59:S59" ca="1" si="12">SUM(C47:C58)</f>
        <v>0</v>
      </c>
      <c r="D59" s="762">
        <f t="shared" ca="1" si="12"/>
        <v>0</v>
      </c>
      <c r="E59" s="762">
        <f t="shared" ca="1" si="12"/>
        <v>0</v>
      </c>
      <c r="F59" s="762">
        <f t="shared" ca="1" si="12"/>
        <v>0</v>
      </c>
      <c r="G59" s="762">
        <f t="shared" ca="1" si="12"/>
        <v>0</v>
      </c>
      <c r="H59" s="762">
        <f t="shared" ca="1" si="12"/>
        <v>0</v>
      </c>
      <c r="I59" s="762">
        <f t="shared" ca="1" si="12"/>
        <v>0</v>
      </c>
      <c r="J59" s="762">
        <f t="shared" ca="1" si="12"/>
        <v>0</v>
      </c>
      <c r="K59" s="762">
        <f t="shared" ca="1" si="12"/>
        <v>0</v>
      </c>
      <c r="L59" s="762">
        <f t="shared" ca="1" si="12"/>
        <v>0</v>
      </c>
      <c r="M59" s="762">
        <f t="shared" ca="1" si="12"/>
        <v>0</v>
      </c>
      <c r="N59" s="762">
        <f t="shared" ca="1" si="12"/>
        <v>0</v>
      </c>
      <c r="O59" s="762">
        <f t="shared" ca="1" si="12"/>
        <v>0</v>
      </c>
      <c r="P59" s="762">
        <f t="shared" ca="1" si="12"/>
        <v>0</v>
      </c>
      <c r="Q59" s="762">
        <f t="shared" ca="1" si="12"/>
        <v>0</v>
      </c>
      <c r="R59" s="762">
        <f t="shared" ca="1" si="12"/>
        <v>0</v>
      </c>
      <c r="S59" s="762">
        <f t="shared" ca="1" si="12"/>
        <v>0</v>
      </c>
      <c r="T59" s="339"/>
      <c r="U59" s="49"/>
    </row>
    <row r="60" spans="1:21" ht="16.5" customHeight="1" thickTop="1" thickBot="1" x14ac:dyDescent="0.3">
      <c r="A60" s="50" t="s">
        <v>266</v>
      </c>
      <c r="B60" s="757">
        <f ca="1">B59</f>
        <v>0</v>
      </c>
      <c r="C60" s="757">
        <f t="shared" ref="C60:S60" ca="1" si="13">C59</f>
        <v>0</v>
      </c>
      <c r="D60" s="757">
        <f t="shared" ca="1" si="13"/>
        <v>0</v>
      </c>
      <c r="E60" s="757">
        <f t="shared" ca="1" si="13"/>
        <v>0</v>
      </c>
      <c r="F60" s="757">
        <f t="shared" ca="1" si="13"/>
        <v>0</v>
      </c>
      <c r="G60" s="757">
        <f t="shared" ca="1" si="13"/>
        <v>0</v>
      </c>
      <c r="H60" s="757">
        <f t="shared" ca="1" si="13"/>
        <v>0</v>
      </c>
      <c r="I60" s="757">
        <f t="shared" ca="1" si="13"/>
        <v>0</v>
      </c>
      <c r="J60" s="757">
        <f t="shared" ca="1" si="13"/>
        <v>0</v>
      </c>
      <c r="K60" s="757">
        <f t="shared" ca="1" si="13"/>
        <v>0</v>
      </c>
      <c r="L60" s="757">
        <f t="shared" ca="1" si="13"/>
        <v>0</v>
      </c>
      <c r="M60" s="757">
        <f t="shared" ca="1" si="13"/>
        <v>0</v>
      </c>
      <c r="N60" s="757">
        <f t="shared" ca="1" si="13"/>
        <v>0</v>
      </c>
      <c r="O60" s="757">
        <f t="shared" ca="1" si="13"/>
        <v>0</v>
      </c>
      <c r="P60" s="757">
        <f t="shared" ca="1" si="13"/>
        <v>0</v>
      </c>
      <c r="Q60" s="757">
        <f t="shared" ca="1" si="13"/>
        <v>0</v>
      </c>
      <c r="R60" s="757">
        <f t="shared" ca="1" si="13"/>
        <v>0</v>
      </c>
      <c r="S60" s="757">
        <f t="shared" ca="1" si="13"/>
        <v>0</v>
      </c>
      <c r="T60" s="273"/>
      <c r="U60" s="274">
        <f>SUM(U47:U58)</f>
        <v>0</v>
      </c>
    </row>
    <row r="61" spans="1:21" ht="15.75" customHeight="1" thickBot="1" x14ac:dyDescent="0.3">
      <c r="A61" s="51"/>
      <c r="B61" s="24"/>
      <c r="C61" s="24"/>
      <c r="D61" s="24"/>
      <c r="E61" s="24"/>
      <c r="F61" s="24"/>
      <c r="G61" s="24"/>
      <c r="H61" s="24"/>
      <c r="I61" s="24"/>
      <c r="J61" s="24"/>
      <c r="K61" s="24"/>
      <c r="L61" s="24"/>
      <c r="M61" s="24"/>
      <c r="N61" s="24"/>
      <c r="O61" s="24"/>
      <c r="P61" s="24"/>
      <c r="Q61" s="24"/>
      <c r="R61" s="24"/>
      <c r="S61" s="24"/>
      <c r="T61" s="51"/>
      <c r="U61" s="52"/>
    </row>
    <row r="62" spans="1:21" ht="15.75" customHeight="1" thickBot="1" x14ac:dyDescent="0.3"/>
    <row r="63" spans="1:21" ht="15.75" customHeight="1" thickBot="1" x14ac:dyDescent="0.3">
      <c r="A63" s="271" t="s">
        <v>269</v>
      </c>
      <c r="B63" s="760"/>
      <c r="C63" s="760"/>
      <c r="D63" s="760"/>
      <c r="E63" s="760"/>
      <c r="F63" s="760"/>
      <c r="G63" s="760"/>
      <c r="H63" s="760"/>
      <c r="I63" s="760"/>
      <c r="J63" s="760"/>
      <c r="K63" s="760"/>
      <c r="L63" s="760"/>
      <c r="M63" s="760"/>
      <c r="N63" s="760"/>
      <c r="O63" s="760"/>
      <c r="P63" s="760"/>
      <c r="Q63" s="760"/>
      <c r="R63" s="760"/>
      <c r="S63" s="760"/>
      <c r="T63" s="761"/>
      <c r="U63" s="268"/>
    </row>
    <row r="64" spans="1:21" ht="24.75" customHeight="1" thickTop="1" thickBot="1" x14ac:dyDescent="0.4">
      <c r="A64" s="278">
        <f>DATA!$A$2</f>
        <v>46023</v>
      </c>
      <c r="B64" s="778"/>
      <c r="C64" s="778"/>
      <c r="D64" s="778"/>
      <c r="E64" s="778"/>
      <c r="F64" s="778"/>
      <c r="G64" s="778"/>
      <c r="H64" s="778"/>
      <c r="I64" s="778"/>
      <c r="J64" s="778"/>
      <c r="K64" s="778"/>
      <c r="L64" s="778"/>
      <c r="M64" s="778"/>
      <c r="N64" s="778"/>
      <c r="O64" s="778"/>
      <c r="P64" s="778"/>
      <c r="Q64" s="778"/>
      <c r="R64" s="778"/>
      <c r="S64" s="778"/>
      <c r="T64" s="759"/>
      <c r="U64" s="269"/>
    </row>
    <row r="65" spans="1:21" ht="15.75" customHeight="1" thickBot="1" x14ac:dyDescent="0.3">
      <c r="A65" s="25" t="s">
        <v>262</v>
      </c>
      <c r="B65" s="777"/>
      <c r="C65" s="777"/>
      <c r="D65" s="777"/>
      <c r="E65" s="777"/>
      <c r="F65" s="777"/>
      <c r="G65" s="777"/>
      <c r="H65" s="777"/>
      <c r="I65" s="777"/>
      <c r="J65" s="777"/>
      <c r="K65" s="777"/>
      <c r="L65" s="777"/>
      <c r="M65" s="777"/>
      <c r="N65" s="777"/>
      <c r="O65" s="777"/>
      <c r="P65" s="777"/>
      <c r="Q65" s="777"/>
      <c r="R65" s="777"/>
      <c r="S65" s="777"/>
      <c r="T65" s="764" t="str">
        <f>+A63</f>
        <v>Soc Security TOT</v>
      </c>
      <c r="U65" s="765"/>
    </row>
    <row r="66" spans="1:21" ht="15.75" customHeight="1" thickBot="1" x14ac:dyDescent="0.3">
      <c r="A66" s="25" t="s">
        <v>263</v>
      </c>
      <c r="B66" s="270">
        <f>IF(B$5=0,0,INDEX([1]!empdata,MATCH(B$5,[1]!empid,0),16))</f>
        <v>0</v>
      </c>
      <c r="C66" s="270">
        <f>IF(C$5=0,0,INDEX([1]!empdata,MATCH(C$5,[1]!empid,0),16))</f>
        <v>0</v>
      </c>
      <c r="D66" s="270">
        <f>IF(D$5=0,0,INDEX([1]!empdata,MATCH(D$5,[1]!empid,0),16))</f>
        <v>0</v>
      </c>
      <c r="E66" s="270">
        <f>IF(E$5=0,0,INDEX([1]!empdata,MATCH(E$5,[1]!empid,0),16))</f>
        <v>0</v>
      </c>
      <c r="F66" s="270">
        <f>IF(F$5=0,0,INDEX([1]!empdata,MATCH(F$5,[1]!empid,0),16))</f>
        <v>0</v>
      </c>
      <c r="G66" s="270">
        <f>IF(G$5=0,0,INDEX([1]!empdata,MATCH(G$5,[1]!empid,0),16))</f>
        <v>0</v>
      </c>
      <c r="H66" s="270">
        <f>IF(H$5=0,0,INDEX([1]!empdata,MATCH(H$5,[1]!empid,0),16))</f>
        <v>0</v>
      </c>
      <c r="I66" s="270">
        <f>IF(I$5=0,0,INDEX([1]!empdata,MATCH(I$5,[1]!empid,0),16))</f>
        <v>0</v>
      </c>
      <c r="J66" s="270">
        <f>IF(J$5=0,0,INDEX([1]!empdata,MATCH(J$5,[1]!empid,0),16))</f>
        <v>0</v>
      </c>
      <c r="K66" s="270">
        <f>IF(K$5=0,0,INDEX([1]!empdata,MATCH(K$5,[1]!empid,0),16))</f>
        <v>0</v>
      </c>
      <c r="L66" s="270">
        <f>IF(L$5=0,0,INDEX([1]!empdata,MATCH(L$5,[1]!empid,0),16))</f>
        <v>0</v>
      </c>
      <c r="M66" s="270">
        <f>IF(M$5=0,0,INDEX([1]!empdata,MATCH(M$5,[1]!empid,0),16))</f>
        <v>0</v>
      </c>
      <c r="N66" s="270">
        <f>IF(N$5=0,0,INDEX([1]!empdata,MATCH(N$5,[1]!empid,0),16))</f>
        <v>0</v>
      </c>
      <c r="O66" s="270">
        <f>IF(O$5=0,0,INDEX([1]!empdata,MATCH(O$5,[1]!empid,0),16))</f>
        <v>0</v>
      </c>
      <c r="P66" s="270">
        <f>IF(P$5=0,0,INDEX([1]!empdata,MATCH(P$5,[1]!empid,0),16))</f>
        <v>0</v>
      </c>
      <c r="Q66" s="270">
        <f>IF(Q$5=0,0,INDEX([1]!empdata,MATCH(Q$5,[1]!empid,0),16))</f>
        <v>0</v>
      </c>
      <c r="R66" s="270">
        <f>IF(R$5=0,0,INDEX([1]!empdata,MATCH(R$5,[1]!empid,0),16))</f>
        <v>0</v>
      </c>
      <c r="S66" s="270">
        <f>IF(S$5=0,0,INDEX([1]!empdata,MATCH(S$5,[1]!empid,0),16))</f>
        <v>0</v>
      </c>
      <c r="T66" s="763" t="str">
        <f>+T65</f>
        <v>Soc Security TOT</v>
      </c>
      <c r="U66" s="272" t="s">
        <v>272</v>
      </c>
    </row>
    <row r="67" spans="1:21" ht="16.5" customHeight="1" thickTop="1" thickBot="1" x14ac:dyDescent="0.3">
      <c r="A67" s="273">
        <f>+DATA!$A$3</f>
        <v>46023</v>
      </c>
      <c r="B67" s="275">
        <f t="shared" ref="B67:Q78" ca="1" si="14">IF(B$5=0,0,INDEX((INDIRECT(B$6&amp;"!INDAT")),(MATCH($A67,(INDIRECT(B$6&amp;"!$O$2:$O$15")),0)),22))</f>
        <v>0</v>
      </c>
      <c r="C67" s="275">
        <f t="shared" ca="1" si="14"/>
        <v>0</v>
      </c>
      <c r="D67" s="275">
        <f t="shared" ca="1" si="14"/>
        <v>0</v>
      </c>
      <c r="E67" s="275">
        <f t="shared" ca="1" si="14"/>
        <v>0</v>
      </c>
      <c r="F67" s="275">
        <f t="shared" ca="1" si="14"/>
        <v>0</v>
      </c>
      <c r="G67" s="275">
        <f t="shared" ca="1" si="14"/>
        <v>0</v>
      </c>
      <c r="H67" s="275">
        <f t="shared" ca="1" si="14"/>
        <v>0</v>
      </c>
      <c r="I67" s="275">
        <f t="shared" ca="1" si="14"/>
        <v>0</v>
      </c>
      <c r="J67" s="275">
        <f t="shared" ca="1" si="14"/>
        <v>0</v>
      </c>
      <c r="K67" s="275">
        <f t="shared" ca="1" si="14"/>
        <v>0</v>
      </c>
      <c r="L67" s="275">
        <f t="shared" ca="1" si="14"/>
        <v>0</v>
      </c>
      <c r="M67" s="275">
        <f t="shared" ca="1" si="14"/>
        <v>0</v>
      </c>
      <c r="N67" s="275">
        <f t="shared" ca="1" si="14"/>
        <v>0</v>
      </c>
      <c r="O67" s="275">
        <f t="shared" ca="1" si="14"/>
        <v>0</v>
      </c>
      <c r="P67" s="275">
        <f t="shared" ca="1" si="14"/>
        <v>0</v>
      </c>
      <c r="Q67" s="275">
        <f t="shared" ca="1" si="14"/>
        <v>0</v>
      </c>
      <c r="R67" s="275">
        <f t="shared" ref="C67:S78" ca="1" si="15">IF(R$5=0,0,INDEX((INDIRECT(R$6&amp;"!INDAT")),(MATCH($A67,(INDIRECT(R$6&amp;"!$O$2:$O$15")),0)),22))</f>
        <v>0</v>
      </c>
      <c r="S67" s="275">
        <f t="shared" ca="1" si="15"/>
        <v>0</v>
      </c>
      <c r="T67" s="273">
        <f t="shared" ref="T67:T78" si="16">+A67</f>
        <v>46023</v>
      </c>
      <c r="U67" s="274"/>
    </row>
    <row r="68" spans="1:21" ht="16.5" customHeight="1" thickTop="1" thickBot="1" x14ac:dyDescent="0.3">
      <c r="A68" s="273">
        <f>+DATA!$A$4</f>
        <v>46054</v>
      </c>
      <c r="B68" s="275">
        <f t="shared" ca="1" si="14"/>
        <v>0</v>
      </c>
      <c r="C68" s="275">
        <f t="shared" ca="1" si="15"/>
        <v>0</v>
      </c>
      <c r="D68" s="275">
        <f t="shared" ca="1" si="15"/>
        <v>0</v>
      </c>
      <c r="E68" s="275">
        <f t="shared" ca="1" si="15"/>
        <v>0</v>
      </c>
      <c r="F68" s="275">
        <f t="shared" ca="1" si="15"/>
        <v>0</v>
      </c>
      <c r="G68" s="275">
        <f t="shared" ca="1" si="15"/>
        <v>0</v>
      </c>
      <c r="H68" s="275">
        <f t="shared" ca="1" si="15"/>
        <v>0</v>
      </c>
      <c r="I68" s="275">
        <f t="shared" ca="1" si="15"/>
        <v>0</v>
      </c>
      <c r="J68" s="275">
        <f t="shared" ca="1" si="15"/>
        <v>0</v>
      </c>
      <c r="K68" s="275">
        <f t="shared" ca="1" si="15"/>
        <v>0</v>
      </c>
      <c r="L68" s="275">
        <f t="shared" ca="1" si="15"/>
        <v>0</v>
      </c>
      <c r="M68" s="275">
        <f t="shared" ca="1" si="15"/>
        <v>0</v>
      </c>
      <c r="N68" s="275">
        <f t="shared" ca="1" si="15"/>
        <v>0</v>
      </c>
      <c r="O68" s="275">
        <f t="shared" ca="1" si="15"/>
        <v>0</v>
      </c>
      <c r="P68" s="275">
        <f t="shared" ca="1" si="15"/>
        <v>0</v>
      </c>
      <c r="Q68" s="275">
        <f t="shared" ca="1" si="15"/>
        <v>0</v>
      </c>
      <c r="R68" s="275">
        <f t="shared" ca="1" si="15"/>
        <v>0</v>
      </c>
      <c r="S68" s="275">
        <f t="shared" ca="1" si="15"/>
        <v>0</v>
      </c>
      <c r="T68" s="273">
        <f t="shared" si="16"/>
        <v>46054</v>
      </c>
      <c r="U68" s="274"/>
    </row>
    <row r="69" spans="1:21" ht="16.5" customHeight="1" thickTop="1" thickBot="1" x14ac:dyDescent="0.3">
      <c r="A69" s="273">
        <f>+DATA!$A$5</f>
        <v>46082</v>
      </c>
      <c r="B69" s="275">
        <f t="shared" ca="1" si="14"/>
        <v>0</v>
      </c>
      <c r="C69" s="275">
        <f t="shared" ca="1" si="15"/>
        <v>0</v>
      </c>
      <c r="D69" s="275">
        <f t="shared" ca="1" si="15"/>
        <v>0</v>
      </c>
      <c r="E69" s="275">
        <f t="shared" ca="1" si="15"/>
        <v>0</v>
      </c>
      <c r="F69" s="275">
        <f t="shared" ca="1" si="15"/>
        <v>0</v>
      </c>
      <c r="G69" s="275">
        <f t="shared" ca="1" si="15"/>
        <v>0</v>
      </c>
      <c r="H69" s="275">
        <f t="shared" ca="1" si="15"/>
        <v>0</v>
      </c>
      <c r="I69" s="275">
        <f t="shared" ca="1" si="15"/>
        <v>0</v>
      </c>
      <c r="J69" s="275">
        <f t="shared" ca="1" si="15"/>
        <v>0</v>
      </c>
      <c r="K69" s="275">
        <f t="shared" ca="1" si="15"/>
        <v>0</v>
      </c>
      <c r="L69" s="275">
        <f t="shared" ca="1" si="15"/>
        <v>0</v>
      </c>
      <c r="M69" s="275">
        <f t="shared" ca="1" si="15"/>
        <v>0</v>
      </c>
      <c r="N69" s="275">
        <f t="shared" ca="1" si="15"/>
        <v>0</v>
      </c>
      <c r="O69" s="275">
        <f t="shared" ca="1" si="15"/>
        <v>0</v>
      </c>
      <c r="P69" s="275">
        <f t="shared" ca="1" si="15"/>
        <v>0</v>
      </c>
      <c r="Q69" s="275">
        <f t="shared" ca="1" si="15"/>
        <v>0</v>
      </c>
      <c r="R69" s="275">
        <f t="shared" ca="1" si="15"/>
        <v>0</v>
      </c>
      <c r="S69" s="275">
        <f t="shared" ca="1" si="15"/>
        <v>0</v>
      </c>
      <c r="T69" s="273">
        <f t="shared" si="16"/>
        <v>46082</v>
      </c>
      <c r="U69" s="274"/>
    </row>
    <row r="70" spans="1:21" ht="16.5" customHeight="1" thickTop="1" thickBot="1" x14ac:dyDescent="0.3">
      <c r="A70" s="273">
        <f>+DATA!$A$6</f>
        <v>46113</v>
      </c>
      <c r="B70" s="275">
        <f t="shared" ca="1" si="14"/>
        <v>0</v>
      </c>
      <c r="C70" s="275">
        <f t="shared" ca="1" si="15"/>
        <v>0</v>
      </c>
      <c r="D70" s="275">
        <f t="shared" ca="1" si="15"/>
        <v>0</v>
      </c>
      <c r="E70" s="275">
        <f t="shared" ca="1" si="15"/>
        <v>0</v>
      </c>
      <c r="F70" s="275">
        <f t="shared" ca="1" si="15"/>
        <v>0</v>
      </c>
      <c r="G70" s="275">
        <f t="shared" ca="1" si="15"/>
        <v>0</v>
      </c>
      <c r="H70" s="275">
        <f t="shared" ca="1" si="15"/>
        <v>0</v>
      </c>
      <c r="I70" s="275">
        <f t="shared" ca="1" si="15"/>
        <v>0</v>
      </c>
      <c r="J70" s="275">
        <f t="shared" ca="1" si="15"/>
        <v>0</v>
      </c>
      <c r="K70" s="275">
        <f t="shared" ca="1" si="15"/>
        <v>0</v>
      </c>
      <c r="L70" s="275">
        <f t="shared" ca="1" si="15"/>
        <v>0</v>
      </c>
      <c r="M70" s="275">
        <f t="shared" ca="1" si="15"/>
        <v>0</v>
      </c>
      <c r="N70" s="275">
        <f t="shared" ca="1" si="15"/>
        <v>0</v>
      </c>
      <c r="O70" s="275">
        <f t="shared" ca="1" si="15"/>
        <v>0</v>
      </c>
      <c r="P70" s="275">
        <f t="shared" ca="1" si="15"/>
        <v>0</v>
      </c>
      <c r="Q70" s="275">
        <f t="shared" ca="1" si="15"/>
        <v>0</v>
      </c>
      <c r="R70" s="275">
        <f t="shared" ca="1" si="15"/>
        <v>0</v>
      </c>
      <c r="S70" s="275">
        <f t="shared" ca="1" si="15"/>
        <v>0</v>
      </c>
      <c r="T70" s="273">
        <f t="shared" si="16"/>
        <v>46113</v>
      </c>
      <c r="U70" s="274"/>
    </row>
    <row r="71" spans="1:21" ht="16.5" customHeight="1" thickTop="1" thickBot="1" x14ac:dyDescent="0.3">
      <c r="A71" s="273">
        <f>+DATA!$A$7</f>
        <v>46143</v>
      </c>
      <c r="B71" s="275">
        <f t="shared" ca="1" si="14"/>
        <v>0</v>
      </c>
      <c r="C71" s="275">
        <f t="shared" ca="1" si="15"/>
        <v>0</v>
      </c>
      <c r="D71" s="275">
        <f t="shared" ca="1" si="15"/>
        <v>0</v>
      </c>
      <c r="E71" s="275">
        <f t="shared" ca="1" si="15"/>
        <v>0</v>
      </c>
      <c r="F71" s="275">
        <f t="shared" ca="1" si="15"/>
        <v>0</v>
      </c>
      <c r="G71" s="275">
        <f t="shared" ca="1" si="15"/>
        <v>0</v>
      </c>
      <c r="H71" s="275">
        <f t="shared" ca="1" si="15"/>
        <v>0</v>
      </c>
      <c r="I71" s="275">
        <f t="shared" ca="1" si="15"/>
        <v>0</v>
      </c>
      <c r="J71" s="275">
        <f t="shared" ca="1" si="15"/>
        <v>0</v>
      </c>
      <c r="K71" s="275">
        <f t="shared" ca="1" si="15"/>
        <v>0</v>
      </c>
      <c r="L71" s="275">
        <f t="shared" ca="1" si="15"/>
        <v>0</v>
      </c>
      <c r="M71" s="275">
        <f t="shared" ca="1" si="15"/>
        <v>0</v>
      </c>
      <c r="N71" s="275">
        <f t="shared" ca="1" si="15"/>
        <v>0</v>
      </c>
      <c r="O71" s="275">
        <f t="shared" ca="1" si="15"/>
        <v>0</v>
      </c>
      <c r="P71" s="275">
        <f t="shared" ca="1" si="15"/>
        <v>0</v>
      </c>
      <c r="Q71" s="275">
        <f t="shared" ca="1" si="15"/>
        <v>0</v>
      </c>
      <c r="R71" s="275">
        <f t="shared" ca="1" si="15"/>
        <v>0</v>
      </c>
      <c r="S71" s="275">
        <f t="shared" ca="1" si="15"/>
        <v>0</v>
      </c>
      <c r="T71" s="273">
        <f t="shared" si="16"/>
        <v>46143</v>
      </c>
      <c r="U71" s="274"/>
    </row>
    <row r="72" spans="1:21" ht="16.5" customHeight="1" thickTop="1" thickBot="1" x14ac:dyDescent="0.3">
      <c r="A72" s="273">
        <f>+DATA!$A$8</f>
        <v>46174</v>
      </c>
      <c r="B72" s="275">
        <f t="shared" ca="1" si="14"/>
        <v>0</v>
      </c>
      <c r="C72" s="275">
        <f t="shared" ca="1" si="15"/>
        <v>0</v>
      </c>
      <c r="D72" s="275">
        <f t="shared" ca="1" si="15"/>
        <v>0</v>
      </c>
      <c r="E72" s="275">
        <f t="shared" ca="1" si="15"/>
        <v>0</v>
      </c>
      <c r="F72" s="275">
        <f t="shared" ca="1" si="15"/>
        <v>0</v>
      </c>
      <c r="G72" s="275">
        <f t="shared" ca="1" si="15"/>
        <v>0</v>
      </c>
      <c r="H72" s="275">
        <f t="shared" ca="1" si="15"/>
        <v>0</v>
      </c>
      <c r="I72" s="275">
        <f t="shared" ca="1" si="15"/>
        <v>0</v>
      </c>
      <c r="J72" s="275">
        <f t="shared" ca="1" si="15"/>
        <v>0</v>
      </c>
      <c r="K72" s="275">
        <f t="shared" ca="1" si="15"/>
        <v>0</v>
      </c>
      <c r="L72" s="275">
        <f t="shared" ca="1" si="15"/>
        <v>0</v>
      </c>
      <c r="M72" s="275">
        <f t="shared" ca="1" si="15"/>
        <v>0</v>
      </c>
      <c r="N72" s="275">
        <f t="shared" ca="1" si="15"/>
        <v>0</v>
      </c>
      <c r="O72" s="275">
        <f t="shared" ca="1" si="15"/>
        <v>0</v>
      </c>
      <c r="P72" s="275">
        <f t="shared" ca="1" si="15"/>
        <v>0</v>
      </c>
      <c r="Q72" s="275">
        <f t="shared" ca="1" si="15"/>
        <v>0</v>
      </c>
      <c r="R72" s="275">
        <f t="shared" ca="1" si="15"/>
        <v>0</v>
      </c>
      <c r="S72" s="275">
        <f t="shared" ca="1" si="15"/>
        <v>0</v>
      </c>
      <c r="T72" s="273">
        <f t="shared" si="16"/>
        <v>46174</v>
      </c>
      <c r="U72" s="274"/>
    </row>
    <row r="73" spans="1:21" ht="16.5" customHeight="1" thickTop="1" thickBot="1" x14ac:dyDescent="0.3">
      <c r="A73" s="273">
        <f>+DATA!$A$9</f>
        <v>46204</v>
      </c>
      <c r="B73" s="275">
        <f t="shared" ca="1" si="14"/>
        <v>0</v>
      </c>
      <c r="C73" s="275">
        <f t="shared" ca="1" si="15"/>
        <v>0</v>
      </c>
      <c r="D73" s="275">
        <f t="shared" ca="1" si="15"/>
        <v>0</v>
      </c>
      <c r="E73" s="275">
        <f t="shared" ca="1" si="15"/>
        <v>0</v>
      </c>
      <c r="F73" s="275">
        <f t="shared" ca="1" si="15"/>
        <v>0</v>
      </c>
      <c r="G73" s="275">
        <f t="shared" ca="1" si="15"/>
        <v>0</v>
      </c>
      <c r="H73" s="275">
        <f t="shared" ca="1" si="15"/>
        <v>0</v>
      </c>
      <c r="I73" s="275">
        <f t="shared" ca="1" si="15"/>
        <v>0</v>
      </c>
      <c r="J73" s="275">
        <f t="shared" ca="1" si="15"/>
        <v>0</v>
      </c>
      <c r="K73" s="275">
        <f t="shared" ca="1" si="15"/>
        <v>0</v>
      </c>
      <c r="L73" s="275">
        <f t="shared" ca="1" si="15"/>
        <v>0</v>
      </c>
      <c r="M73" s="275">
        <f t="shared" ca="1" si="15"/>
        <v>0</v>
      </c>
      <c r="N73" s="275">
        <f t="shared" ca="1" si="15"/>
        <v>0</v>
      </c>
      <c r="O73" s="275">
        <f t="shared" ca="1" si="15"/>
        <v>0</v>
      </c>
      <c r="P73" s="275">
        <f t="shared" ca="1" si="15"/>
        <v>0</v>
      </c>
      <c r="Q73" s="275">
        <f t="shared" ca="1" si="15"/>
        <v>0</v>
      </c>
      <c r="R73" s="275">
        <f t="shared" ca="1" si="15"/>
        <v>0</v>
      </c>
      <c r="S73" s="275">
        <f t="shared" ca="1" si="15"/>
        <v>0</v>
      </c>
      <c r="T73" s="273">
        <f t="shared" si="16"/>
        <v>46204</v>
      </c>
      <c r="U73" s="274"/>
    </row>
    <row r="74" spans="1:21" ht="16.5" customHeight="1" thickTop="1" thickBot="1" x14ac:dyDescent="0.3">
      <c r="A74" s="273">
        <f>+DATA!$A$10</f>
        <v>46235</v>
      </c>
      <c r="B74" s="275">
        <f t="shared" ca="1" si="14"/>
        <v>0</v>
      </c>
      <c r="C74" s="275">
        <f t="shared" ca="1" si="15"/>
        <v>0</v>
      </c>
      <c r="D74" s="275">
        <f t="shared" ca="1" si="15"/>
        <v>0</v>
      </c>
      <c r="E74" s="275">
        <f t="shared" ca="1" si="15"/>
        <v>0</v>
      </c>
      <c r="F74" s="275">
        <f t="shared" ca="1" si="15"/>
        <v>0</v>
      </c>
      <c r="G74" s="275">
        <f t="shared" ca="1" si="15"/>
        <v>0</v>
      </c>
      <c r="H74" s="275">
        <f t="shared" ca="1" si="15"/>
        <v>0</v>
      </c>
      <c r="I74" s="275">
        <f t="shared" ca="1" si="15"/>
        <v>0</v>
      </c>
      <c r="J74" s="275">
        <f t="shared" ca="1" si="15"/>
        <v>0</v>
      </c>
      <c r="K74" s="275">
        <f t="shared" ca="1" si="15"/>
        <v>0</v>
      </c>
      <c r="L74" s="275">
        <f t="shared" ca="1" si="15"/>
        <v>0</v>
      </c>
      <c r="M74" s="275">
        <f t="shared" ca="1" si="15"/>
        <v>0</v>
      </c>
      <c r="N74" s="275">
        <f t="shared" ca="1" si="15"/>
        <v>0</v>
      </c>
      <c r="O74" s="275">
        <f t="shared" ca="1" si="15"/>
        <v>0</v>
      </c>
      <c r="P74" s="275">
        <f t="shared" ca="1" si="15"/>
        <v>0</v>
      </c>
      <c r="Q74" s="275">
        <f t="shared" ca="1" si="15"/>
        <v>0</v>
      </c>
      <c r="R74" s="275">
        <f t="shared" ca="1" si="15"/>
        <v>0</v>
      </c>
      <c r="S74" s="275">
        <f t="shared" ca="1" si="15"/>
        <v>0</v>
      </c>
      <c r="T74" s="273">
        <f t="shared" si="16"/>
        <v>46235</v>
      </c>
      <c r="U74" s="274"/>
    </row>
    <row r="75" spans="1:21" ht="16.5" customHeight="1" thickTop="1" thickBot="1" x14ac:dyDescent="0.3">
      <c r="A75" s="273">
        <f>+DATA!$A$11</f>
        <v>46266</v>
      </c>
      <c r="B75" s="275">
        <f t="shared" ca="1" si="14"/>
        <v>0</v>
      </c>
      <c r="C75" s="275">
        <f t="shared" ca="1" si="15"/>
        <v>0</v>
      </c>
      <c r="D75" s="275">
        <f t="shared" ca="1" si="15"/>
        <v>0</v>
      </c>
      <c r="E75" s="275">
        <f t="shared" ca="1" si="15"/>
        <v>0</v>
      </c>
      <c r="F75" s="275">
        <f t="shared" ca="1" si="15"/>
        <v>0</v>
      </c>
      <c r="G75" s="275">
        <f t="shared" ca="1" si="15"/>
        <v>0</v>
      </c>
      <c r="H75" s="275">
        <f t="shared" ca="1" si="15"/>
        <v>0</v>
      </c>
      <c r="I75" s="275">
        <f t="shared" ca="1" si="15"/>
        <v>0</v>
      </c>
      <c r="J75" s="275">
        <f t="shared" ca="1" si="15"/>
        <v>0</v>
      </c>
      <c r="K75" s="275">
        <f t="shared" ca="1" si="15"/>
        <v>0</v>
      </c>
      <c r="L75" s="275">
        <f t="shared" ca="1" si="15"/>
        <v>0</v>
      </c>
      <c r="M75" s="275">
        <f t="shared" ca="1" si="15"/>
        <v>0</v>
      </c>
      <c r="N75" s="275">
        <f t="shared" ca="1" si="15"/>
        <v>0</v>
      </c>
      <c r="O75" s="275">
        <f t="shared" ca="1" si="15"/>
        <v>0</v>
      </c>
      <c r="P75" s="275">
        <f t="shared" ca="1" si="15"/>
        <v>0</v>
      </c>
      <c r="Q75" s="275">
        <f t="shared" ca="1" si="15"/>
        <v>0</v>
      </c>
      <c r="R75" s="275">
        <f t="shared" ca="1" si="15"/>
        <v>0</v>
      </c>
      <c r="S75" s="275">
        <f t="shared" ca="1" si="15"/>
        <v>0</v>
      </c>
      <c r="T75" s="273">
        <f t="shared" si="16"/>
        <v>46266</v>
      </c>
      <c r="U75" s="274"/>
    </row>
    <row r="76" spans="1:21" ht="16.5" customHeight="1" thickTop="1" thickBot="1" x14ac:dyDescent="0.3">
      <c r="A76" s="273">
        <f>+DATA!$A$12</f>
        <v>46296</v>
      </c>
      <c r="B76" s="275">
        <f t="shared" ca="1" si="14"/>
        <v>0</v>
      </c>
      <c r="C76" s="275">
        <f t="shared" ca="1" si="15"/>
        <v>0</v>
      </c>
      <c r="D76" s="275">
        <f t="shared" ca="1" si="15"/>
        <v>0</v>
      </c>
      <c r="E76" s="275">
        <f t="shared" ca="1" si="15"/>
        <v>0</v>
      </c>
      <c r="F76" s="275">
        <f t="shared" ca="1" si="15"/>
        <v>0</v>
      </c>
      <c r="G76" s="275">
        <f t="shared" ca="1" si="15"/>
        <v>0</v>
      </c>
      <c r="H76" s="275">
        <f t="shared" ca="1" si="15"/>
        <v>0</v>
      </c>
      <c r="I76" s="275">
        <f t="shared" ca="1" si="15"/>
        <v>0</v>
      </c>
      <c r="J76" s="275">
        <f t="shared" ca="1" si="15"/>
        <v>0</v>
      </c>
      <c r="K76" s="275">
        <f t="shared" ca="1" si="15"/>
        <v>0</v>
      </c>
      <c r="L76" s="275">
        <f t="shared" ca="1" si="15"/>
        <v>0</v>
      </c>
      <c r="M76" s="275">
        <f t="shared" ca="1" si="15"/>
        <v>0</v>
      </c>
      <c r="N76" s="275">
        <f t="shared" ca="1" si="15"/>
        <v>0</v>
      </c>
      <c r="O76" s="275">
        <f t="shared" ca="1" si="15"/>
        <v>0</v>
      </c>
      <c r="P76" s="275">
        <f t="shared" ca="1" si="15"/>
        <v>0</v>
      </c>
      <c r="Q76" s="275">
        <f t="shared" ca="1" si="15"/>
        <v>0</v>
      </c>
      <c r="R76" s="275">
        <f t="shared" ca="1" si="15"/>
        <v>0</v>
      </c>
      <c r="S76" s="275">
        <f t="shared" ca="1" si="15"/>
        <v>0</v>
      </c>
      <c r="T76" s="273">
        <f t="shared" si="16"/>
        <v>46296</v>
      </c>
      <c r="U76" s="274"/>
    </row>
    <row r="77" spans="1:21" ht="16.5" customHeight="1" thickTop="1" thickBot="1" x14ac:dyDescent="0.3">
      <c r="A77" s="273">
        <f>+DATA!$A$13</f>
        <v>46327</v>
      </c>
      <c r="B77" s="275">
        <f t="shared" ca="1" si="14"/>
        <v>0</v>
      </c>
      <c r="C77" s="275">
        <f t="shared" ca="1" si="15"/>
        <v>0</v>
      </c>
      <c r="D77" s="275">
        <f t="shared" ca="1" si="15"/>
        <v>0</v>
      </c>
      <c r="E77" s="275">
        <f t="shared" ca="1" si="15"/>
        <v>0</v>
      </c>
      <c r="F77" s="275">
        <f t="shared" ca="1" si="15"/>
        <v>0</v>
      </c>
      <c r="G77" s="275">
        <f t="shared" ca="1" si="15"/>
        <v>0</v>
      </c>
      <c r="H77" s="275">
        <f t="shared" ca="1" si="15"/>
        <v>0</v>
      </c>
      <c r="I77" s="275">
        <f t="shared" ca="1" si="15"/>
        <v>0</v>
      </c>
      <c r="J77" s="275">
        <f t="shared" ca="1" si="15"/>
        <v>0</v>
      </c>
      <c r="K77" s="275">
        <f t="shared" ca="1" si="15"/>
        <v>0</v>
      </c>
      <c r="L77" s="275">
        <f t="shared" ca="1" si="15"/>
        <v>0</v>
      </c>
      <c r="M77" s="275">
        <f t="shared" ca="1" si="15"/>
        <v>0</v>
      </c>
      <c r="N77" s="275">
        <f t="shared" ca="1" si="15"/>
        <v>0</v>
      </c>
      <c r="O77" s="275">
        <f t="shared" ca="1" si="15"/>
        <v>0</v>
      </c>
      <c r="P77" s="275">
        <f t="shared" ca="1" si="15"/>
        <v>0</v>
      </c>
      <c r="Q77" s="275">
        <f t="shared" ca="1" si="15"/>
        <v>0</v>
      </c>
      <c r="R77" s="275">
        <f t="shared" ca="1" si="15"/>
        <v>0</v>
      </c>
      <c r="S77" s="275">
        <f t="shared" ca="1" si="15"/>
        <v>0</v>
      </c>
      <c r="T77" s="273">
        <f t="shared" si="16"/>
        <v>46327</v>
      </c>
      <c r="U77" s="274"/>
    </row>
    <row r="78" spans="1:21" ht="16.5" customHeight="1" thickTop="1" thickBot="1" x14ac:dyDescent="0.3">
      <c r="A78" s="273">
        <f>+DATA!$A$14</f>
        <v>46357</v>
      </c>
      <c r="B78" s="275">
        <f t="shared" ca="1" si="14"/>
        <v>0</v>
      </c>
      <c r="C78" s="275">
        <f t="shared" ca="1" si="15"/>
        <v>0</v>
      </c>
      <c r="D78" s="275">
        <f t="shared" ca="1" si="15"/>
        <v>0</v>
      </c>
      <c r="E78" s="275">
        <f t="shared" ca="1" si="15"/>
        <v>0</v>
      </c>
      <c r="F78" s="275">
        <f t="shared" ca="1" si="15"/>
        <v>0</v>
      </c>
      <c r="G78" s="275">
        <f t="shared" ca="1" si="15"/>
        <v>0</v>
      </c>
      <c r="H78" s="275">
        <f t="shared" ca="1" si="15"/>
        <v>0</v>
      </c>
      <c r="I78" s="275">
        <f t="shared" ca="1" si="15"/>
        <v>0</v>
      </c>
      <c r="J78" s="275">
        <f t="shared" ca="1" si="15"/>
        <v>0</v>
      </c>
      <c r="K78" s="275">
        <f t="shared" ca="1" si="15"/>
        <v>0</v>
      </c>
      <c r="L78" s="275">
        <f t="shared" ca="1" si="15"/>
        <v>0</v>
      </c>
      <c r="M78" s="275">
        <f t="shared" ca="1" si="15"/>
        <v>0</v>
      </c>
      <c r="N78" s="275">
        <f t="shared" ca="1" si="15"/>
        <v>0</v>
      </c>
      <c r="O78" s="275">
        <f t="shared" ca="1" si="15"/>
        <v>0</v>
      </c>
      <c r="P78" s="275">
        <f t="shared" ca="1" si="15"/>
        <v>0</v>
      </c>
      <c r="Q78" s="275">
        <f t="shared" ca="1" si="15"/>
        <v>0</v>
      </c>
      <c r="R78" s="275">
        <f t="shared" ca="1" si="15"/>
        <v>0</v>
      </c>
      <c r="S78" s="275">
        <f t="shared" ca="1" si="15"/>
        <v>0</v>
      </c>
      <c r="T78" s="766">
        <f t="shared" si="16"/>
        <v>46357</v>
      </c>
      <c r="U78" s="767"/>
    </row>
    <row r="79" spans="1:21" ht="15.75" customHeight="1" thickBot="1" x14ac:dyDescent="0.3">
      <c r="A79" s="50"/>
      <c r="B79" s="762">
        <f ca="1">SUM(B67:B78)</f>
        <v>0</v>
      </c>
      <c r="C79" s="762">
        <f t="shared" ref="C79:S79" ca="1" si="17">SUM(C67:C78)</f>
        <v>0</v>
      </c>
      <c r="D79" s="762">
        <f t="shared" ca="1" si="17"/>
        <v>0</v>
      </c>
      <c r="E79" s="762">
        <f t="shared" ca="1" si="17"/>
        <v>0</v>
      </c>
      <c r="F79" s="762">
        <f t="shared" ca="1" si="17"/>
        <v>0</v>
      </c>
      <c r="G79" s="762">
        <f t="shared" ca="1" si="17"/>
        <v>0</v>
      </c>
      <c r="H79" s="762">
        <f t="shared" ca="1" si="17"/>
        <v>0</v>
      </c>
      <c r="I79" s="762">
        <f t="shared" ca="1" si="17"/>
        <v>0</v>
      </c>
      <c r="J79" s="762">
        <f t="shared" ca="1" si="17"/>
        <v>0</v>
      </c>
      <c r="K79" s="762">
        <f t="shared" ca="1" si="17"/>
        <v>0</v>
      </c>
      <c r="L79" s="762">
        <f t="shared" ca="1" si="17"/>
        <v>0</v>
      </c>
      <c r="M79" s="762">
        <f t="shared" ca="1" si="17"/>
        <v>0</v>
      </c>
      <c r="N79" s="762">
        <f t="shared" ca="1" si="17"/>
        <v>0</v>
      </c>
      <c r="O79" s="762">
        <f t="shared" ca="1" si="17"/>
        <v>0</v>
      </c>
      <c r="P79" s="762">
        <f t="shared" ca="1" si="17"/>
        <v>0</v>
      </c>
      <c r="Q79" s="762">
        <f t="shared" ca="1" si="17"/>
        <v>0</v>
      </c>
      <c r="R79" s="762">
        <f t="shared" ca="1" si="17"/>
        <v>0</v>
      </c>
      <c r="S79" s="762">
        <f t="shared" ca="1" si="17"/>
        <v>0</v>
      </c>
      <c r="T79" s="339"/>
      <c r="U79" s="49"/>
    </row>
    <row r="80" spans="1:21" ht="16.5" customHeight="1" thickTop="1" thickBot="1" x14ac:dyDescent="0.3">
      <c r="A80" s="50" t="s">
        <v>266</v>
      </c>
      <c r="B80" s="757">
        <f ca="1">B79</f>
        <v>0</v>
      </c>
      <c r="C80" s="757">
        <f t="shared" ref="C80:S80" ca="1" si="18">C79</f>
        <v>0</v>
      </c>
      <c r="D80" s="757">
        <f t="shared" ca="1" si="18"/>
        <v>0</v>
      </c>
      <c r="E80" s="757">
        <f t="shared" ca="1" si="18"/>
        <v>0</v>
      </c>
      <c r="F80" s="757">
        <f t="shared" ca="1" si="18"/>
        <v>0</v>
      </c>
      <c r="G80" s="757">
        <f t="shared" ca="1" si="18"/>
        <v>0</v>
      </c>
      <c r="H80" s="757">
        <f t="shared" ca="1" si="18"/>
        <v>0</v>
      </c>
      <c r="I80" s="757">
        <f t="shared" ca="1" si="18"/>
        <v>0</v>
      </c>
      <c r="J80" s="757">
        <f t="shared" ca="1" si="18"/>
        <v>0</v>
      </c>
      <c r="K80" s="757">
        <f t="shared" ca="1" si="18"/>
        <v>0</v>
      </c>
      <c r="L80" s="757">
        <f t="shared" ca="1" si="18"/>
        <v>0</v>
      </c>
      <c r="M80" s="757">
        <f t="shared" ca="1" si="18"/>
        <v>0</v>
      </c>
      <c r="N80" s="757">
        <f t="shared" ca="1" si="18"/>
        <v>0</v>
      </c>
      <c r="O80" s="757">
        <f t="shared" ca="1" si="18"/>
        <v>0</v>
      </c>
      <c r="P80" s="757">
        <f t="shared" ca="1" si="18"/>
        <v>0</v>
      </c>
      <c r="Q80" s="757">
        <f t="shared" ca="1" si="18"/>
        <v>0</v>
      </c>
      <c r="R80" s="757">
        <f t="shared" ca="1" si="18"/>
        <v>0</v>
      </c>
      <c r="S80" s="757">
        <f t="shared" ca="1" si="18"/>
        <v>0</v>
      </c>
      <c r="T80" s="273"/>
      <c r="U80" s="274">
        <f>SUM(U67:U78)</f>
        <v>0</v>
      </c>
    </row>
    <row r="81" spans="1:21" ht="15.75" customHeight="1" thickBot="1" x14ac:dyDescent="0.3">
      <c r="A81" s="51"/>
      <c r="B81" s="24"/>
      <c r="C81" s="24"/>
      <c r="D81" s="24"/>
      <c r="E81" s="24"/>
      <c r="F81" s="24"/>
      <c r="G81" s="24"/>
      <c r="H81" s="24"/>
      <c r="I81" s="24"/>
      <c r="J81" s="24"/>
      <c r="K81" s="24"/>
      <c r="L81" s="24"/>
      <c r="M81" s="24"/>
      <c r="N81" s="24"/>
      <c r="O81" s="24"/>
      <c r="P81" s="24"/>
      <c r="Q81" s="24"/>
      <c r="R81" s="24"/>
      <c r="S81" s="24"/>
      <c r="T81" s="51"/>
      <c r="U81" s="52"/>
    </row>
    <row r="82" spans="1:21" ht="15.75" customHeight="1" thickBot="1" x14ac:dyDescent="0.3"/>
    <row r="83" spans="1:21" ht="15.75" customHeight="1" thickBot="1" x14ac:dyDescent="0.3">
      <c r="A83" s="271" t="s">
        <v>72</v>
      </c>
      <c r="B83" s="760"/>
      <c r="C83" s="760"/>
      <c r="D83" s="760"/>
      <c r="E83" s="760"/>
      <c r="F83" s="760"/>
      <c r="G83" s="760"/>
      <c r="H83" s="760"/>
      <c r="I83" s="760"/>
      <c r="J83" s="760"/>
      <c r="K83" s="760"/>
      <c r="L83" s="760"/>
      <c r="M83" s="760"/>
      <c r="N83" s="760"/>
      <c r="O83" s="760"/>
      <c r="P83" s="760"/>
      <c r="Q83" s="760"/>
      <c r="R83" s="760"/>
      <c r="S83" s="760"/>
      <c r="T83" s="761"/>
      <c r="U83" s="268"/>
    </row>
    <row r="84" spans="1:21" ht="24.75" customHeight="1" thickTop="1" thickBot="1" x14ac:dyDescent="0.4">
      <c r="A84" s="278">
        <f>DATA!$A$2</f>
        <v>46023</v>
      </c>
      <c r="B84" s="778"/>
      <c r="C84" s="778"/>
      <c r="D84" s="778"/>
      <c r="E84" s="778"/>
      <c r="F84" s="778"/>
      <c r="G84" s="778"/>
      <c r="H84" s="778"/>
      <c r="I84" s="778"/>
      <c r="J84" s="778"/>
      <c r="K84" s="778"/>
      <c r="L84" s="778"/>
      <c r="M84" s="778"/>
      <c r="N84" s="778"/>
      <c r="O84" s="778"/>
      <c r="P84" s="778"/>
      <c r="Q84" s="778"/>
      <c r="R84" s="778"/>
      <c r="S84" s="778"/>
      <c r="T84" s="759"/>
      <c r="U84" s="269"/>
    </row>
    <row r="85" spans="1:21" ht="15.75" customHeight="1" thickBot="1" x14ac:dyDescent="0.3">
      <c r="A85" s="25" t="s">
        <v>262</v>
      </c>
      <c r="B85" s="777"/>
      <c r="C85" s="777"/>
      <c r="D85" s="777"/>
      <c r="E85" s="777"/>
      <c r="F85" s="777"/>
      <c r="G85" s="777"/>
      <c r="H85" s="777"/>
      <c r="I85" s="777"/>
      <c r="J85" s="777"/>
      <c r="K85" s="777"/>
      <c r="L85" s="777"/>
      <c r="M85" s="777"/>
      <c r="N85" s="777"/>
      <c r="O85" s="777"/>
      <c r="P85" s="777"/>
      <c r="Q85" s="777"/>
      <c r="R85" s="777"/>
      <c r="S85" s="777"/>
      <c r="T85" s="764" t="str">
        <f>+A83</f>
        <v>MLF</v>
      </c>
      <c r="U85" s="765"/>
    </row>
    <row r="86" spans="1:21" ht="15.75" customHeight="1" thickBot="1" x14ac:dyDescent="0.3">
      <c r="A86" s="25" t="s">
        <v>263</v>
      </c>
      <c r="B86" s="270">
        <f>IF(B$5=0,0,INDEX([1]!empdata,MATCH(B$5,[1]!empid,0),16))</f>
        <v>0</v>
      </c>
      <c r="C86" s="270">
        <f>IF(C$5=0,0,INDEX([1]!empdata,MATCH(C$5,[1]!empid,0),16))</f>
        <v>0</v>
      </c>
      <c r="D86" s="270">
        <f>IF(D$5=0,0,INDEX([1]!empdata,MATCH(D$5,[1]!empid,0),16))</f>
        <v>0</v>
      </c>
      <c r="E86" s="270">
        <f>IF(E$5=0,0,INDEX([1]!empdata,MATCH(E$5,[1]!empid,0),16))</f>
        <v>0</v>
      </c>
      <c r="F86" s="270">
        <f>IF(F$5=0,0,INDEX([1]!empdata,MATCH(F$5,[1]!empid,0),16))</f>
        <v>0</v>
      </c>
      <c r="G86" s="270">
        <f>IF(G$5=0,0,INDEX([1]!empdata,MATCH(G$5,[1]!empid,0),16))</f>
        <v>0</v>
      </c>
      <c r="H86" s="270">
        <f>IF(H$5=0,0,INDEX([1]!empdata,MATCH(H$5,[1]!empid,0),16))</f>
        <v>0</v>
      </c>
      <c r="I86" s="270">
        <f>IF(I$5=0,0,INDEX([1]!empdata,MATCH(I$5,[1]!empid,0),16))</f>
        <v>0</v>
      </c>
      <c r="J86" s="270">
        <f>IF(J$5=0,0,INDEX([1]!empdata,MATCH(J$5,[1]!empid,0),16))</f>
        <v>0</v>
      </c>
      <c r="K86" s="270">
        <f>IF(K$5=0,0,INDEX([1]!empdata,MATCH(K$5,[1]!empid,0),16))</f>
        <v>0</v>
      </c>
      <c r="L86" s="270">
        <f>IF(L$5=0,0,INDEX([1]!empdata,MATCH(L$5,[1]!empid,0),16))</f>
        <v>0</v>
      </c>
      <c r="M86" s="270">
        <f>IF(M$5=0,0,INDEX([1]!empdata,MATCH(M$5,[1]!empid,0),16))</f>
        <v>0</v>
      </c>
      <c r="N86" s="270">
        <f>IF(N$5=0,0,INDEX([1]!empdata,MATCH(N$5,[1]!empid,0),16))</f>
        <v>0</v>
      </c>
      <c r="O86" s="270">
        <f>IF(O$5=0,0,INDEX([1]!empdata,MATCH(O$5,[1]!empid,0),16))</f>
        <v>0</v>
      </c>
      <c r="P86" s="270">
        <f>IF(P$5=0,0,INDEX([1]!empdata,MATCH(P$5,[1]!empid,0),16))</f>
        <v>0</v>
      </c>
      <c r="Q86" s="270">
        <f>IF(Q$5=0,0,INDEX([1]!empdata,MATCH(Q$5,[1]!empid,0),16))</f>
        <v>0</v>
      </c>
      <c r="R86" s="270">
        <f>IF(R$5=0,0,INDEX([1]!empdata,MATCH(R$5,[1]!empid,0),16))</f>
        <v>0</v>
      </c>
      <c r="S86" s="270">
        <f>IF(S$5=0,0,INDEX([1]!empdata,MATCH(S$5,[1]!empid,0),16))</f>
        <v>0</v>
      </c>
      <c r="T86" s="763" t="str">
        <f>+T85</f>
        <v>MLF</v>
      </c>
      <c r="U86" s="272" t="s">
        <v>272</v>
      </c>
    </row>
    <row r="87" spans="1:21" ht="16.5" customHeight="1" thickTop="1" thickBot="1" x14ac:dyDescent="0.3">
      <c r="A87" s="273">
        <f>+DATA!$A$3</f>
        <v>46023</v>
      </c>
      <c r="B87" s="275">
        <f t="shared" ref="B87:Q98" ca="1" si="19">IF(B$5=0,0,INDEX((INDIRECT(B$6&amp;"!INDAT")),(MATCH($A87,(INDIRECT(B$6&amp;"!$O$2:$O$15")),0)),23))</f>
        <v>0</v>
      </c>
      <c r="C87" s="275">
        <f t="shared" ca="1" si="19"/>
        <v>0</v>
      </c>
      <c r="D87" s="275">
        <f t="shared" ca="1" si="19"/>
        <v>0</v>
      </c>
      <c r="E87" s="275">
        <f t="shared" ca="1" si="19"/>
        <v>0</v>
      </c>
      <c r="F87" s="275">
        <f t="shared" ca="1" si="19"/>
        <v>0</v>
      </c>
      <c r="G87" s="275">
        <f t="shared" ca="1" si="19"/>
        <v>0</v>
      </c>
      <c r="H87" s="275">
        <f t="shared" ca="1" si="19"/>
        <v>0</v>
      </c>
      <c r="I87" s="275">
        <f t="shared" ca="1" si="19"/>
        <v>0</v>
      </c>
      <c r="J87" s="275">
        <f t="shared" ca="1" si="19"/>
        <v>0</v>
      </c>
      <c r="K87" s="275">
        <f t="shared" ca="1" si="19"/>
        <v>0</v>
      </c>
      <c r="L87" s="275">
        <f t="shared" ca="1" si="19"/>
        <v>0</v>
      </c>
      <c r="M87" s="275">
        <f t="shared" ca="1" si="19"/>
        <v>0</v>
      </c>
      <c r="N87" s="275">
        <f t="shared" ca="1" si="19"/>
        <v>0</v>
      </c>
      <c r="O87" s="275">
        <f t="shared" ca="1" si="19"/>
        <v>0</v>
      </c>
      <c r="P87" s="275">
        <f t="shared" ca="1" si="19"/>
        <v>0</v>
      </c>
      <c r="Q87" s="275">
        <f t="shared" ca="1" si="19"/>
        <v>0</v>
      </c>
      <c r="R87" s="275">
        <f t="shared" ref="C87:S98" ca="1" si="20">IF(R$5=0,0,INDEX((INDIRECT(R$6&amp;"!INDAT")),(MATCH($A87,(INDIRECT(R$6&amp;"!$O$2:$O$15")),0)),23))</f>
        <v>0</v>
      </c>
      <c r="S87" s="275">
        <f t="shared" ca="1" si="20"/>
        <v>0</v>
      </c>
      <c r="T87" s="273">
        <f t="shared" ref="T87:T98" si="21">+A87</f>
        <v>46023</v>
      </c>
      <c r="U87" s="274"/>
    </row>
    <row r="88" spans="1:21" ht="16.5" customHeight="1" thickTop="1" thickBot="1" x14ac:dyDescent="0.3">
      <c r="A88" s="273">
        <f>+DATA!$A$4</f>
        <v>46054</v>
      </c>
      <c r="B88" s="275">
        <f t="shared" ca="1" si="19"/>
        <v>0</v>
      </c>
      <c r="C88" s="275">
        <f t="shared" ca="1" si="20"/>
        <v>0</v>
      </c>
      <c r="D88" s="275">
        <f t="shared" ca="1" si="20"/>
        <v>0</v>
      </c>
      <c r="E88" s="275">
        <f t="shared" ca="1" si="20"/>
        <v>0</v>
      </c>
      <c r="F88" s="275">
        <f t="shared" ca="1" si="20"/>
        <v>0</v>
      </c>
      <c r="G88" s="275">
        <f t="shared" ca="1" si="20"/>
        <v>0</v>
      </c>
      <c r="H88" s="275">
        <f t="shared" ca="1" si="20"/>
        <v>0</v>
      </c>
      <c r="I88" s="275">
        <f t="shared" ca="1" si="20"/>
        <v>0</v>
      </c>
      <c r="J88" s="275">
        <f t="shared" ca="1" si="20"/>
        <v>0</v>
      </c>
      <c r="K88" s="275">
        <f t="shared" ca="1" si="20"/>
        <v>0</v>
      </c>
      <c r="L88" s="275">
        <f t="shared" ca="1" si="20"/>
        <v>0</v>
      </c>
      <c r="M88" s="275">
        <f t="shared" ca="1" si="20"/>
        <v>0</v>
      </c>
      <c r="N88" s="275">
        <f t="shared" ca="1" si="20"/>
        <v>0</v>
      </c>
      <c r="O88" s="275">
        <f t="shared" ca="1" si="20"/>
        <v>0</v>
      </c>
      <c r="P88" s="275">
        <f t="shared" ca="1" si="20"/>
        <v>0</v>
      </c>
      <c r="Q88" s="275">
        <f t="shared" ca="1" si="20"/>
        <v>0</v>
      </c>
      <c r="R88" s="275">
        <f t="shared" ca="1" si="20"/>
        <v>0</v>
      </c>
      <c r="S88" s="275">
        <f t="shared" ca="1" si="20"/>
        <v>0</v>
      </c>
      <c r="T88" s="273">
        <f t="shared" si="21"/>
        <v>46054</v>
      </c>
      <c r="U88" s="274"/>
    </row>
    <row r="89" spans="1:21" ht="16.5" customHeight="1" thickTop="1" thickBot="1" x14ac:dyDescent="0.3">
      <c r="A89" s="273">
        <f>+DATA!$A$5</f>
        <v>46082</v>
      </c>
      <c r="B89" s="275">
        <f t="shared" ca="1" si="19"/>
        <v>0</v>
      </c>
      <c r="C89" s="275">
        <f t="shared" ca="1" si="20"/>
        <v>0</v>
      </c>
      <c r="D89" s="275">
        <f t="shared" ca="1" si="20"/>
        <v>0</v>
      </c>
      <c r="E89" s="275">
        <f t="shared" ca="1" si="20"/>
        <v>0</v>
      </c>
      <c r="F89" s="275">
        <f t="shared" ca="1" si="20"/>
        <v>0</v>
      </c>
      <c r="G89" s="275">
        <f t="shared" ca="1" si="20"/>
        <v>0</v>
      </c>
      <c r="H89" s="275">
        <f t="shared" ca="1" si="20"/>
        <v>0</v>
      </c>
      <c r="I89" s="275">
        <f t="shared" ca="1" si="20"/>
        <v>0</v>
      </c>
      <c r="J89" s="275">
        <f t="shared" ca="1" si="20"/>
        <v>0</v>
      </c>
      <c r="K89" s="275">
        <f t="shared" ca="1" si="20"/>
        <v>0</v>
      </c>
      <c r="L89" s="275">
        <f t="shared" ca="1" si="20"/>
        <v>0</v>
      </c>
      <c r="M89" s="275">
        <f t="shared" ca="1" si="20"/>
        <v>0</v>
      </c>
      <c r="N89" s="275">
        <f t="shared" ca="1" si="20"/>
        <v>0</v>
      </c>
      <c r="O89" s="275">
        <f t="shared" ca="1" si="20"/>
        <v>0</v>
      </c>
      <c r="P89" s="275">
        <f t="shared" ca="1" si="20"/>
        <v>0</v>
      </c>
      <c r="Q89" s="275">
        <f t="shared" ca="1" si="20"/>
        <v>0</v>
      </c>
      <c r="R89" s="275">
        <f t="shared" ca="1" si="20"/>
        <v>0</v>
      </c>
      <c r="S89" s="275">
        <f t="shared" ca="1" si="20"/>
        <v>0</v>
      </c>
      <c r="T89" s="273">
        <f t="shared" si="21"/>
        <v>46082</v>
      </c>
      <c r="U89" s="274"/>
    </row>
    <row r="90" spans="1:21" ht="16.5" customHeight="1" thickTop="1" thickBot="1" x14ac:dyDescent="0.3">
      <c r="A90" s="273">
        <f>+DATA!$A$6</f>
        <v>46113</v>
      </c>
      <c r="B90" s="275">
        <f t="shared" ca="1" si="19"/>
        <v>0</v>
      </c>
      <c r="C90" s="275">
        <f t="shared" ca="1" si="20"/>
        <v>0</v>
      </c>
      <c r="D90" s="275">
        <f t="shared" ca="1" si="20"/>
        <v>0</v>
      </c>
      <c r="E90" s="275">
        <f t="shared" ca="1" si="20"/>
        <v>0</v>
      </c>
      <c r="F90" s="275">
        <f t="shared" ca="1" si="20"/>
        <v>0</v>
      </c>
      <c r="G90" s="275">
        <f t="shared" ca="1" si="20"/>
        <v>0</v>
      </c>
      <c r="H90" s="275">
        <f t="shared" ca="1" si="20"/>
        <v>0</v>
      </c>
      <c r="I90" s="275">
        <f t="shared" ca="1" si="20"/>
        <v>0</v>
      </c>
      <c r="J90" s="275">
        <f t="shared" ca="1" si="20"/>
        <v>0</v>
      </c>
      <c r="K90" s="275">
        <f t="shared" ca="1" si="20"/>
        <v>0</v>
      </c>
      <c r="L90" s="275">
        <f t="shared" ca="1" si="20"/>
        <v>0</v>
      </c>
      <c r="M90" s="275">
        <f t="shared" ca="1" si="20"/>
        <v>0</v>
      </c>
      <c r="N90" s="275">
        <f t="shared" ca="1" si="20"/>
        <v>0</v>
      </c>
      <c r="O90" s="275">
        <f t="shared" ca="1" si="20"/>
        <v>0</v>
      </c>
      <c r="P90" s="275">
        <f t="shared" ca="1" si="20"/>
        <v>0</v>
      </c>
      <c r="Q90" s="275">
        <f t="shared" ca="1" si="20"/>
        <v>0</v>
      </c>
      <c r="R90" s="275">
        <f t="shared" ca="1" si="20"/>
        <v>0</v>
      </c>
      <c r="S90" s="275">
        <f t="shared" ca="1" si="20"/>
        <v>0</v>
      </c>
      <c r="T90" s="273">
        <f t="shared" si="21"/>
        <v>46113</v>
      </c>
      <c r="U90" s="274"/>
    </row>
    <row r="91" spans="1:21" ht="16.5" customHeight="1" thickTop="1" thickBot="1" x14ac:dyDescent="0.3">
      <c r="A91" s="273">
        <f>+DATA!$A$7</f>
        <v>46143</v>
      </c>
      <c r="B91" s="275">
        <f t="shared" ca="1" si="19"/>
        <v>0</v>
      </c>
      <c r="C91" s="275">
        <f t="shared" ca="1" si="20"/>
        <v>0</v>
      </c>
      <c r="D91" s="275">
        <f t="shared" ca="1" si="20"/>
        <v>0</v>
      </c>
      <c r="E91" s="275">
        <f t="shared" ca="1" si="20"/>
        <v>0</v>
      </c>
      <c r="F91" s="275">
        <f t="shared" ca="1" si="20"/>
        <v>0</v>
      </c>
      <c r="G91" s="275">
        <f t="shared" ca="1" si="20"/>
        <v>0</v>
      </c>
      <c r="H91" s="275">
        <f t="shared" ca="1" si="20"/>
        <v>0</v>
      </c>
      <c r="I91" s="275">
        <f t="shared" ca="1" si="20"/>
        <v>0</v>
      </c>
      <c r="J91" s="275">
        <f t="shared" ca="1" si="20"/>
        <v>0</v>
      </c>
      <c r="K91" s="275">
        <f t="shared" ca="1" si="20"/>
        <v>0</v>
      </c>
      <c r="L91" s="275">
        <f t="shared" ca="1" si="20"/>
        <v>0</v>
      </c>
      <c r="M91" s="275">
        <f t="shared" ca="1" si="20"/>
        <v>0</v>
      </c>
      <c r="N91" s="275">
        <f t="shared" ca="1" si="20"/>
        <v>0</v>
      </c>
      <c r="O91" s="275">
        <f t="shared" ca="1" si="20"/>
        <v>0</v>
      </c>
      <c r="P91" s="275">
        <f t="shared" ca="1" si="20"/>
        <v>0</v>
      </c>
      <c r="Q91" s="275">
        <f t="shared" ca="1" si="20"/>
        <v>0</v>
      </c>
      <c r="R91" s="275">
        <f t="shared" ca="1" si="20"/>
        <v>0</v>
      </c>
      <c r="S91" s="275">
        <f t="shared" ca="1" si="20"/>
        <v>0</v>
      </c>
      <c r="T91" s="273">
        <f t="shared" si="21"/>
        <v>46143</v>
      </c>
      <c r="U91" s="274"/>
    </row>
    <row r="92" spans="1:21" ht="16.5" customHeight="1" thickTop="1" thickBot="1" x14ac:dyDescent="0.3">
      <c r="A92" s="273">
        <f>+DATA!$A$8</f>
        <v>46174</v>
      </c>
      <c r="B92" s="275">
        <f t="shared" ca="1" si="19"/>
        <v>0</v>
      </c>
      <c r="C92" s="275">
        <f t="shared" ca="1" si="20"/>
        <v>0</v>
      </c>
      <c r="D92" s="275">
        <f t="shared" ca="1" si="20"/>
        <v>0</v>
      </c>
      <c r="E92" s="275">
        <f t="shared" ca="1" si="20"/>
        <v>0</v>
      </c>
      <c r="F92" s="275">
        <f t="shared" ca="1" si="20"/>
        <v>0</v>
      </c>
      <c r="G92" s="275">
        <f t="shared" ca="1" si="20"/>
        <v>0</v>
      </c>
      <c r="H92" s="275">
        <f t="shared" ca="1" si="20"/>
        <v>0</v>
      </c>
      <c r="I92" s="275">
        <f t="shared" ca="1" si="20"/>
        <v>0</v>
      </c>
      <c r="J92" s="275">
        <f t="shared" ca="1" si="20"/>
        <v>0</v>
      </c>
      <c r="K92" s="275">
        <f t="shared" ca="1" si="20"/>
        <v>0</v>
      </c>
      <c r="L92" s="275">
        <f t="shared" ca="1" si="20"/>
        <v>0</v>
      </c>
      <c r="M92" s="275">
        <f t="shared" ca="1" si="20"/>
        <v>0</v>
      </c>
      <c r="N92" s="275">
        <f t="shared" ca="1" si="20"/>
        <v>0</v>
      </c>
      <c r="O92" s="275">
        <f t="shared" ca="1" si="20"/>
        <v>0</v>
      </c>
      <c r="P92" s="275">
        <f t="shared" ca="1" si="20"/>
        <v>0</v>
      </c>
      <c r="Q92" s="275">
        <f t="shared" ca="1" si="20"/>
        <v>0</v>
      </c>
      <c r="R92" s="275">
        <f t="shared" ca="1" si="20"/>
        <v>0</v>
      </c>
      <c r="S92" s="275">
        <f t="shared" ca="1" si="20"/>
        <v>0</v>
      </c>
      <c r="T92" s="273">
        <f t="shared" si="21"/>
        <v>46174</v>
      </c>
      <c r="U92" s="274"/>
    </row>
    <row r="93" spans="1:21" ht="16.5" customHeight="1" thickTop="1" thickBot="1" x14ac:dyDescent="0.3">
      <c r="A93" s="273">
        <f>+DATA!$A$9</f>
        <v>46204</v>
      </c>
      <c r="B93" s="275">
        <f t="shared" ca="1" si="19"/>
        <v>0</v>
      </c>
      <c r="C93" s="275">
        <f t="shared" ca="1" si="20"/>
        <v>0</v>
      </c>
      <c r="D93" s="275">
        <f t="shared" ca="1" si="20"/>
        <v>0</v>
      </c>
      <c r="E93" s="275">
        <f t="shared" ca="1" si="20"/>
        <v>0</v>
      </c>
      <c r="F93" s="275">
        <f t="shared" ca="1" si="20"/>
        <v>0</v>
      </c>
      <c r="G93" s="275">
        <f t="shared" ca="1" si="20"/>
        <v>0</v>
      </c>
      <c r="H93" s="275">
        <f t="shared" ca="1" si="20"/>
        <v>0</v>
      </c>
      <c r="I93" s="275">
        <f t="shared" ca="1" si="20"/>
        <v>0</v>
      </c>
      <c r="J93" s="275">
        <f t="shared" ca="1" si="20"/>
        <v>0</v>
      </c>
      <c r="K93" s="275">
        <f t="shared" ca="1" si="20"/>
        <v>0</v>
      </c>
      <c r="L93" s="275">
        <f t="shared" ca="1" si="20"/>
        <v>0</v>
      </c>
      <c r="M93" s="275">
        <f t="shared" ca="1" si="20"/>
        <v>0</v>
      </c>
      <c r="N93" s="275">
        <f t="shared" ca="1" si="20"/>
        <v>0</v>
      </c>
      <c r="O93" s="275">
        <f t="shared" ca="1" si="20"/>
        <v>0</v>
      </c>
      <c r="P93" s="275">
        <f t="shared" ca="1" si="20"/>
        <v>0</v>
      </c>
      <c r="Q93" s="275">
        <f t="shared" ca="1" si="20"/>
        <v>0</v>
      </c>
      <c r="R93" s="275">
        <f t="shared" ca="1" si="20"/>
        <v>0</v>
      </c>
      <c r="S93" s="275">
        <f t="shared" ca="1" si="20"/>
        <v>0</v>
      </c>
      <c r="T93" s="273">
        <f t="shared" si="21"/>
        <v>46204</v>
      </c>
      <c r="U93" s="274"/>
    </row>
    <row r="94" spans="1:21" ht="16.5" customHeight="1" thickTop="1" thickBot="1" x14ac:dyDescent="0.3">
      <c r="A94" s="273">
        <f>+DATA!$A$10</f>
        <v>46235</v>
      </c>
      <c r="B94" s="275">
        <f t="shared" ca="1" si="19"/>
        <v>0</v>
      </c>
      <c r="C94" s="275">
        <f t="shared" ca="1" si="20"/>
        <v>0</v>
      </c>
      <c r="D94" s="275">
        <f t="shared" ca="1" si="20"/>
        <v>0</v>
      </c>
      <c r="E94" s="275">
        <f t="shared" ca="1" si="20"/>
        <v>0</v>
      </c>
      <c r="F94" s="275">
        <f t="shared" ca="1" si="20"/>
        <v>0</v>
      </c>
      <c r="G94" s="275">
        <f t="shared" ca="1" si="20"/>
        <v>0</v>
      </c>
      <c r="H94" s="275">
        <f t="shared" ca="1" si="20"/>
        <v>0</v>
      </c>
      <c r="I94" s="275">
        <f t="shared" ca="1" si="20"/>
        <v>0</v>
      </c>
      <c r="J94" s="275">
        <f t="shared" ca="1" si="20"/>
        <v>0</v>
      </c>
      <c r="K94" s="275">
        <f t="shared" ca="1" si="20"/>
        <v>0</v>
      </c>
      <c r="L94" s="275">
        <f t="shared" ca="1" si="20"/>
        <v>0</v>
      </c>
      <c r="M94" s="275">
        <f t="shared" ca="1" si="20"/>
        <v>0</v>
      </c>
      <c r="N94" s="275">
        <f t="shared" ca="1" si="20"/>
        <v>0</v>
      </c>
      <c r="O94" s="275">
        <f t="shared" ca="1" si="20"/>
        <v>0</v>
      </c>
      <c r="P94" s="275">
        <f t="shared" ca="1" si="20"/>
        <v>0</v>
      </c>
      <c r="Q94" s="275">
        <f t="shared" ca="1" si="20"/>
        <v>0</v>
      </c>
      <c r="R94" s="275">
        <f t="shared" ca="1" si="20"/>
        <v>0</v>
      </c>
      <c r="S94" s="275">
        <f t="shared" ca="1" si="20"/>
        <v>0</v>
      </c>
      <c r="T94" s="273">
        <f t="shared" si="21"/>
        <v>46235</v>
      </c>
      <c r="U94" s="274"/>
    </row>
    <row r="95" spans="1:21" ht="16.5" customHeight="1" thickTop="1" thickBot="1" x14ac:dyDescent="0.3">
      <c r="A95" s="273">
        <f>+DATA!$A$11</f>
        <v>46266</v>
      </c>
      <c r="B95" s="275">
        <f t="shared" ca="1" si="19"/>
        <v>0</v>
      </c>
      <c r="C95" s="275">
        <f t="shared" ca="1" si="20"/>
        <v>0</v>
      </c>
      <c r="D95" s="275">
        <f t="shared" ca="1" si="20"/>
        <v>0</v>
      </c>
      <c r="E95" s="275">
        <f t="shared" ca="1" si="20"/>
        <v>0</v>
      </c>
      <c r="F95" s="275">
        <f t="shared" ca="1" si="20"/>
        <v>0</v>
      </c>
      <c r="G95" s="275">
        <f t="shared" ca="1" si="20"/>
        <v>0</v>
      </c>
      <c r="H95" s="275">
        <f t="shared" ca="1" si="20"/>
        <v>0</v>
      </c>
      <c r="I95" s="275">
        <f t="shared" ca="1" si="20"/>
        <v>0</v>
      </c>
      <c r="J95" s="275">
        <f t="shared" ca="1" si="20"/>
        <v>0</v>
      </c>
      <c r="K95" s="275">
        <f t="shared" ca="1" si="20"/>
        <v>0</v>
      </c>
      <c r="L95" s="275">
        <f t="shared" ca="1" si="20"/>
        <v>0</v>
      </c>
      <c r="M95" s="275">
        <f t="shared" ca="1" si="20"/>
        <v>0</v>
      </c>
      <c r="N95" s="275">
        <f t="shared" ca="1" si="20"/>
        <v>0</v>
      </c>
      <c r="O95" s="275">
        <f t="shared" ca="1" si="20"/>
        <v>0</v>
      </c>
      <c r="P95" s="275">
        <f t="shared" ca="1" si="20"/>
        <v>0</v>
      </c>
      <c r="Q95" s="275">
        <f t="shared" ca="1" si="20"/>
        <v>0</v>
      </c>
      <c r="R95" s="275">
        <f t="shared" ca="1" si="20"/>
        <v>0</v>
      </c>
      <c r="S95" s="275">
        <f t="shared" ca="1" si="20"/>
        <v>0</v>
      </c>
      <c r="T95" s="273">
        <f t="shared" si="21"/>
        <v>46266</v>
      </c>
      <c r="U95" s="274"/>
    </row>
    <row r="96" spans="1:21" ht="16.5" customHeight="1" thickTop="1" thickBot="1" x14ac:dyDescent="0.3">
      <c r="A96" s="273">
        <f>+DATA!$A$12</f>
        <v>46296</v>
      </c>
      <c r="B96" s="275">
        <f t="shared" ca="1" si="19"/>
        <v>0</v>
      </c>
      <c r="C96" s="275">
        <f t="shared" ca="1" si="20"/>
        <v>0</v>
      </c>
      <c r="D96" s="275">
        <f t="shared" ca="1" si="20"/>
        <v>0</v>
      </c>
      <c r="E96" s="275">
        <f t="shared" ca="1" si="20"/>
        <v>0</v>
      </c>
      <c r="F96" s="275">
        <f t="shared" ca="1" si="20"/>
        <v>0</v>
      </c>
      <c r="G96" s="275">
        <f t="shared" ca="1" si="20"/>
        <v>0</v>
      </c>
      <c r="H96" s="275">
        <f t="shared" ca="1" si="20"/>
        <v>0</v>
      </c>
      <c r="I96" s="275">
        <f t="shared" ca="1" si="20"/>
        <v>0</v>
      </c>
      <c r="J96" s="275">
        <f t="shared" ca="1" si="20"/>
        <v>0</v>
      </c>
      <c r="K96" s="275">
        <f t="shared" ca="1" si="20"/>
        <v>0</v>
      </c>
      <c r="L96" s="275">
        <f t="shared" ca="1" si="20"/>
        <v>0</v>
      </c>
      <c r="M96" s="275">
        <f t="shared" ca="1" si="20"/>
        <v>0</v>
      </c>
      <c r="N96" s="275">
        <f t="shared" ca="1" si="20"/>
        <v>0</v>
      </c>
      <c r="O96" s="275">
        <f t="shared" ca="1" si="20"/>
        <v>0</v>
      </c>
      <c r="P96" s="275">
        <f t="shared" ca="1" si="20"/>
        <v>0</v>
      </c>
      <c r="Q96" s="275">
        <f t="shared" ca="1" si="20"/>
        <v>0</v>
      </c>
      <c r="R96" s="275">
        <f t="shared" ca="1" si="20"/>
        <v>0</v>
      </c>
      <c r="S96" s="275">
        <f t="shared" ca="1" si="20"/>
        <v>0</v>
      </c>
      <c r="T96" s="273">
        <f t="shared" si="21"/>
        <v>46296</v>
      </c>
      <c r="U96" s="274"/>
    </row>
    <row r="97" spans="1:21" ht="16.5" customHeight="1" thickTop="1" thickBot="1" x14ac:dyDescent="0.3">
      <c r="A97" s="273">
        <f>+DATA!$A$13</f>
        <v>46327</v>
      </c>
      <c r="B97" s="275">
        <f t="shared" ca="1" si="19"/>
        <v>0</v>
      </c>
      <c r="C97" s="275">
        <f t="shared" ca="1" si="20"/>
        <v>0</v>
      </c>
      <c r="D97" s="275">
        <f t="shared" ca="1" si="20"/>
        <v>0</v>
      </c>
      <c r="E97" s="275">
        <f t="shared" ca="1" si="20"/>
        <v>0</v>
      </c>
      <c r="F97" s="275">
        <f t="shared" ca="1" si="20"/>
        <v>0</v>
      </c>
      <c r="G97" s="275">
        <f t="shared" ca="1" si="20"/>
        <v>0</v>
      </c>
      <c r="H97" s="275">
        <f t="shared" ca="1" si="20"/>
        <v>0</v>
      </c>
      <c r="I97" s="275">
        <f t="shared" ca="1" si="20"/>
        <v>0</v>
      </c>
      <c r="J97" s="275">
        <f t="shared" ca="1" si="20"/>
        <v>0</v>
      </c>
      <c r="K97" s="275">
        <f t="shared" ca="1" si="20"/>
        <v>0</v>
      </c>
      <c r="L97" s="275">
        <f t="shared" ca="1" si="20"/>
        <v>0</v>
      </c>
      <c r="M97" s="275">
        <f t="shared" ca="1" si="20"/>
        <v>0</v>
      </c>
      <c r="N97" s="275">
        <f t="shared" ca="1" si="20"/>
        <v>0</v>
      </c>
      <c r="O97" s="275">
        <f t="shared" ca="1" si="20"/>
        <v>0</v>
      </c>
      <c r="P97" s="275">
        <f t="shared" ca="1" si="20"/>
        <v>0</v>
      </c>
      <c r="Q97" s="275">
        <f t="shared" ca="1" si="20"/>
        <v>0</v>
      </c>
      <c r="R97" s="275">
        <f t="shared" ca="1" si="20"/>
        <v>0</v>
      </c>
      <c r="S97" s="275">
        <f t="shared" ca="1" si="20"/>
        <v>0</v>
      </c>
      <c r="T97" s="273">
        <f t="shared" si="21"/>
        <v>46327</v>
      </c>
      <c r="U97" s="274"/>
    </row>
    <row r="98" spans="1:21" ht="16.5" customHeight="1" thickTop="1" thickBot="1" x14ac:dyDescent="0.3">
      <c r="A98" s="273">
        <f>+DATA!$A$14</f>
        <v>46357</v>
      </c>
      <c r="B98" s="275">
        <f t="shared" ca="1" si="19"/>
        <v>0</v>
      </c>
      <c r="C98" s="275">
        <f t="shared" ca="1" si="20"/>
        <v>0</v>
      </c>
      <c r="D98" s="275">
        <f t="shared" ca="1" si="20"/>
        <v>0</v>
      </c>
      <c r="E98" s="275">
        <f t="shared" ca="1" si="20"/>
        <v>0</v>
      </c>
      <c r="F98" s="275">
        <f t="shared" ca="1" si="20"/>
        <v>0</v>
      </c>
      <c r="G98" s="275">
        <f t="shared" ca="1" si="20"/>
        <v>0</v>
      </c>
      <c r="H98" s="275">
        <f t="shared" ca="1" si="20"/>
        <v>0</v>
      </c>
      <c r="I98" s="275">
        <f t="shared" ca="1" si="20"/>
        <v>0</v>
      </c>
      <c r="J98" s="275">
        <f t="shared" ca="1" si="20"/>
        <v>0</v>
      </c>
      <c r="K98" s="275">
        <f t="shared" ca="1" si="20"/>
        <v>0</v>
      </c>
      <c r="L98" s="275">
        <f t="shared" ca="1" si="20"/>
        <v>0</v>
      </c>
      <c r="M98" s="275">
        <f t="shared" ca="1" si="20"/>
        <v>0</v>
      </c>
      <c r="N98" s="275">
        <f t="shared" ca="1" si="20"/>
        <v>0</v>
      </c>
      <c r="O98" s="275">
        <f t="shared" ca="1" si="20"/>
        <v>0</v>
      </c>
      <c r="P98" s="275">
        <f t="shared" ca="1" si="20"/>
        <v>0</v>
      </c>
      <c r="Q98" s="275">
        <f t="shared" ca="1" si="20"/>
        <v>0</v>
      </c>
      <c r="R98" s="275">
        <f t="shared" ca="1" si="20"/>
        <v>0</v>
      </c>
      <c r="S98" s="275">
        <f t="shared" ca="1" si="20"/>
        <v>0</v>
      </c>
      <c r="T98" s="766">
        <f t="shared" si="21"/>
        <v>46357</v>
      </c>
      <c r="U98" s="767"/>
    </row>
    <row r="99" spans="1:21" ht="15.75" customHeight="1" thickBot="1" x14ac:dyDescent="0.3">
      <c r="A99" s="50"/>
      <c r="B99" s="762">
        <f ca="1">SUM(B87:B98)</f>
        <v>0</v>
      </c>
      <c r="C99" s="762">
        <f t="shared" ref="C99:S99" ca="1" si="22">SUM(C87:C98)</f>
        <v>0</v>
      </c>
      <c r="D99" s="762">
        <f t="shared" ca="1" si="22"/>
        <v>0</v>
      </c>
      <c r="E99" s="762">
        <f t="shared" ca="1" si="22"/>
        <v>0</v>
      </c>
      <c r="F99" s="762">
        <f t="shared" ca="1" si="22"/>
        <v>0</v>
      </c>
      <c r="G99" s="762">
        <f t="shared" ca="1" si="22"/>
        <v>0</v>
      </c>
      <c r="H99" s="762">
        <f t="shared" ca="1" si="22"/>
        <v>0</v>
      </c>
      <c r="I99" s="762">
        <f t="shared" ca="1" si="22"/>
        <v>0</v>
      </c>
      <c r="J99" s="762">
        <f t="shared" ca="1" si="22"/>
        <v>0</v>
      </c>
      <c r="K99" s="762">
        <f t="shared" ca="1" si="22"/>
        <v>0</v>
      </c>
      <c r="L99" s="762">
        <f t="shared" ca="1" si="22"/>
        <v>0</v>
      </c>
      <c r="M99" s="762">
        <f t="shared" ca="1" si="22"/>
        <v>0</v>
      </c>
      <c r="N99" s="762">
        <f t="shared" ca="1" si="22"/>
        <v>0</v>
      </c>
      <c r="O99" s="762">
        <f t="shared" ca="1" si="22"/>
        <v>0</v>
      </c>
      <c r="P99" s="762">
        <f t="shared" ca="1" si="22"/>
        <v>0</v>
      </c>
      <c r="Q99" s="762">
        <f t="shared" ca="1" si="22"/>
        <v>0</v>
      </c>
      <c r="R99" s="762">
        <f t="shared" ca="1" si="22"/>
        <v>0</v>
      </c>
      <c r="S99" s="762">
        <f t="shared" ca="1" si="22"/>
        <v>0</v>
      </c>
      <c r="T99" s="339"/>
      <c r="U99" s="49"/>
    </row>
    <row r="100" spans="1:21" ht="16.5" customHeight="1" thickTop="1" thickBot="1" x14ac:dyDescent="0.3">
      <c r="A100" s="50" t="s">
        <v>266</v>
      </c>
      <c r="B100" s="757">
        <f ca="1">B99</f>
        <v>0</v>
      </c>
      <c r="C100" s="757">
        <f t="shared" ref="C100:S100" ca="1" si="23">C99</f>
        <v>0</v>
      </c>
      <c r="D100" s="757">
        <f t="shared" ca="1" si="23"/>
        <v>0</v>
      </c>
      <c r="E100" s="757">
        <f t="shared" ca="1" si="23"/>
        <v>0</v>
      </c>
      <c r="F100" s="757">
        <f t="shared" ca="1" si="23"/>
        <v>0</v>
      </c>
      <c r="G100" s="757">
        <f t="shared" ca="1" si="23"/>
        <v>0</v>
      </c>
      <c r="H100" s="757">
        <f t="shared" ca="1" si="23"/>
        <v>0</v>
      </c>
      <c r="I100" s="757">
        <f t="shared" ca="1" si="23"/>
        <v>0</v>
      </c>
      <c r="J100" s="757">
        <f t="shared" ca="1" si="23"/>
        <v>0</v>
      </c>
      <c r="K100" s="757">
        <f t="shared" ca="1" si="23"/>
        <v>0</v>
      </c>
      <c r="L100" s="757">
        <f t="shared" ca="1" si="23"/>
        <v>0</v>
      </c>
      <c r="M100" s="757">
        <f t="shared" ca="1" si="23"/>
        <v>0</v>
      </c>
      <c r="N100" s="757">
        <f t="shared" ca="1" si="23"/>
        <v>0</v>
      </c>
      <c r="O100" s="757">
        <f t="shared" ca="1" si="23"/>
        <v>0</v>
      </c>
      <c r="P100" s="757">
        <f t="shared" ca="1" si="23"/>
        <v>0</v>
      </c>
      <c r="Q100" s="757">
        <f t="shared" ca="1" si="23"/>
        <v>0</v>
      </c>
      <c r="R100" s="757">
        <f t="shared" ca="1" si="23"/>
        <v>0</v>
      </c>
      <c r="S100" s="757">
        <f t="shared" ca="1" si="23"/>
        <v>0</v>
      </c>
      <c r="T100" s="273"/>
      <c r="U100" s="274">
        <f>SUM(U87:U98)</f>
        <v>0</v>
      </c>
    </row>
    <row r="101" spans="1:21" ht="15.75" customHeight="1" thickBot="1" x14ac:dyDescent="0.3">
      <c r="A101" s="51"/>
      <c r="B101" s="24"/>
      <c r="C101" s="24"/>
      <c r="D101" s="24"/>
      <c r="E101" s="24"/>
      <c r="F101" s="24"/>
      <c r="G101" s="24"/>
      <c r="H101" s="24"/>
      <c r="I101" s="24"/>
      <c r="J101" s="24"/>
      <c r="K101" s="24"/>
      <c r="L101" s="24"/>
      <c r="M101" s="24"/>
      <c r="N101" s="24"/>
      <c r="O101" s="24"/>
      <c r="P101" s="24"/>
      <c r="Q101" s="24"/>
      <c r="R101" s="24"/>
      <c r="S101" s="24"/>
      <c r="T101" s="51"/>
      <c r="U101" s="52"/>
    </row>
    <row r="102" spans="1:21" ht="15.75" customHeight="1" thickBot="1" x14ac:dyDescent="0.3"/>
    <row r="103" spans="1:21" ht="15.75" customHeight="1" thickBot="1" x14ac:dyDescent="0.3">
      <c r="A103" s="271" t="s">
        <v>270</v>
      </c>
      <c r="B103" s="760"/>
      <c r="C103" s="760"/>
      <c r="D103" s="760"/>
      <c r="E103" s="760"/>
      <c r="F103" s="760"/>
      <c r="G103" s="760"/>
      <c r="H103" s="760"/>
      <c r="I103" s="760"/>
      <c r="J103" s="760"/>
      <c r="K103" s="760"/>
      <c r="L103" s="760"/>
      <c r="M103" s="760"/>
      <c r="N103" s="760"/>
      <c r="O103" s="760"/>
      <c r="P103" s="760"/>
      <c r="Q103" s="760"/>
      <c r="R103" s="760"/>
      <c r="S103" s="760"/>
      <c r="T103" s="761"/>
      <c r="U103" s="268"/>
    </row>
    <row r="104" spans="1:21" ht="24.75" customHeight="1" thickTop="1" thickBot="1" x14ac:dyDescent="0.4">
      <c r="A104" s="278">
        <f>DATA!$A$2</f>
        <v>46023</v>
      </c>
      <c r="B104" s="778"/>
      <c r="C104" s="778"/>
      <c r="D104" s="778"/>
      <c r="E104" s="778"/>
      <c r="F104" s="778"/>
      <c r="G104" s="778"/>
      <c r="H104" s="778"/>
      <c r="I104" s="778"/>
      <c r="J104" s="778"/>
      <c r="K104" s="778"/>
      <c r="L104" s="778"/>
      <c r="M104" s="778"/>
      <c r="N104" s="778"/>
      <c r="O104" s="778"/>
      <c r="P104" s="778"/>
      <c r="Q104" s="778"/>
      <c r="R104" s="778"/>
      <c r="S104" s="778"/>
      <c r="T104" s="759"/>
      <c r="U104" s="269"/>
    </row>
    <row r="105" spans="1:21" ht="15.75" customHeight="1" thickBot="1" x14ac:dyDescent="0.3">
      <c r="A105" s="25" t="s">
        <v>262</v>
      </c>
      <c r="B105" s="777"/>
      <c r="C105" s="777"/>
      <c r="D105" s="777"/>
      <c r="E105" s="777"/>
      <c r="F105" s="777"/>
      <c r="G105" s="777"/>
      <c r="H105" s="777"/>
      <c r="I105" s="777"/>
      <c r="J105" s="777"/>
      <c r="K105" s="777"/>
      <c r="L105" s="777"/>
      <c r="M105" s="777"/>
      <c r="N105" s="777"/>
      <c r="O105" s="777"/>
      <c r="P105" s="777"/>
      <c r="Q105" s="777"/>
      <c r="R105" s="777"/>
      <c r="S105" s="777"/>
      <c r="T105" s="764" t="str">
        <f>+A103</f>
        <v>Overtime Pay</v>
      </c>
      <c r="U105" s="765"/>
    </row>
    <row r="106" spans="1:21" ht="15.75" customHeight="1" thickBot="1" x14ac:dyDescent="0.3">
      <c r="A106" s="25" t="s">
        <v>263</v>
      </c>
      <c r="B106" s="270">
        <f>IF(B$5=0,0,INDEX([1]!empdata,MATCH(B$5,[1]!empid,0),16))</f>
        <v>0</v>
      </c>
      <c r="C106" s="270">
        <f>IF(C$5=0,0,INDEX([1]!empdata,MATCH(C$5,[1]!empid,0),16))</f>
        <v>0</v>
      </c>
      <c r="D106" s="270">
        <f>IF(D$5=0,0,INDEX([1]!empdata,MATCH(D$5,[1]!empid,0),16))</f>
        <v>0</v>
      </c>
      <c r="E106" s="270">
        <f>IF(E$5=0,0,INDEX([1]!empdata,MATCH(E$5,[1]!empid,0),16))</f>
        <v>0</v>
      </c>
      <c r="F106" s="270">
        <f>IF(F$5=0,0,INDEX([1]!empdata,MATCH(F$5,[1]!empid,0),16))</f>
        <v>0</v>
      </c>
      <c r="G106" s="270">
        <f>IF(G$5=0,0,INDEX([1]!empdata,MATCH(G$5,[1]!empid,0),16))</f>
        <v>0</v>
      </c>
      <c r="H106" s="270">
        <f>IF(H$5=0,0,INDEX([1]!empdata,MATCH(H$5,[1]!empid,0),16))</f>
        <v>0</v>
      </c>
      <c r="I106" s="270">
        <f>IF(I$5=0,0,INDEX([1]!empdata,MATCH(I$5,[1]!empid,0),16))</f>
        <v>0</v>
      </c>
      <c r="J106" s="270">
        <f>IF(J$5=0,0,INDEX([1]!empdata,MATCH(J$5,[1]!empid,0),16))</f>
        <v>0</v>
      </c>
      <c r="K106" s="270">
        <f>IF(K$5=0,0,INDEX([1]!empdata,MATCH(K$5,[1]!empid,0),16))</f>
        <v>0</v>
      </c>
      <c r="L106" s="270">
        <f>IF(L$5=0,0,INDEX([1]!empdata,MATCH(L$5,[1]!empid,0),16))</f>
        <v>0</v>
      </c>
      <c r="M106" s="270">
        <f>IF(M$5=0,0,INDEX([1]!empdata,MATCH(M$5,[1]!empid,0),16))</f>
        <v>0</v>
      </c>
      <c r="N106" s="270">
        <f>IF(N$5=0,0,INDEX([1]!empdata,MATCH(N$5,[1]!empid,0),16))</f>
        <v>0</v>
      </c>
      <c r="O106" s="270">
        <f>IF(O$5=0,0,INDEX([1]!empdata,MATCH(O$5,[1]!empid,0),16))</f>
        <v>0</v>
      </c>
      <c r="P106" s="270">
        <f>IF(P$5=0,0,INDEX([1]!empdata,MATCH(P$5,[1]!empid,0),16))</f>
        <v>0</v>
      </c>
      <c r="Q106" s="270">
        <f>IF(Q$5=0,0,INDEX([1]!empdata,MATCH(Q$5,[1]!empid,0),16))</f>
        <v>0</v>
      </c>
      <c r="R106" s="270">
        <f>IF(R$5=0,0,INDEX([1]!empdata,MATCH(R$5,[1]!empid,0),16))</f>
        <v>0</v>
      </c>
      <c r="S106" s="270">
        <f>IF(S$5=0,0,INDEX([1]!empdata,MATCH(S$5,[1]!empid,0),16))</f>
        <v>0</v>
      </c>
      <c r="T106" s="763" t="str">
        <f>+T105</f>
        <v>Overtime Pay</v>
      </c>
      <c r="U106" s="272" t="s">
        <v>272</v>
      </c>
    </row>
    <row r="107" spans="1:21" ht="16.5" customHeight="1" thickTop="1" thickBot="1" x14ac:dyDescent="0.3">
      <c r="A107" s="273">
        <f>+DATA!$A$3</f>
        <v>46023</v>
      </c>
      <c r="B107" s="275">
        <f t="shared" ref="B107:Q118" ca="1" si="24">IF(B$5=0,0,INDEX((INDIRECT(B$6&amp;"!INDAT")),(MATCH($A107,(INDIRECT(B$6&amp;"!$O$2:$O$15")),0)),16))</f>
        <v>0</v>
      </c>
      <c r="C107" s="275">
        <f t="shared" ca="1" si="24"/>
        <v>0</v>
      </c>
      <c r="D107" s="275">
        <f t="shared" ca="1" si="24"/>
        <v>0</v>
      </c>
      <c r="E107" s="275">
        <f t="shared" ca="1" si="24"/>
        <v>0</v>
      </c>
      <c r="F107" s="275">
        <f t="shared" ca="1" si="24"/>
        <v>0</v>
      </c>
      <c r="G107" s="275">
        <f t="shared" ca="1" si="24"/>
        <v>0</v>
      </c>
      <c r="H107" s="275">
        <f t="shared" ca="1" si="24"/>
        <v>0</v>
      </c>
      <c r="I107" s="275">
        <f t="shared" ca="1" si="24"/>
        <v>0</v>
      </c>
      <c r="J107" s="275">
        <f t="shared" ca="1" si="24"/>
        <v>0</v>
      </c>
      <c r="K107" s="275">
        <f t="shared" ca="1" si="24"/>
        <v>0</v>
      </c>
      <c r="L107" s="275">
        <f t="shared" ca="1" si="24"/>
        <v>0</v>
      </c>
      <c r="M107" s="275">
        <f t="shared" ca="1" si="24"/>
        <v>0</v>
      </c>
      <c r="N107" s="275">
        <f t="shared" ca="1" si="24"/>
        <v>0</v>
      </c>
      <c r="O107" s="275">
        <f t="shared" ca="1" si="24"/>
        <v>0</v>
      </c>
      <c r="P107" s="275">
        <f t="shared" ca="1" si="24"/>
        <v>0</v>
      </c>
      <c r="Q107" s="275">
        <f t="shared" ca="1" si="24"/>
        <v>0</v>
      </c>
      <c r="R107" s="275">
        <f t="shared" ref="C107:S118" ca="1" si="25">IF(R$5=0,0,INDEX((INDIRECT(R$6&amp;"!INDAT")),(MATCH($A107,(INDIRECT(R$6&amp;"!$O$2:$O$15")),0)),16))</f>
        <v>0</v>
      </c>
      <c r="S107" s="275">
        <f t="shared" ca="1" si="25"/>
        <v>0</v>
      </c>
      <c r="T107" s="273">
        <f t="shared" ref="T107:T118" si="26">+A107</f>
        <v>46023</v>
      </c>
      <c r="U107" s="274"/>
    </row>
    <row r="108" spans="1:21" ht="16.5" customHeight="1" thickTop="1" thickBot="1" x14ac:dyDescent="0.3">
      <c r="A108" s="273">
        <f>+DATA!$A$4</f>
        <v>46054</v>
      </c>
      <c r="B108" s="275">
        <f t="shared" ca="1" si="24"/>
        <v>0</v>
      </c>
      <c r="C108" s="275">
        <f t="shared" ca="1" si="25"/>
        <v>0</v>
      </c>
      <c r="D108" s="275">
        <f t="shared" ca="1" si="25"/>
        <v>0</v>
      </c>
      <c r="E108" s="275">
        <f t="shared" ca="1" si="25"/>
        <v>0</v>
      </c>
      <c r="F108" s="275">
        <f t="shared" ca="1" si="25"/>
        <v>0</v>
      </c>
      <c r="G108" s="275">
        <f t="shared" ca="1" si="25"/>
        <v>0</v>
      </c>
      <c r="H108" s="275">
        <f t="shared" ca="1" si="25"/>
        <v>0</v>
      </c>
      <c r="I108" s="275">
        <f t="shared" ca="1" si="25"/>
        <v>0</v>
      </c>
      <c r="J108" s="275">
        <f t="shared" ca="1" si="25"/>
        <v>0</v>
      </c>
      <c r="K108" s="275">
        <f t="shared" ca="1" si="25"/>
        <v>0</v>
      </c>
      <c r="L108" s="275">
        <f t="shared" ca="1" si="25"/>
        <v>0</v>
      </c>
      <c r="M108" s="275">
        <f t="shared" ca="1" si="25"/>
        <v>0</v>
      </c>
      <c r="N108" s="275">
        <f t="shared" ca="1" si="25"/>
        <v>0</v>
      </c>
      <c r="O108" s="275">
        <f t="shared" ca="1" si="25"/>
        <v>0</v>
      </c>
      <c r="P108" s="275">
        <f t="shared" ca="1" si="25"/>
        <v>0</v>
      </c>
      <c r="Q108" s="275">
        <f t="shared" ca="1" si="25"/>
        <v>0</v>
      </c>
      <c r="R108" s="275">
        <f t="shared" ca="1" si="25"/>
        <v>0</v>
      </c>
      <c r="S108" s="275">
        <f t="shared" ca="1" si="25"/>
        <v>0</v>
      </c>
      <c r="T108" s="273">
        <f t="shared" si="26"/>
        <v>46054</v>
      </c>
      <c r="U108" s="274"/>
    </row>
    <row r="109" spans="1:21" ht="16.5" customHeight="1" thickTop="1" thickBot="1" x14ac:dyDescent="0.3">
      <c r="A109" s="273">
        <f>+DATA!$A$5</f>
        <v>46082</v>
      </c>
      <c r="B109" s="275">
        <f t="shared" ca="1" si="24"/>
        <v>0</v>
      </c>
      <c r="C109" s="275">
        <f t="shared" ca="1" si="25"/>
        <v>0</v>
      </c>
      <c r="D109" s="275">
        <f t="shared" ca="1" si="25"/>
        <v>0</v>
      </c>
      <c r="E109" s="275">
        <f t="shared" ca="1" si="25"/>
        <v>0</v>
      </c>
      <c r="F109" s="275">
        <f t="shared" ca="1" si="25"/>
        <v>0</v>
      </c>
      <c r="G109" s="275">
        <f t="shared" ca="1" si="25"/>
        <v>0</v>
      </c>
      <c r="H109" s="275">
        <f t="shared" ca="1" si="25"/>
        <v>0</v>
      </c>
      <c r="I109" s="275">
        <f t="shared" ca="1" si="25"/>
        <v>0</v>
      </c>
      <c r="J109" s="275">
        <f t="shared" ca="1" si="25"/>
        <v>0</v>
      </c>
      <c r="K109" s="275">
        <f t="shared" ca="1" si="25"/>
        <v>0</v>
      </c>
      <c r="L109" s="275">
        <f t="shared" ca="1" si="25"/>
        <v>0</v>
      </c>
      <c r="M109" s="275">
        <f t="shared" ca="1" si="25"/>
        <v>0</v>
      </c>
      <c r="N109" s="275">
        <f t="shared" ca="1" si="25"/>
        <v>0</v>
      </c>
      <c r="O109" s="275">
        <f t="shared" ca="1" si="25"/>
        <v>0</v>
      </c>
      <c r="P109" s="275">
        <f t="shared" ca="1" si="25"/>
        <v>0</v>
      </c>
      <c r="Q109" s="275">
        <f t="shared" ca="1" si="25"/>
        <v>0</v>
      </c>
      <c r="R109" s="275">
        <f t="shared" ca="1" si="25"/>
        <v>0</v>
      </c>
      <c r="S109" s="275">
        <f t="shared" ca="1" si="25"/>
        <v>0</v>
      </c>
      <c r="T109" s="273">
        <f t="shared" si="26"/>
        <v>46082</v>
      </c>
      <c r="U109" s="274"/>
    </row>
    <row r="110" spans="1:21" ht="16.5" customHeight="1" thickTop="1" thickBot="1" x14ac:dyDescent="0.3">
      <c r="A110" s="273">
        <f>+DATA!$A$6</f>
        <v>46113</v>
      </c>
      <c r="B110" s="275">
        <f t="shared" ca="1" si="24"/>
        <v>0</v>
      </c>
      <c r="C110" s="275">
        <f t="shared" ca="1" si="25"/>
        <v>0</v>
      </c>
      <c r="D110" s="275">
        <f t="shared" ca="1" si="25"/>
        <v>0</v>
      </c>
      <c r="E110" s="275">
        <f t="shared" ca="1" si="25"/>
        <v>0</v>
      </c>
      <c r="F110" s="275">
        <f t="shared" ca="1" si="25"/>
        <v>0</v>
      </c>
      <c r="G110" s="275">
        <f t="shared" ca="1" si="25"/>
        <v>0</v>
      </c>
      <c r="H110" s="275">
        <f t="shared" ca="1" si="25"/>
        <v>0</v>
      </c>
      <c r="I110" s="275">
        <f t="shared" ca="1" si="25"/>
        <v>0</v>
      </c>
      <c r="J110" s="275">
        <f t="shared" ca="1" si="25"/>
        <v>0</v>
      </c>
      <c r="K110" s="275">
        <f t="shared" ca="1" si="25"/>
        <v>0</v>
      </c>
      <c r="L110" s="275">
        <f t="shared" ca="1" si="25"/>
        <v>0</v>
      </c>
      <c r="M110" s="275">
        <f t="shared" ca="1" si="25"/>
        <v>0</v>
      </c>
      <c r="N110" s="275">
        <f t="shared" ca="1" si="25"/>
        <v>0</v>
      </c>
      <c r="O110" s="275">
        <f t="shared" ca="1" si="25"/>
        <v>0</v>
      </c>
      <c r="P110" s="275">
        <f t="shared" ca="1" si="25"/>
        <v>0</v>
      </c>
      <c r="Q110" s="275">
        <f t="shared" ca="1" si="25"/>
        <v>0</v>
      </c>
      <c r="R110" s="275">
        <f t="shared" ca="1" si="25"/>
        <v>0</v>
      </c>
      <c r="S110" s="275">
        <f t="shared" ca="1" si="25"/>
        <v>0</v>
      </c>
      <c r="T110" s="273">
        <f t="shared" si="26"/>
        <v>46113</v>
      </c>
      <c r="U110" s="274"/>
    </row>
    <row r="111" spans="1:21" ht="16.5" customHeight="1" thickTop="1" thickBot="1" x14ac:dyDescent="0.3">
      <c r="A111" s="273">
        <f>+DATA!$A$7</f>
        <v>46143</v>
      </c>
      <c r="B111" s="275">
        <f t="shared" ca="1" si="24"/>
        <v>0</v>
      </c>
      <c r="C111" s="275">
        <f t="shared" ca="1" si="25"/>
        <v>0</v>
      </c>
      <c r="D111" s="275">
        <f t="shared" ca="1" si="25"/>
        <v>0</v>
      </c>
      <c r="E111" s="275">
        <f t="shared" ca="1" si="25"/>
        <v>0</v>
      </c>
      <c r="F111" s="275">
        <f t="shared" ca="1" si="25"/>
        <v>0</v>
      </c>
      <c r="G111" s="275">
        <f t="shared" ca="1" si="25"/>
        <v>0</v>
      </c>
      <c r="H111" s="275">
        <f t="shared" ca="1" si="25"/>
        <v>0</v>
      </c>
      <c r="I111" s="275">
        <f t="shared" ca="1" si="25"/>
        <v>0</v>
      </c>
      <c r="J111" s="275">
        <f t="shared" ca="1" si="25"/>
        <v>0</v>
      </c>
      <c r="K111" s="275">
        <f t="shared" ca="1" si="25"/>
        <v>0</v>
      </c>
      <c r="L111" s="275">
        <f t="shared" ca="1" si="25"/>
        <v>0</v>
      </c>
      <c r="M111" s="275">
        <f t="shared" ca="1" si="25"/>
        <v>0</v>
      </c>
      <c r="N111" s="275">
        <f t="shared" ca="1" si="25"/>
        <v>0</v>
      </c>
      <c r="O111" s="275">
        <f t="shared" ca="1" si="25"/>
        <v>0</v>
      </c>
      <c r="P111" s="275">
        <f t="shared" ca="1" si="25"/>
        <v>0</v>
      </c>
      <c r="Q111" s="275">
        <f t="shared" ca="1" si="25"/>
        <v>0</v>
      </c>
      <c r="R111" s="275">
        <f t="shared" ca="1" si="25"/>
        <v>0</v>
      </c>
      <c r="S111" s="275">
        <f t="shared" ca="1" si="25"/>
        <v>0</v>
      </c>
      <c r="T111" s="273">
        <f t="shared" si="26"/>
        <v>46143</v>
      </c>
      <c r="U111" s="274"/>
    </row>
    <row r="112" spans="1:21" ht="16.5" customHeight="1" thickTop="1" thickBot="1" x14ac:dyDescent="0.3">
      <c r="A112" s="273">
        <f>+DATA!$A$8</f>
        <v>46174</v>
      </c>
      <c r="B112" s="275">
        <f t="shared" ca="1" si="24"/>
        <v>0</v>
      </c>
      <c r="C112" s="275">
        <f t="shared" ca="1" si="25"/>
        <v>0</v>
      </c>
      <c r="D112" s="275">
        <f t="shared" ca="1" si="25"/>
        <v>0</v>
      </c>
      <c r="E112" s="275">
        <f t="shared" ca="1" si="25"/>
        <v>0</v>
      </c>
      <c r="F112" s="275">
        <f t="shared" ca="1" si="25"/>
        <v>0</v>
      </c>
      <c r="G112" s="275">
        <f t="shared" ca="1" si="25"/>
        <v>0</v>
      </c>
      <c r="H112" s="275">
        <f t="shared" ca="1" si="25"/>
        <v>0</v>
      </c>
      <c r="I112" s="275">
        <f t="shared" ca="1" si="25"/>
        <v>0</v>
      </c>
      <c r="J112" s="275">
        <f t="shared" ca="1" si="25"/>
        <v>0</v>
      </c>
      <c r="K112" s="275">
        <f t="shared" ca="1" si="25"/>
        <v>0</v>
      </c>
      <c r="L112" s="275">
        <f t="shared" ca="1" si="25"/>
        <v>0</v>
      </c>
      <c r="M112" s="275">
        <f t="shared" ca="1" si="25"/>
        <v>0</v>
      </c>
      <c r="N112" s="275">
        <f t="shared" ca="1" si="25"/>
        <v>0</v>
      </c>
      <c r="O112" s="275">
        <f t="shared" ca="1" si="25"/>
        <v>0</v>
      </c>
      <c r="P112" s="275">
        <f t="shared" ca="1" si="25"/>
        <v>0</v>
      </c>
      <c r="Q112" s="275">
        <f t="shared" ca="1" si="25"/>
        <v>0</v>
      </c>
      <c r="R112" s="275">
        <f t="shared" ca="1" si="25"/>
        <v>0</v>
      </c>
      <c r="S112" s="275">
        <f t="shared" ca="1" si="25"/>
        <v>0</v>
      </c>
      <c r="T112" s="273">
        <f t="shared" si="26"/>
        <v>46174</v>
      </c>
      <c r="U112" s="274"/>
    </row>
    <row r="113" spans="1:21" ht="16.5" customHeight="1" thickTop="1" thickBot="1" x14ac:dyDescent="0.3">
      <c r="A113" s="273">
        <f>+DATA!$A$9</f>
        <v>46204</v>
      </c>
      <c r="B113" s="275">
        <f t="shared" ca="1" si="24"/>
        <v>0</v>
      </c>
      <c r="C113" s="275">
        <f t="shared" ca="1" si="25"/>
        <v>0</v>
      </c>
      <c r="D113" s="275">
        <f t="shared" ca="1" si="25"/>
        <v>0</v>
      </c>
      <c r="E113" s="275">
        <f t="shared" ca="1" si="25"/>
        <v>0</v>
      </c>
      <c r="F113" s="275">
        <f t="shared" ca="1" si="25"/>
        <v>0</v>
      </c>
      <c r="G113" s="275">
        <f t="shared" ca="1" si="25"/>
        <v>0</v>
      </c>
      <c r="H113" s="275">
        <f t="shared" ca="1" si="25"/>
        <v>0</v>
      </c>
      <c r="I113" s="275">
        <f t="shared" ca="1" si="25"/>
        <v>0</v>
      </c>
      <c r="J113" s="275">
        <f t="shared" ca="1" si="25"/>
        <v>0</v>
      </c>
      <c r="K113" s="275">
        <f t="shared" ca="1" si="25"/>
        <v>0</v>
      </c>
      <c r="L113" s="275">
        <f t="shared" ca="1" si="25"/>
        <v>0</v>
      </c>
      <c r="M113" s="275">
        <f t="shared" ca="1" si="25"/>
        <v>0</v>
      </c>
      <c r="N113" s="275">
        <f t="shared" ca="1" si="25"/>
        <v>0</v>
      </c>
      <c r="O113" s="275">
        <f t="shared" ca="1" si="25"/>
        <v>0</v>
      </c>
      <c r="P113" s="275">
        <f t="shared" ca="1" si="25"/>
        <v>0</v>
      </c>
      <c r="Q113" s="275">
        <f t="shared" ca="1" si="25"/>
        <v>0</v>
      </c>
      <c r="R113" s="275">
        <f t="shared" ca="1" si="25"/>
        <v>0</v>
      </c>
      <c r="S113" s="275">
        <f t="shared" ca="1" si="25"/>
        <v>0</v>
      </c>
      <c r="T113" s="273">
        <f t="shared" si="26"/>
        <v>46204</v>
      </c>
      <c r="U113" s="274"/>
    </row>
    <row r="114" spans="1:21" ht="16.5" customHeight="1" thickTop="1" thickBot="1" x14ac:dyDescent="0.3">
      <c r="A114" s="273">
        <f>+DATA!$A$10</f>
        <v>46235</v>
      </c>
      <c r="B114" s="275">
        <f t="shared" ca="1" si="24"/>
        <v>0</v>
      </c>
      <c r="C114" s="275">
        <f t="shared" ca="1" si="25"/>
        <v>0</v>
      </c>
      <c r="D114" s="275">
        <f t="shared" ca="1" si="25"/>
        <v>0</v>
      </c>
      <c r="E114" s="275">
        <f t="shared" ca="1" si="25"/>
        <v>0</v>
      </c>
      <c r="F114" s="275">
        <f t="shared" ca="1" si="25"/>
        <v>0</v>
      </c>
      <c r="G114" s="275">
        <f t="shared" ca="1" si="25"/>
        <v>0</v>
      </c>
      <c r="H114" s="275">
        <f t="shared" ca="1" si="25"/>
        <v>0</v>
      </c>
      <c r="I114" s="275">
        <f t="shared" ca="1" si="25"/>
        <v>0</v>
      </c>
      <c r="J114" s="275">
        <f t="shared" ca="1" si="25"/>
        <v>0</v>
      </c>
      <c r="K114" s="275">
        <f t="shared" ca="1" si="25"/>
        <v>0</v>
      </c>
      <c r="L114" s="275">
        <f t="shared" ca="1" si="25"/>
        <v>0</v>
      </c>
      <c r="M114" s="275">
        <f t="shared" ca="1" si="25"/>
        <v>0</v>
      </c>
      <c r="N114" s="275">
        <f t="shared" ca="1" si="25"/>
        <v>0</v>
      </c>
      <c r="O114" s="275">
        <f t="shared" ca="1" si="25"/>
        <v>0</v>
      </c>
      <c r="P114" s="275">
        <f t="shared" ca="1" si="25"/>
        <v>0</v>
      </c>
      <c r="Q114" s="275">
        <f t="shared" ca="1" si="25"/>
        <v>0</v>
      </c>
      <c r="R114" s="275">
        <f t="shared" ca="1" si="25"/>
        <v>0</v>
      </c>
      <c r="S114" s="275">
        <f t="shared" ca="1" si="25"/>
        <v>0</v>
      </c>
      <c r="T114" s="273">
        <f t="shared" si="26"/>
        <v>46235</v>
      </c>
      <c r="U114" s="274"/>
    </row>
    <row r="115" spans="1:21" ht="16.5" customHeight="1" thickTop="1" thickBot="1" x14ac:dyDescent="0.3">
      <c r="A115" s="273">
        <f>+DATA!$A$11</f>
        <v>46266</v>
      </c>
      <c r="B115" s="275">
        <f t="shared" ca="1" si="24"/>
        <v>0</v>
      </c>
      <c r="C115" s="275">
        <f t="shared" ca="1" si="25"/>
        <v>0</v>
      </c>
      <c r="D115" s="275">
        <f t="shared" ca="1" si="25"/>
        <v>0</v>
      </c>
      <c r="E115" s="275">
        <f t="shared" ca="1" si="25"/>
        <v>0</v>
      </c>
      <c r="F115" s="275">
        <f t="shared" ca="1" si="25"/>
        <v>0</v>
      </c>
      <c r="G115" s="275">
        <f t="shared" ca="1" si="25"/>
        <v>0</v>
      </c>
      <c r="H115" s="275">
        <f t="shared" ca="1" si="25"/>
        <v>0</v>
      </c>
      <c r="I115" s="275">
        <f t="shared" ca="1" si="25"/>
        <v>0</v>
      </c>
      <c r="J115" s="275">
        <f t="shared" ca="1" si="25"/>
        <v>0</v>
      </c>
      <c r="K115" s="275">
        <f t="shared" ca="1" si="25"/>
        <v>0</v>
      </c>
      <c r="L115" s="275">
        <f t="shared" ca="1" si="25"/>
        <v>0</v>
      </c>
      <c r="M115" s="275">
        <f t="shared" ca="1" si="25"/>
        <v>0</v>
      </c>
      <c r="N115" s="275">
        <f t="shared" ca="1" si="25"/>
        <v>0</v>
      </c>
      <c r="O115" s="275">
        <f t="shared" ca="1" si="25"/>
        <v>0</v>
      </c>
      <c r="P115" s="275">
        <f t="shared" ca="1" si="25"/>
        <v>0</v>
      </c>
      <c r="Q115" s="275">
        <f t="shared" ca="1" si="25"/>
        <v>0</v>
      </c>
      <c r="R115" s="275">
        <f t="shared" ca="1" si="25"/>
        <v>0</v>
      </c>
      <c r="S115" s="275">
        <f t="shared" ca="1" si="25"/>
        <v>0</v>
      </c>
      <c r="T115" s="273">
        <f t="shared" si="26"/>
        <v>46266</v>
      </c>
      <c r="U115" s="274"/>
    </row>
    <row r="116" spans="1:21" ht="16.5" customHeight="1" thickTop="1" thickBot="1" x14ac:dyDescent="0.3">
      <c r="A116" s="273">
        <f>+DATA!$A$12</f>
        <v>46296</v>
      </c>
      <c r="B116" s="275">
        <f t="shared" ca="1" si="24"/>
        <v>0</v>
      </c>
      <c r="C116" s="275">
        <f t="shared" ca="1" si="25"/>
        <v>0</v>
      </c>
      <c r="D116" s="275">
        <f t="shared" ca="1" si="25"/>
        <v>0</v>
      </c>
      <c r="E116" s="275">
        <f t="shared" ca="1" si="25"/>
        <v>0</v>
      </c>
      <c r="F116" s="275">
        <f t="shared" ca="1" si="25"/>
        <v>0</v>
      </c>
      <c r="G116" s="275">
        <f t="shared" ca="1" si="25"/>
        <v>0</v>
      </c>
      <c r="H116" s="275">
        <f t="shared" ca="1" si="25"/>
        <v>0</v>
      </c>
      <c r="I116" s="275">
        <f t="shared" ca="1" si="25"/>
        <v>0</v>
      </c>
      <c r="J116" s="275">
        <f t="shared" ca="1" si="25"/>
        <v>0</v>
      </c>
      <c r="K116" s="275">
        <f t="shared" ca="1" si="25"/>
        <v>0</v>
      </c>
      <c r="L116" s="275">
        <f t="shared" ca="1" si="25"/>
        <v>0</v>
      </c>
      <c r="M116" s="275">
        <f t="shared" ca="1" si="25"/>
        <v>0</v>
      </c>
      <c r="N116" s="275">
        <f t="shared" ca="1" si="25"/>
        <v>0</v>
      </c>
      <c r="O116" s="275">
        <f t="shared" ca="1" si="25"/>
        <v>0</v>
      </c>
      <c r="P116" s="275">
        <f t="shared" ca="1" si="25"/>
        <v>0</v>
      </c>
      <c r="Q116" s="275">
        <f t="shared" ca="1" si="25"/>
        <v>0</v>
      </c>
      <c r="R116" s="275">
        <f t="shared" ca="1" si="25"/>
        <v>0</v>
      </c>
      <c r="S116" s="275">
        <f t="shared" ca="1" si="25"/>
        <v>0</v>
      </c>
      <c r="T116" s="273">
        <f t="shared" si="26"/>
        <v>46296</v>
      </c>
      <c r="U116" s="274"/>
    </row>
    <row r="117" spans="1:21" ht="16.5" customHeight="1" thickTop="1" thickBot="1" x14ac:dyDescent="0.3">
      <c r="A117" s="273">
        <f>+DATA!$A$13</f>
        <v>46327</v>
      </c>
      <c r="B117" s="275">
        <f t="shared" ca="1" si="24"/>
        <v>0</v>
      </c>
      <c r="C117" s="275">
        <f t="shared" ca="1" si="25"/>
        <v>0</v>
      </c>
      <c r="D117" s="275">
        <f t="shared" ca="1" si="25"/>
        <v>0</v>
      </c>
      <c r="E117" s="275">
        <f t="shared" ca="1" si="25"/>
        <v>0</v>
      </c>
      <c r="F117" s="275">
        <f t="shared" ca="1" si="25"/>
        <v>0</v>
      </c>
      <c r="G117" s="275">
        <f t="shared" ca="1" si="25"/>
        <v>0</v>
      </c>
      <c r="H117" s="275">
        <f t="shared" ca="1" si="25"/>
        <v>0</v>
      </c>
      <c r="I117" s="275">
        <f t="shared" ca="1" si="25"/>
        <v>0</v>
      </c>
      <c r="J117" s="275">
        <f t="shared" ca="1" si="25"/>
        <v>0</v>
      </c>
      <c r="K117" s="275">
        <f t="shared" ca="1" si="25"/>
        <v>0</v>
      </c>
      <c r="L117" s="275">
        <f t="shared" ca="1" si="25"/>
        <v>0</v>
      </c>
      <c r="M117" s="275">
        <f t="shared" ca="1" si="25"/>
        <v>0</v>
      </c>
      <c r="N117" s="275">
        <f t="shared" ca="1" si="25"/>
        <v>0</v>
      </c>
      <c r="O117" s="275">
        <f t="shared" ca="1" si="25"/>
        <v>0</v>
      </c>
      <c r="P117" s="275">
        <f t="shared" ca="1" si="25"/>
        <v>0</v>
      </c>
      <c r="Q117" s="275">
        <f t="shared" ca="1" si="25"/>
        <v>0</v>
      </c>
      <c r="R117" s="275">
        <f t="shared" ca="1" si="25"/>
        <v>0</v>
      </c>
      <c r="S117" s="275">
        <f t="shared" ca="1" si="25"/>
        <v>0</v>
      </c>
      <c r="T117" s="273">
        <f t="shared" si="26"/>
        <v>46327</v>
      </c>
      <c r="U117" s="274"/>
    </row>
    <row r="118" spans="1:21" ht="16.5" customHeight="1" thickTop="1" thickBot="1" x14ac:dyDescent="0.3">
      <c r="A118" s="273">
        <f>+DATA!$A$14</f>
        <v>46357</v>
      </c>
      <c r="B118" s="275">
        <f t="shared" ca="1" si="24"/>
        <v>0</v>
      </c>
      <c r="C118" s="275">
        <f t="shared" ca="1" si="25"/>
        <v>0</v>
      </c>
      <c r="D118" s="275">
        <f t="shared" ca="1" si="25"/>
        <v>0</v>
      </c>
      <c r="E118" s="275">
        <f t="shared" ca="1" si="25"/>
        <v>0</v>
      </c>
      <c r="F118" s="275">
        <f t="shared" ca="1" si="25"/>
        <v>0</v>
      </c>
      <c r="G118" s="275">
        <f t="shared" ca="1" si="25"/>
        <v>0</v>
      </c>
      <c r="H118" s="275">
        <f t="shared" ca="1" si="25"/>
        <v>0</v>
      </c>
      <c r="I118" s="275">
        <f t="shared" ca="1" si="25"/>
        <v>0</v>
      </c>
      <c r="J118" s="275">
        <f t="shared" ca="1" si="25"/>
        <v>0</v>
      </c>
      <c r="K118" s="275">
        <f t="shared" ca="1" si="25"/>
        <v>0</v>
      </c>
      <c r="L118" s="275">
        <f t="shared" ca="1" si="25"/>
        <v>0</v>
      </c>
      <c r="M118" s="275">
        <f t="shared" ca="1" si="25"/>
        <v>0</v>
      </c>
      <c r="N118" s="275">
        <f t="shared" ca="1" si="25"/>
        <v>0</v>
      </c>
      <c r="O118" s="275">
        <f t="shared" ca="1" si="25"/>
        <v>0</v>
      </c>
      <c r="P118" s="275">
        <f t="shared" ca="1" si="25"/>
        <v>0</v>
      </c>
      <c r="Q118" s="275">
        <f t="shared" ca="1" si="25"/>
        <v>0</v>
      </c>
      <c r="R118" s="275">
        <f t="shared" ca="1" si="25"/>
        <v>0</v>
      </c>
      <c r="S118" s="275">
        <f t="shared" ca="1" si="25"/>
        <v>0</v>
      </c>
      <c r="T118" s="766">
        <f t="shared" si="26"/>
        <v>46357</v>
      </c>
      <c r="U118" s="767"/>
    </row>
    <row r="119" spans="1:21" ht="15.75" customHeight="1" thickBot="1" x14ac:dyDescent="0.3">
      <c r="A119" s="50"/>
      <c r="B119" s="762">
        <f ca="1">SUM(B107:B118)</f>
        <v>0</v>
      </c>
      <c r="C119" s="762">
        <f t="shared" ref="C119:S119" ca="1" si="27">SUM(C107:C118)</f>
        <v>0</v>
      </c>
      <c r="D119" s="762">
        <f t="shared" ca="1" si="27"/>
        <v>0</v>
      </c>
      <c r="E119" s="762">
        <f t="shared" ca="1" si="27"/>
        <v>0</v>
      </c>
      <c r="F119" s="762">
        <f t="shared" ca="1" si="27"/>
        <v>0</v>
      </c>
      <c r="G119" s="762">
        <f t="shared" ca="1" si="27"/>
        <v>0</v>
      </c>
      <c r="H119" s="762">
        <f t="shared" ca="1" si="27"/>
        <v>0</v>
      </c>
      <c r="I119" s="762">
        <f t="shared" ca="1" si="27"/>
        <v>0</v>
      </c>
      <c r="J119" s="762">
        <f t="shared" ca="1" si="27"/>
        <v>0</v>
      </c>
      <c r="K119" s="762">
        <f t="shared" ca="1" si="27"/>
        <v>0</v>
      </c>
      <c r="L119" s="762">
        <f t="shared" ca="1" si="27"/>
        <v>0</v>
      </c>
      <c r="M119" s="762">
        <f t="shared" ca="1" si="27"/>
        <v>0</v>
      </c>
      <c r="N119" s="762">
        <f t="shared" ca="1" si="27"/>
        <v>0</v>
      </c>
      <c r="O119" s="762">
        <f t="shared" ca="1" si="27"/>
        <v>0</v>
      </c>
      <c r="P119" s="762">
        <f t="shared" ca="1" si="27"/>
        <v>0</v>
      </c>
      <c r="Q119" s="762">
        <f t="shared" ca="1" si="27"/>
        <v>0</v>
      </c>
      <c r="R119" s="762">
        <f t="shared" ca="1" si="27"/>
        <v>0</v>
      </c>
      <c r="S119" s="762">
        <f t="shared" ca="1" si="27"/>
        <v>0</v>
      </c>
      <c r="T119" s="339"/>
      <c r="U119" s="49"/>
    </row>
    <row r="120" spans="1:21" ht="16.5" customHeight="1" thickTop="1" thickBot="1" x14ac:dyDescent="0.3">
      <c r="A120" s="50" t="s">
        <v>266</v>
      </c>
      <c r="B120" s="757">
        <f ca="1">B119</f>
        <v>0</v>
      </c>
      <c r="C120" s="757">
        <f t="shared" ref="C120:S120" ca="1" si="28">C119</f>
        <v>0</v>
      </c>
      <c r="D120" s="757">
        <f t="shared" ca="1" si="28"/>
        <v>0</v>
      </c>
      <c r="E120" s="757">
        <f t="shared" ca="1" si="28"/>
        <v>0</v>
      </c>
      <c r="F120" s="757">
        <f t="shared" ca="1" si="28"/>
        <v>0</v>
      </c>
      <c r="G120" s="757">
        <f t="shared" ca="1" si="28"/>
        <v>0</v>
      </c>
      <c r="H120" s="757">
        <f t="shared" ca="1" si="28"/>
        <v>0</v>
      </c>
      <c r="I120" s="757">
        <f t="shared" ca="1" si="28"/>
        <v>0</v>
      </c>
      <c r="J120" s="757">
        <f t="shared" ca="1" si="28"/>
        <v>0</v>
      </c>
      <c r="K120" s="757">
        <f t="shared" ca="1" si="28"/>
        <v>0</v>
      </c>
      <c r="L120" s="757">
        <f t="shared" ca="1" si="28"/>
        <v>0</v>
      </c>
      <c r="M120" s="757">
        <f t="shared" ca="1" si="28"/>
        <v>0</v>
      </c>
      <c r="N120" s="757">
        <f t="shared" ca="1" si="28"/>
        <v>0</v>
      </c>
      <c r="O120" s="757">
        <f t="shared" ca="1" si="28"/>
        <v>0</v>
      </c>
      <c r="P120" s="757">
        <f t="shared" ca="1" si="28"/>
        <v>0</v>
      </c>
      <c r="Q120" s="757">
        <f t="shared" ca="1" si="28"/>
        <v>0</v>
      </c>
      <c r="R120" s="757">
        <f t="shared" ca="1" si="28"/>
        <v>0</v>
      </c>
      <c r="S120" s="757">
        <f t="shared" ca="1" si="28"/>
        <v>0</v>
      </c>
      <c r="T120" s="273"/>
      <c r="U120" s="274">
        <f>SUM(U107:U118)</f>
        <v>0</v>
      </c>
    </row>
    <row r="121" spans="1:21" ht="15.75" customHeight="1" thickBot="1" x14ac:dyDescent="0.3">
      <c r="A121" s="51"/>
      <c r="B121" s="24"/>
      <c r="C121" s="24"/>
      <c r="D121" s="24"/>
      <c r="E121" s="24"/>
      <c r="F121" s="24"/>
      <c r="G121" s="24"/>
      <c r="H121" s="24"/>
      <c r="I121" s="24"/>
      <c r="J121" s="24"/>
      <c r="K121" s="24"/>
      <c r="L121" s="24"/>
      <c r="M121" s="24"/>
      <c r="N121" s="24"/>
      <c r="O121" s="24"/>
      <c r="P121" s="24"/>
      <c r="Q121" s="24"/>
      <c r="R121" s="24"/>
      <c r="S121" s="24"/>
      <c r="T121" s="51"/>
      <c r="U121" s="52"/>
    </row>
    <row r="122" spans="1:21" ht="15.75" customHeight="1" thickBot="1" x14ac:dyDescent="0.3"/>
    <row r="123" spans="1:21" ht="15.75" customHeight="1" thickBot="1" x14ac:dyDescent="0.3">
      <c r="A123" s="271" t="s">
        <v>271</v>
      </c>
      <c r="B123" s="760"/>
      <c r="C123" s="760"/>
      <c r="D123" s="760"/>
      <c r="E123" s="760"/>
      <c r="F123" s="760"/>
      <c r="G123" s="760"/>
      <c r="H123" s="760"/>
      <c r="I123" s="760"/>
      <c r="J123" s="760"/>
      <c r="K123" s="760"/>
      <c r="L123" s="760"/>
      <c r="M123" s="760"/>
      <c r="N123" s="760"/>
      <c r="O123" s="760"/>
      <c r="P123" s="760"/>
      <c r="Q123" s="760"/>
      <c r="R123" s="760"/>
      <c r="S123" s="760"/>
      <c r="T123" s="761"/>
      <c r="U123" s="268"/>
    </row>
    <row r="124" spans="1:21" ht="24.75" customHeight="1" thickTop="1" thickBot="1" x14ac:dyDescent="0.4">
      <c r="A124" s="278">
        <f>DATA!$A$2</f>
        <v>46023</v>
      </c>
      <c r="B124" s="778"/>
      <c r="C124" s="778"/>
      <c r="D124" s="778"/>
      <c r="E124" s="778"/>
      <c r="F124" s="778"/>
      <c r="G124" s="778"/>
      <c r="H124" s="778"/>
      <c r="I124" s="778"/>
      <c r="J124" s="778"/>
      <c r="K124" s="778"/>
      <c r="L124" s="778"/>
      <c r="M124" s="778"/>
      <c r="N124" s="778"/>
      <c r="O124" s="778"/>
      <c r="P124" s="778"/>
      <c r="Q124" s="778"/>
      <c r="R124" s="778"/>
      <c r="S124" s="778"/>
      <c r="T124" s="759"/>
      <c r="U124" s="269"/>
    </row>
    <row r="125" spans="1:21" ht="15.75" customHeight="1" thickBot="1" x14ac:dyDescent="0.3">
      <c r="A125" s="25" t="s">
        <v>262</v>
      </c>
      <c r="B125" s="777"/>
      <c r="C125" s="777"/>
      <c r="D125" s="777"/>
      <c r="E125" s="777"/>
      <c r="F125" s="777"/>
      <c r="G125" s="777"/>
      <c r="H125" s="777"/>
      <c r="I125" s="777"/>
      <c r="J125" s="777"/>
      <c r="K125" s="777"/>
      <c r="L125" s="777"/>
      <c r="M125" s="777"/>
      <c r="N125" s="777"/>
      <c r="O125" s="777"/>
      <c r="P125" s="777"/>
      <c r="Q125" s="777"/>
      <c r="R125" s="777"/>
      <c r="S125" s="777"/>
      <c r="T125" s="764" t="str">
        <f>+A123</f>
        <v>Overtime Tax</v>
      </c>
      <c r="U125" s="765"/>
    </row>
    <row r="126" spans="1:21" ht="15.75" customHeight="1" thickBot="1" x14ac:dyDescent="0.3">
      <c r="A126" s="25" t="s">
        <v>263</v>
      </c>
      <c r="B126" s="270">
        <f>IF(B$5=0,0,INDEX([1]!empdata,MATCH(B$5,[1]!empid,0),16))</f>
        <v>0</v>
      </c>
      <c r="C126" s="270">
        <f>IF(C$5=0,0,INDEX([1]!empdata,MATCH(C$5,[1]!empid,0),16))</f>
        <v>0</v>
      </c>
      <c r="D126" s="270">
        <f>IF(D$5=0,0,INDEX([1]!empdata,MATCH(D$5,[1]!empid,0),16))</f>
        <v>0</v>
      </c>
      <c r="E126" s="270">
        <f>IF(E$5=0,0,INDEX([1]!empdata,MATCH(E$5,[1]!empid,0),16))</f>
        <v>0</v>
      </c>
      <c r="F126" s="270">
        <f>IF(F$5=0,0,INDEX([1]!empdata,MATCH(F$5,[1]!empid,0),16))</f>
        <v>0</v>
      </c>
      <c r="G126" s="270">
        <f>IF(G$5=0,0,INDEX([1]!empdata,MATCH(G$5,[1]!empid,0),16))</f>
        <v>0</v>
      </c>
      <c r="H126" s="270">
        <f>IF(H$5=0,0,INDEX([1]!empdata,MATCH(H$5,[1]!empid,0),16))</f>
        <v>0</v>
      </c>
      <c r="I126" s="270">
        <f>IF(I$5=0,0,INDEX([1]!empdata,MATCH(I$5,[1]!empid,0),16))</f>
        <v>0</v>
      </c>
      <c r="J126" s="270">
        <f>IF(J$5=0,0,INDEX([1]!empdata,MATCH(J$5,[1]!empid,0),16))</f>
        <v>0</v>
      </c>
      <c r="K126" s="270">
        <f>IF(K$5=0,0,INDEX([1]!empdata,MATCH(K$5,[1]!empid,0),16))</f>
        <v>0</v>
      </c>
      <c r="L126" s="270">
        <f>IF(L$5=0,0,INDEX([1]!empdata,MATCH(L$5,[1]!empid,0),16))</f>
        <v>0</v>
      </c>
      <c r="M126" s="270">
        <f>IF(M$5=0,0,INDEX([1]!empdata,MATCH(M$5,[1]!empid,0),16))</f>
        <v>0</v>
      </c>
      <c r="N126" s="270">
        <f>IF(N$5=0,0,INDEX([1]!empdata,MATCH(N$5,[1]!empid,0),16))</f>
        <v>0</v>
      </c>
      <c r="O126" s="270">
        <f>IF(O$5=0,0,INDEX([1]!empdata,MATCH(O$5,[1]!empid,0),16))</f>
        <v>0</v>
      </c>
      <c r="P126" s="270">
        <f>IF(P$5=0,0,INDEX([1]!empdata,MATCH(P$5,[1]!empid,0),16))</f>
        <v>0</v>
      </c>
      <c r="Q126" s="270">
        <f>IF(Q$5=0,0,INDEX([1]!empdata,MATCH(Q$5,[1]!empid,0),16))</f>
        <v>0</v>
      </c>
      <c r="R126" s="270">
        <f>IF(R$5=0,0,INDEX([1]!empdata,MATCH(R$5,[1]!empid,0),16))</f>
        <v>0</v>
      </c>
      <c r="S126" s="270">
        <f>IF(S$5=0,0,INDEX([1]!empdata,MATCH(S$5,[1]!empid,0),16))</f>
        <v>0</v>
      </c>
      <c r="T126" s="763" t="str">
        <f>+T125</f>
        <v>Overtime Tax</v>
      </c>
      <c r="U126" s="272" t="s">
        <v>272</v>
      </c>
    </row>
    <row r="127" spans="1:21" ht="16.5" customHeight="1" thickTop="1" thickBot="1" x14ac:dyDescent="0.3">
      <c r="A127" s="273">
        <f>+DATA!$A$3</f>
        <v>46023</v>
      </c>
      <c r="B127" s="275">
        <f t="shared" ref="B127:Q138" ca="1" si="29">IF(B$5=0,0,INDEX((INDIRECT(B$6&amp;"!INDAT")),(MATCH($A127,(INDIRECT(B$6&amp;"!$O$2:$O$15")),0)),17))</f>
        <v>0</v>
      </c>
      <c r="C127" s="275">
        <f t="shared" ca="1" si="29"/>
        <v>0</v>
      </c>
      <c r="D127" s="275">
        <f t="shared" ca="1" si="29"/>
        <v>0</v>
      </c>
      <c r="E127" s="275">
        <f t="shared" ca="1" si="29"/>
        <v>0</v>
      </c>
      <c r="F127" s="275">
        <f t="shared" ca="1" si="29"/>
        <v>0</v>
      </c>
      <c r="G127" s="275">
        <f t="shared" ca="1" si="29"/>
        <v>0</v>
      </c>
      <c r="H127" s="275">
        <f t="shared" ca="1" si="29"/>
        <v>0</v>
      </c>
      <c r="I127" s="275">
        <f t="shared" ca="1" si="29"/>
        <v>0</v>
      </c>
      <c r="J127" s="275">
        <f t="shared" ca="1" si="29"/>
        <v>0</v>
      </c>
      <c r="K127" s="275">
        <f t="shared" ca="1" si="29"/>
        <v>0</v>
      </c>
      <c r="L127" s="275">
        <f t="shared" ca="1" si="29"/>
        <v>0</v>
      </c>
      <c r="M127" s="275">
        <f t="shared" ca="1" si="29"/>
        <v>0</v>
      </c>
      <c r="N127" s="275">
        <f t="shared" ca="1" si="29"/>
        <v>0</v>
      </c>
      <c r="O127" s="275">
        <f t="shared" ca="1" si="29"/>
        <v>0</v>
      </c>
      <c r="P127" s="275">
        <f t="shared" ca="1" si="29"/>
        <v>0</v>
      </c>
      <c r="Q127" s="275">
        <f t="shared" ca="1" si="29"/>
        <v>0</v>
      </c>
      <c r="R127" s="275">
        <f t="shared" ref="C127:S138" ca="1" si="30">IF(R$5=0,0,INDEX((INDIRECT(R$6&amp;"!INDAT")),(MATCH($A127,(INDIRECT(R$6&amp;"!$O$2:$O$15")),0)),17))</f>
        <v>0</v>
      </c>
      <c r="S127" s="275">
        <f t="shared" ca="1" si="30"/>
        <v>0</v>
      </c>
      <c r="T127" s="273">
        <f t="shared" ref="T127:T138" si="31">+A127</f>
        <v>46023</v>
      </c>
      <c r="U127" s="274"/>
    </row>
    <row r="128" spans="1:21" ht="16.5" customHeight="1" thickTop="1" thickBot="1" x14ac:dyDescent="0.3">
      <c r="A128" s="273">
        <f>+DATA!$A$4</f>
        <v>46054</v>
      </c>
      <c r="B128" s="275">
        <f t="shared" ca="1" si="29"/>
        <v>0</v>
      </c>
      <c r="C128" s="275">
        <f t="shared" ca="1" si="30"/>
        <v>0</v>
      </c>
      <c r="D128" s="275">
        <f t="shared" ca="1" si="30"/>
        <v>0</v>
      </c>
      <c r="E128" s="275">
        <f t="shared" ca="1" si="30"/>
        <v>0</v>
      </c>
      <c r="F128" s="275">
        <f t="shared" ca="1" si="30"/>
        <v>0</v>
      </c>
      <c r="G128" s="275">
        <f t="shared" ca="1" si="30"/>
        <v>0</v>
      </c>
      <c r="H128" s="275">
        <f t="shared" ca="1" si="30"/>
        <v>0</v>
      </c>
      <c r="I128" s="275">
        <f t="shared" ca="1" si="30"/>
        <v>0</v>
      </c>
      <c r="J128" s="275">
        <f t="shared" ca="1" si="30"/>
        <v>0</v>
      </c>
      <c r="K128" s="275">
        <f t="shared" ca="1" si="30"/>
        <v>0</v>
      </c>
      <c r="L128" s="275">
        <f t="shared" ca="1" si="30"/>
        <v>0</v>
      </c>
      <c r="M128" s="275">
        <f t="shared" ca="1" si="30"/>
        <v>0</v>
      </c>
      <c r="N128" s="275">
        <f t="shared" ca="1" si="30"/>
        <v>0</v>
      </c>
      <c r="O128" s="275">
        <f t="shared" ca="1" si="30"/>
        <v>0</v>
      </c>
      <c r="P128" s="275">
        <f t="shared" ca="1" si="30"/>
        <v>0</v>
      </c>
      <c r="Q128" s="275">
        <f t="shared" ca="1" si="30"/>
        <v>0</v>
      </c>
      <c r="R128" s="275">
        <f t="shared" ca="1" si="30"/>
        <v>0</v>
      </c>
      <c r="S128" s="275">
        <f t="shared" ca="1" si="30"/>
        <v>0</v>
      </c>
      <c r="T128" s="273">
        <f t="shared" si="31"/>
        <v>46054</v>
      </c>
      <c r="U128" s="274"/>
    </row>
    <row r="129" spans="1:21" ht="16.5" customHeight="1" thickTop="1" thickBot="1" x14ac:dyDescent="0.3">
      <c r="A129" s="273">
        <f>+DATA!$A$5</f>
        <v>46082</v>
      </c>
      <c r="B129" s="275">
        <f t="shared" ca="1" si="29"/>
        <v>0</v>
      </c>
      <c r="C129" s="275">
        <f t="shared" ca="1" si="30"/>
        <v>0</v>
      </c>
      <c r="D129" s="275">
        <f t="shared" ca="1" si="30"/>
        <v>0</v>
      </c>
      <c r="E129" s="275">
        <f t="shared" ca="1" si="30"/>
        <v>0</v>
      </c>
      <c r="F129" s="275">
        <f t="shared" ca="1" si="30"/>
        <v>0</v>
      </c>
      <c r="G129" s="275">
        <f t="shared" ca="1" si="30"/>
        <v>0</v>
      </c>
      <c r="H129" s="275">
        <f t="shared" ca="1" si="30"/>
        <v>0</v>
      </c>
      <c r="I129" s="275">
        <f t="shared" ca="1" si="30"/>
        <v>0</v>
      </c>
      <c r="J129" s="275">
        <f t="shared" ca="1" si="30"/>
        <v>0</v>
      </c>
      <c r="K129" s="275">
        <f t="shared" ca="1" si="30"/>
        <v>0</v>
      </c>
      <c r="L129" s="275">
        <f t="shared" ca="1" si="30"/>
        <v>0</v>
      </c>
      <c r="M129" s="275">
        <f t="shared" ca="1" si="30"/>
        <v>0</v>
      </c>
      <c r="N129" s="275">
        <f t="shared" ca="1" si="30"/>
        <v>0</v>
      </c>
      <c r="O129" s="275">
        <f t="shared" ca="1" si="30"/>
        <v>0</v>
      </c>
      <c r="P129" s="275">
        <f t="shared" ca="1" si="30"/>
        <v>0</v>
      </c>
      <c r="Q129" s="275">
        <f t="shared" ca="1" si="30"/>
        <v>0</v>
      </c>
      <c r="R129" s="275">
        <f t="shared" ca="1" si="30"/>
        <v>0</v>
      </c>
      <c r="S129" s="275">
        <f t="shared" ca="1" si="30"/>
        <v>0</v>
      </c>
      <c r="T129" s="273">
        <f t="shared" si="31"/>
        <v>46082</v>
      </c>
      <c r="U129" s="274"/>
    </row>
    <row r="130" spans="1:21" ht="16.5" customHeight="1" thickTop="1" thickBot="1" x14ac:dyDescent="0.3">
      <c r="A130" s="273">
        <f>+DATA!$A$6</f>
        <v>46113</v>
      </c>
      <c r="B130" s="275">
        <f t="shared" ca="1" si="29"/>
        <v>0</v>
      </c>
      <c r="C130" s="275">
        <f t="shared" ca="1" si="30"/>
        <v>0</v>
      </c>
      <c r="D130" s="275">
        <f t="shared" ca="1" si="30"/>
        <v>0</v>
      </c>
      <c r="E130" s="275">
        <f t="shared" ca="1" si="30"/>
        <v>0</v>
      </c>
      <c r="F130" s="275">
        <f t="shared" ca="1" si="30"/>
        <v>0</v>
      </c>
      <c r="G130" s="275">
        <f t="shared" ca="1" si="30"/>
        <v>0</v>
      </c>
      <c r="H130" s="275">
        <f t="shared" ca="1" si="30"/>
        <v>0</v>
      </c>
      <c r="I130" s="275">
        <f t="shared" ca="1" si="30"/>
        <v>0</v>
      </c>
      <c r="J130" s="275">
        <f t="shared" ca="1" si="30"/>
        <v>0</v>
      </c>
      <c r="K130" s="275">
        <f t="shared" ca="1" si="30"/>
        <v>0</v>
      </c>
      <c r="L130" s="275">
        <f t="shared" ca="1" si="30"/>
        <v>0</v>
      </c>
      <c r="M130" s="275">
        <f t="shared" ca="1" si="30"/>
        <v>0</v>
      </c>
      <c r="N130" s="275">
        <f t="shared" ca="1" si="30"/>
        <v>0</v>
      </c>
      <c r="O130" s="275">
        <f t="shared" ca="1" si="30"/>
        <v>0</v>
      </c>
      <c r="P130" s="275">
        <f t="shared" ca="1" si="30"/>
        <v>0</v>
      </c>
      <c r="Q130" s="275">
        <f t="shared" ca="1" si="30"/>
        <v>0</v>
      </c>
      <c r="R130" s="275">
        <f t="shared" ca="1" si="30"/>
        <v>0</v>
      </c>
      <c r="S130" s="275">
        <f t="shared" ca="1" si="30"/>
        <v>0</v>
      </c>
      <c r="T130" s="273">
        <f t="shared" si="31"/>
        <v>46113</v>
      </c>
      <c r="U130" s="274"/>
    </row>
    <row r="131" spans="1:21" ht="16.5" customHeight="1" thickTop="1" thickBot="1" x14ac:dyDescent="0.3">
      <c r="A131" s="273">
        <f>+DATA!$A$7</f>
        <v>46143</v>
      </c>
      <c r="B131" s="275">
        <f t="shared" ca="1" si="29"/>
        <v>0</v>
      </c>
      <c r="C131" s="275">
        <f t="shared" ca="1" si="30"/>
        <v>0</v>
      </c>
      <c r="D131" s="275">
        <f t="shared" ca="1" si="30"/>
        <v>0</v>
      </c>
      <c r="E131" s="275">
        <f t="shared" ca="1" si="30"/>
        <v>0</v>
      </c>
      <c r="F131" s="275">
        <f t="shared" ca="1" si="30"/>
        <v>0</v>
      </c>
      <c r="G131" s="275">
        <f t="shared" ca="1" si="30"/>
        <v>0</v>
      </c>
      <c r="H131" s="275">
        <f t="shared" ca="1" si="30"/>
        <v>0</v>
      </c>
      <c r="I131" s="275">
        <f t="shared" ca="1" si="30"/>
        <v>0</v>
      </c>
      <c r="J131" s="275">
        <f t="shared" ca="1" si="30"/>
        <v>0</v>
      </c>
      <c r="K131" s="275">
        <f t="shared" ca="1" si="30"/>
        <v>0</v>
      </c>
      <c r="L131" s="275">
        <f t="shared" ca="1" si="30"/>
        <v>0</v>
      </c>
      <c r="M131" s="275">
        <f t="shared" ca="1" si="30"/>
        <v>0</v>
      </c>
      <c r="N131" s="275">
        <f t="shared" ca="1" si="30"/>
        <v>0</v>
      </c>
      <c r="O131" s="275">
        <f t="shared" ca="1" si="30"/>
        <v>0</v>
      </c>
      <c r="P131" s="275">
        <f t="shared" ca="1" si="30"/>
        <v>0</v>
      </c>
      <c r="Q131" s="275">
        <f t="shared" ca="1" si="30"/>
        <v>0</v>
      </c>
      <c r="R131" s="275">
        <f t="shared" ca="1" si="30"/>
        <v>0</v>
      </c>
      <c r="S131" s="275">
        <f t="shared" ca="1" si="30"/>
        <v>0</v>
      </c>
      <c r="T131" s="273">
        <f t="shared" si="31"/>
        <v>46143</v>
      </c>
      <c r="U131" s="274"/>
    </row>
    <row r="132" spans="1:21" ht="16.5" customHeight="1" thickTop="1" thickBot="1" x14ac:dyDescent="0.3">
      <c r="A132" s="273">
        <f>+DATA!$A$8</f>
        <v>46174</v>
      </c>
      <c r="B132" s="275">
        <f t="shared" ca="1" si="29"/>
        <v>0</v>
      </c>
      <c r="C132" s="275">
        <f t="shared" ca="1" si="30"/>
        <v>0</v>
      </c>
      <c r="D132" s="275">
        <f t="shared" ca="1" si="30"/>
        <v>0</v>
      </c>
      <c r="E132" s="275">
        <f t="shared" ca="1" si="30"/>
        <v>0</v>
      </c>
      <c r="F132" s="275">
        <f t="shared" ca="1" si="30"/>
        <v>0</v>
      </c>
      <c r="G132" s="275">
        <f t="shared" ca="1" si="30"/>
        <v>0</v>
      </c>
      <c r="H132" s="275">
        <f t="shared" ca="1" si="30"/>
        <v>0</v>
      </c>
      <c r="I132" s="275">
        <f t="shared" ca="1" si="30"/>
        <v>0</v>
      </c>
      <c r="J132" s="275">
        <f t="shared" ca="1" si="30"/>
        <v>0</v>
      </c>
      <c r="K132" s="275">
        <f t="shared" ca="1" si="30"/>
        <v>0</v>
      </c>
      <c r="L132" s="275">
        <f t="shared" ca="1" si="30"/>
        <v>0</v>
      </c>
      <c r="M132" s="275">
        <f t="shared" ca="1" si="30"/>
        <v>0</v>
      </c>
      <c r="N132" s="275">
        <f t="shared" ca="1" si="30"/>
        <v>0</v>
      </c>
      <c r="O132" s="275">
        <f t="shared" ca="1" si="30"/>
        <v>0</v>
      </c>
      <c r="P132" s="275">
        <f t="shared" ca="1" si="30"/>
        <v>0</v>
      </c>
      <c r="Q132" s="275">
        <f t="shared" ca="1" si="30"/>
        <v>0</v>
      </c>
      <c r="R132" s="275">
        <f t="shared" ca="1" si="30"/>
        <v>0</v>
      </c>
      <c r="S132" s="275">
        <f t="shared" ca="1" si="30"/>
        <v>0</v>
      </c>
      <c r="T132" s="273">
        <f t="shared" si="31"/>
        <v>46174</v>
      </c>
      <c r="U132" s="274"/>
    </row>
    <row r="133" spans="1:21" ht="16.5" customHeight="1" thickTop="1" thickBot="1" x14ac:dyDescent="0.3">
      <c r="A133" s="273">
        <f>+DATA!$A$9</f>
        <v>46204</v>
      </c>
      <c r="B133" s="275">
        <f t="shared" ca="1" si="29"/>
        <v>0</v>
      </c>
      <c r="C133" s="275">
        <f t="shared" ca="1" si="30"/>
        <v>0</v>
      </c>
      <c r="D133" s="275">
        <f t="shared" ca="1" si="30"/>
        <v>0</v>
      </c>
      <c r="E133" s="275">
        <f t="shared" ca="1" si="30"/>
        <v>0</v>
      </c>
      <c r="F133" s="275">
        <f t="shared" ca="1" si="30"/>
        <v>0</v>
      </c>
      <c r="G133" s="275">
        <f t="shared" ca="1" si="30"/>
        <v>0</v>
      </c>
      <c r="H133" s="275">
        <f t="shared" ca="1" si="30"/>
        <v>0</v>
      </c>
      <c r="I133" s="275">
        <f t="shared" ca="1" si="30"/>
        <v>0</v>
      </c>
      <c r="J133" s="275">
        <f t="shared" ca="1" si="30"/>
        <v>0</v>
      </c>
      <c r="K133" s="275">
        <f t="shared" ca="1" si="30"/>
        <v>0</v>
      </c>
      <c r="L133" s="275">
        <f t="shared" ca="1" si="30"/>
        <v>0</v>
      </c>
      <c r="M133" s="275">
        <f t="shared" ca="1" si="30"/>
        <v>0</v>
      </c>
      <c r="N133" s="275">
        <f t="shared" ca="1" si="30"/>
        <v>0</v>
      </c>
      <c r="O133" s="275">
        <f t="shared" ca="1" si="30"/>
        <v>0</v>
      </c>
      <c r="P133" s="275">
        <f t="shared" ca="1" si="30"/>
        <v>0</v>
      </c>
      <c r="Q133" s="275">
        <f t="shared" ca="1" si="30"/>
        <v>0</v>
      </c>
      <c r="R133" s="275">
        <f t="shared" ca="1" si="30"/>
        <v>0</v>
      </c>
      <c r="S133" s="275">
        <f t="shared" ca="1" si="30"/>
        <v>0</v>
      </c>
      <c r="T133" s="273">
        <f t="shared" si="31"/>
        <v>46204</v>
      </c>
      <c r="U133" s="274"/>
    </row>
    <row r="134" spans="1:21" ht="16.5" customHeight="1" thickTop="1" thickBot="1" x14ac:dyDescent="0.3">
      <c r="A134" s="273">
        <f>+DATA!$A$10</f>
        <v>46235</v>
      </c>
      <c r="B134" s="275">
        <f t="shared" ca="1" si="29"/>
        <v>0</v>
      </c>
      <c r="C134" s="275">
        <f t="shared" ca="1" si="30"/>
        <v>0</v>
      </c>
      <c r="D134" s="275">
        <f t="shared" ca="1" si="30"/>
        <v>0</v>
      </c>
      <c r="E134" s="275">
        <f t="shared" ca="1" si="30"/>
        <v>0</v>
      </c>
      <c r="F134" s="275">
        <f t="shared" ca="1" si="30"/>
        <v>0</v>
      </c>
      <c r="G134" s="275">
        <f t="shared" ca="1" si="30"/>
        <v>0</v>
      </c>
      <c r="H134" s="275">
        <f t="shared" ca="1" si="30"/>
        <v>0</v>
      </c>
      <c r="I134" s="275">
        <f t="shared" ca="1" si="30"/>
        <v>0</v>
      </c>
      <c r="J134" s="275">
        <f t="shared" ca="1" si="30"/>
        <v>0</v>
      </c>
      <c r="K134" s="275">
        <f t="shared" ca="1" si="30"/>
        <v>0</v>
      </c>
      <c r="L134" s="275">
        <f t="shared" ca="1" si="30"/>
        <v>0</v>
      </c>
      <c r="M134" s="275">
        <f t="shared" ca="1" si="30"/>
        <v>0</v>
      </c>
      <c r="N134" s="275">
        <f t="shared" ca="1" si="30"/>
        <v>0</v>
      </c>
      <c r="O134" s="275">
        <f t="shared" ca="1" si="30"/>
        <v>0</v>
      </c>
      <c r="P134" s="275">
        <f t="shared" ca="1" si="30"/>
        <v>0</v>
      </c>
      <c r="Q134" s="275">
        <f t="shared" ca="1" si="30"/>
        <v>0</v>
      </c>
      <c r="R134" s="275">
        <f t="shared" ca="1" si="30"/>
        <v>0</v>
      </c>
      <c r="S134" s="275">
        <f t="shared" ca="1" si="30"/>
        <v>0</v>
      </c>
      <c r="T134" s="273">
        <f t="shared" si="31"/>
        <v>46235</v>
      </c>
      <c r="U134" s="274"/>
    </row>
    <row r="135" spans="1:21" ht="16.5" customHeight="1" thickTop="1" thickBot="1" x14ac:dyDescent="0.3">
      <c r="A135" s="273">
        <f>+DATA!$A$11</f>
        <v>46266</v>
      </c>
      <c r="B135" s="275">
        <f t="shared" ca="1" si="29"/>
        <v>0</v>
      </c>
      <c r="C135" s="275">
        <f t="shared" ca="1" si="30"/>
        <v>0</v>
      </c>
      <c r="D135" s="275">
        <f t="shared" ca="1" si="30"/>
        <v>0</v>
      </c>
      <c r="E135" s="275">
        <f t="shared" ca="1" si="30"/>
        <v>0</v>
      </c>
      <c r="F135" s="275">
        <f t="shared" ca="1" si="30"/>
        <v>0</v>
      </c>
      <c r="G135" s="275">
        <f t="shared" ca="1" si="30"/>
        <v>0</v>
      </c>
      <c r="H135" s="275">
        <f t="shared" ca="1" si="30"/>
        <v>0</v>
      </c>
      <c r="I135" s="275">
        <f t="shared" ca="1" si="30"/>
        <v>0</v>
      </c>
      <c r="J135" s="275">
        <f t="shared" ca="1" si="30"/>
        <v>0</v>
      </c>
      <c r="K135" s="275">
        <f t="shared" ca="1" si="30"/>
        <v>0</v>
      </c>
      <c r="L135" s="275">
        <f t="shared" ca="1" si="30"/>
        <v>0</v>
      </c>
      <c r="M135" s="275">
        <f t="shared" ca="1" si="30"/>
        <v>0</v>
      </c>
      <c r="N135" s="275">
        <f t="shared" ca="1" si="30"/>
        <v>0</v>
      </c>
      <c r="O135" s="275">
        <f t="shared" ca="1" si="30"/>
        <v>0</v>
      </c>
      <c r="P135" s="275">
        <f t="shared" ca="1" si="30"/>
        <v>0</v>
      </c>
      <c r="Q135" s="275">
        <f t="shared" ca="1" si="30"/>
        <v>0</v>
      </c>
      <c r="R135" s="275">
        <f t="shared" ca="1" si="30"/>
        <v>0</v>
      </c>
      <c r="S135" s="275">
        <f t="shared" ca="1" si="30"/>
        <v>0</v>
      </c>
      <c r="T135" s="273">
        <f t="shared" si="31"/>
        <v>46266</v>
      </c>
      <c r="U135" s="274"/>
    </row>
    <row r="136" spans="1:21" ht="16.5" customHeight="1" thickTop="1" thickBot="1" x14ac:dyDescent="0.3">
      <c r="A136" s="273">
        <f>+DATA!$A$12</f>
        <v>46296</v>
      </c>
      <c r="B136" s="275">
        <f t="shared" ca="1" si="29"/>
        <v>0</v>
      </c>
      <c r="C136" s="275">
        <f t="shared" ca="1" si="30"/>
        <v>0</v>
      </c>
      <c r="D136" s="275">
        <f t="shared" ca="1" si="30"/>
        <v>0</v>
      </c>
      <c r="E136" s="275">
        <f t="shared" ca="1" si="30"/>
        <v>0</v>
      </c>
      <c r="F136" s="275">
        <f t="shared" ca="1" si="30"/>
        <v>0</v>
      </c>
      <c r="G136" s="275">
        <f t="shared" ca="1" si="30"/>
        <v>0</v>
      </c>
      <c r="H136" s="275">
        <f t="shared" ca="1" si="30"/>
        <v>0</v>
      </c>
      <c r="I136" s="275">
        <f t="shared" ca="1" si="30"/>
        <v>0</v>
      </c>
      <c r="J136" s="275">
        <f t="shared" ca="1" si="30"/>
        <v>0</v>
      </c>
      <c r="K136" s="275">
        <f t="shared" ca="1" si="30"/>
        <v>0</v>
      </c>
      <c r="L136" s="275">
        <f t="shared" ca="1" si="30"/>
        <v>0</v>
      </c>
      <c r="M136" s="275">
        <f t="shared" ca="1" si="30"/>
        <v>0</v>
      </c>
      <c r="N136" s="275">
        <f t="shared" ca="1" si="30"/>
        <v>0</v>
      </c>
      <c r="O136" s="275">
        <f t="shared" ca="1" si="30"/>
        <v>0</v>
      </c>
      <c r="P136" s="275">
        <f t="shared" ca="1" si="30"/>
        <v>0</v>
      </c>
      <c r="Q136" s="275">
        <f t="shared" ca="1" si="30"/>
        <v>0</v>
      </c>
      <c r="R136" s="275">
        <f t="shared" ca="1" si="30"/>
        <v>0</v>
      </c>
      <c r="S136" s="275">
        <f t="shared" ca="1" si="30"/>
        <v>0</v>
      </c>
      <c r="T136" s="273">
        <f t="shared" si="31"/>
        <v>46296</v>
      </c>
      <c r="U136" s="274"/>
    </row>
    <row r="137" spans="1:21" ht="16.5" customHeight="1" thickTop="1" thickBot="1" x14ac:dyDescent="0.3">
      <c r="A137" s="273">
        <f>+DATA!$A$13</f>
        <v>46327</v>
      </c>
      <c r="B137" s="275">
        <f t="shared" ca="1" si="29"/>
        <v>0</v>
      </c>
      <c r="C137" s="275">
        <f t="shared" ca="1" si="30"/>
        <v>0</v>
      </c>
      <c r="D137" s="275">
        <f t="shared" ca="1" si="30"/>
        <v>0</v>
      </c>
      <c r="E137" s="275">
        <f t="shared" ca="1" si="30"/>
        <v>0</v>
      </c>
      <c r="F137" s="275">
        <f t="shared" ca="1" si="30"/>
        <v>0</v>
      </c>
      <c r="G137" s="275">
        <f t="shared" ca="1" si="30"/>
        <v>0</v>
      </c>
      <c r="H137" s="275">
        <f t="shared" ca="1" si="30"/>
        <v>0</v>
      </c>
      <c r="I137" s="275">
        <f t="shared" ca="1" si="30"/>
        <v>0</v>
      </c>
      <c r="J137" s="275">
        <f t="shared" ca="1" si="30"/>
        <v>0</v>
      </c>
      <c r="K137" s="275">
        <f t="shared" ca="1" si="30"/>
        <v>0</v>
      </c>
      <c r="L137" s="275">
        <f t="shared" ca="1" si="30"/>
        <v>0</v>
      </c>
      <c r="M137" s="275">
        <f t="shared" ca="1" si="30"/>
        <v>0</v>
      </c>
      <c r="N137" s="275">
        <f t="shared" ca="1" si="30"/>
        <v>0</v>
      </c>
      <c r="O137" s="275">
        <f t="shared" ca="1" si="30"/>
        <v>0</v>
      </c>
      <c r="P137" s="275">
        <f t="shared" ca="1" si="30"/>
        <v>0</v>
      </c>
      <c r="Q137" s="275">
        <f t="shared" ca="1" si="30"/>
        <v>0</v>
      </c>
      <c r="R137" s="275">
        <f t="shared" ca="1" si="30"/>
        <v>0</v>
      </c>
      <c r="S137" s="275">
        <f t="shared" ca="1" si="30"/>
        <v>0</v>
      </c>
      <c r="T137" s="273">
        <f t="shared" si="31"/>
        <v>46327</v>
      </c>
      <c r="U137" s="274"/>
    </row>
    <row r="138" spans="1:21" ht="16.5" customHeight="1" thickTop="1" thickBot="1" x14ac:dyDescent="0.3">
      <c r="A138" s="273">
        <f>+DATA!$A$14</f>
        <v>46357</v>
      </c>
      <c r="B138" s="275">
        <f t="shared" ca="1" si="29"/>
        <v>0</v>
      </c>
      <c r="C138" s="275">
        <f t="shared" ca="1" si="30"/>
        <v>0</v>
      </c>
      <c r="D138" s="275">
        <f t="shared" ca="1" si="30"/>
        <v>0</v>
      </c>
      <c r="E138" s="275">
        <f t="shared" ca="1" si="30"/>
        <v>0</v>
      </c>
      <c r="F138" s="275">
        <f t="shared" ca="1" si="30"/>
        <v>0</v>
      </c>
      <c r="G138" s="275">
        <f t="shared" ca="1" si="30"/>
        <v>0</v>
      </c>
      <c r="H138" s="275">
        <f t="shared" ca="1" si="30"/>
        <v>0</v>
      </c>
      <c r="I138" s="275">
        <f t="shared" ca="1" si="30"/>
        <v>0</v>
      </c>
      <c r="J138" s="275">
        <f t="shared" ca="1" si="30"/>
        <v>0</v>
      </c>
      <c r="K138" s="275">
        <f t="shared" ca="1" si="30"/>
        <v>0</v>
      </c>
      <c r="L138" s="275">
        <f t="shared" ca="1" si="30"/>
        <v>0</v>
      </c>
      <c r="M138" s="275">
        <f t="shared" ca="1" si="30"/>
        <v>0</v>
      </c>
      <c r="N138" s="275">
        <f t="shared" ca="1" si="30"/>
        <v>0</v>
      </c>
      <c r="O138" s="275">
        <f t="shared" ca="1" si="30"/>
        <v>0</v>
      </c>
      <c r="P138" s="275">
        <f t="shared" ca="1" si="30"/>
        <v>0</v>
      </c>
      <c r="Q138" s="275">
        <f t="shared" ca="1" si="30"/>
        <v>0</v>
      </c>
      <c r="R138" s="275">
        <f t="shared" ca="1" si="30"/>
        <v>0</v>
      </c>
      <c r="S138" s="275">
        <f t="shared" ca="1" si="30"/>
        <v>0</v>
      </c>
      <c r="T138" s="766">
        <f t="shared" si="31"/>
        <v>46357</v>
      </c>
      <c r="U138" s="767"/>
    </row>
    <row r="139" spans="1:21" ht="15.75" customHeight="1" thickBot="1" x14ac:dyDescent="0.3">
      <c r="A139" s="50"/>
      <c r="B139" s="762">
        <f ca="1">SUM(B127:B138)</f>
        <v>0</v>
      </c>
      <c r="C139" s="762">
        <f t="shared" ref="C139:S139" ca="1" si="32">SUM(C127:C138)</f>
        <v>0</v>
      </c>
      <c r="D139" s="762">
        <f t="shared" ca="1" si="32"/>
        <v>0</v>
      </c>
      <c r="E139" s="762">
        <f t="shared" ca="1" si="32"/>
        <v>0</v>
      </c>
      <c r="F139" s="762">
        <f t="shared" ca="1" si="32"/>
        <v>0</v>
      </c>
      <c r="G139" s="762">
        <f t="shared" ca="1" si="32"/>
        <v>0</v>
      </c>
      <c r="H139" s="762">
        <f t="shared" ca="1" si="32"/>
        <v>0</v>
      </c>
      <c r="I139" s="762">
        <f t="shared" ca="1" si="32"/>
        <v>0</v>
      </c>
      <c r="J139" s="762">
        <f t="shared" ca="1" si="32"/>
        <v>0</v>
      </c>
      <c r="K139" s="762">
        <f t="shared" ca="1" si="32"/>
        <v>0</v>
      </c>
      <c r="L139" s="762">
        <f t="shared" ca="1" si="32"/>
        <v>0</v>
      </c>
      <c r="M139" s="762">
        <f t="shared" ca="1" si="32"/>
        <v>0</v>
      </c>
      <c r="N139" s="762">
        <f t="shared" ca="1" si="32"/>
        <v>0</v>
      </c>
      <c r="O139" s="762">
        <f t="shared" ca="1" si="32"/>
        <v>0</v>
      </c>
      <c r="P139" s="762">
        <f t="shared" ca="1" si="32"/>
        <v>0</v>
      </c>
      <c r="Q139" s="762">
        <f t="shared" ca="1" si="32"/>
        <v>0</v>
      </c>
      <c r="R139" s="762">
        <f t="shared" ca="1" si="32"/>
        <v>0</v>
      </c>
      <c r="S139" s="762">
        <f t="shared" ca="1" si="32"/>
        <v>0</v>
      </c>
      <c r="T139" s="339"/>
      <c r="U139" s="49"/>
    </row>
    <row r="140" spans="1:21" ht="16.5" customHeight="1" thickTop="1" thickBot="1" x14ac:dyDescent="0.3">
      <c r="A140" s="50" t="s">
        <v>266</v>
      </c>
      <c r="B140" s="757">
        <f ca="1">B139</f>
        <v>0</v>
      </c>
      <c r="C140" s="757">
        <f t="shared" ref="C140:S140" ca="1" si="33">C139</f>
        <v>0</v>
      </c>
      <c r="D140" s="757">
        <f t="shared" ca="1" si="33"/>
        <v>0</v>
      </c>
      <c r="E140" s="757">
        <f t="shared" ca="1" si="33"/>
        <v>0</v>
      </c>
      <c r="F140" s="757">
        <f t="shared" ca="1" si="33"/>
        <v>0</v>
      </c>
      <c r="G140" s="757">
        <f t="shared" ca="1" si="33"/>
        <v>0</v>
      </c>
      <c r="H140" s="757">
        <f t="shared" ca="1" si="33"/>
        <v>0</v>
      </c>
      <c r="I140" s="757">
        <f t="shared" ca="1" si="33"/>
        <v>0</v>
      </c>
      <c r="J140" s="757">
        <f t="shared" ca="1" si="33"/>
        <v>0</v>
      </c>
      <c r="K140" s="757">
        <f t="shared" ca="1" si="33"/>
        <v>0</v>
      </c>
      <c r="L140" s="757">
        <f t="shared" ca="1" si="33"/>
        <v>0</v>
      </c>
      <c r="M140" s="757">
        <f t="shared" ca="1" si="33"/>
        <v>0</v>
      </c>
      <c r="N140" s="757">
        <f t="shared" ca="1" si="33"/>
        <v>0</v>
      </c>
      <c r="O140" s="757">
        <f t="shared" ca="1" si="33"/>
        <v>0</v>
      </c>
      <c r="P140" s="757">
        <f t="shared" ca="1" si="33"/>
        <v>0</v>
      </c>
      <c r="Q140" s="757">
        <f t="shared" ca="1" si="33"/>
        <v>0</v>
      </c>
      <c r="R140" s="757">
        <f t="shared" ca="1" si="33"/>
        <v>0</v>
      </c>
      <c r="S140" s="757">
        <f t="shared" ca="1" si="33"/>
        <v>0</v>
      </c>
      <c r="T140" s="273"/>
      <c r="U140" s="274">
        <f>SUM(U127:U138)</f>
        <v>0</v>
      </c>
    </row>
    <row r="141" spans="1:21" ht="15.75" customHeight="1" thickBot="1" x14ac:dyDescent="0.3">
      <c r="A141" s="51"/>
      <c r="B141" s="24"/>
      <c r="C141" s="24"/>
      <c r="D141" s="24"/>
      <c r="E141" s="24"/>
      <c r="F141" s="24"/>
      <c r="G141" s="24"/>
      <c r="H141" s="24"/>
      <c r="I141" s="24"/>
      <c r="J141" s="24"/>
      <c r="K141" s="24"/>
      <c r="L141" s="24"/>
      <c r="M141" s="24"/>
      <c r="N141" s="24"/>
      <c r="O141" s="24"/>
      <c r="P141" s="24"/>
      <c r="Q141" s="24"/>
      <c r="R141" s="24"/>
      <c r="S141" s="24"/>
      <c r="T141" s="51"/>
      <c r="U141" s="52"/>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7"/>
  <dimension ref="A1:C140"/>
  <sheetViews>
    <sheetView workbookViewId="0"/>
  </sheetViews>
  <sheetFormatPr defaultRowHeight="15" x14ac:dyDescent="0.25"/>
  <cols>
    <col min="1" max="1" width="18.5703125" customWidth="1"/>
    <col min="2" max="3" width="14.28515625" customWidth="1"/>
  </cols>
  <sheetData>
    <row r="1" spans="1:3" ht="15.75" customHeight="1" thickBot="1" x14ac:dyDescent="0.3"/>
    <row r="2" spans="1:3" ht="15.75" customHeight="1" thickBot="1" x14ac:dyDescent="0.3">
      <c r="A2" s="271" t="s">
        <v>261</v>
      </c>
      <c r="B2" s="268"/>
      <c r="C2" s="268"/>
    </row>
    <row r="3" spans="1:3" ht="24.75" customHeight="1" thickTop="1" thickBot="1" x14ac:dyDescent="0.4">
      <c r="A3" s="278">
        <f>DATA!$A$2</f>
        <v>46023</v>
      </c>
      <c r="B3" s="269"/>
      <c r="C3" s="269"/>
    </row>
    <row r="4" spans="1:3" ht="15.75" customHeight="1" thickBot="1" x14ac:dyDescent="0.3">
      <c r="A4" s="25"/>
      <c r="B4" s="269"/>
      <c r="C4" s="269"/>
    </row>
    <row r="5" spans="1:3" ht="15.75" customHeight="1" thickBot="1" x14ac:dyDescent="0.3">
      <c r="A5" s="25" t="s">
        <v>263</v>
      </c>
      <c r="B5" s="272" t="s">
        <v>264</v>
      </c>
      <c r="C5" s="272" t="s">
        <v>272</v>
      </c>
    </row>
    <row r="6" spans="1:3" ht="16.5" customHeight="1" thickTop="1" thickBot="1" x14ac:dyDescent="0.3">
      <c r="A6" s="273">
        <f>+DATA!$A$3</f>
        <v>46023</v>
      </c>
      <c r="B6" s="274"/>
      <c r="C6" s="274"/>
    </row>
    <row r="7" spans="1:3" ht="16.5" customHeight="1" thickTop="1" thickBot="1" x14ac:dyDescent="0.3">
      <c r="A7" s="273">
        <f>+DATA!$A$4</f>
        <v>46054</v>
      </c>
      <c r="B7" s="274"/>
      <c r="C7" s="274"/>
    </row>
    <row r="8" spans="1:3" ht="16.5" customHeight="1" thickTop="1" thickBot="1" x14ac:dyDescent="0.3">
      <c r="A8" s="273">
        <f>+DATA!$A$5</f>
        <v>46082</v>
      </c>
      <c r="B8" s="274"/>
      <c r="C8" s="274"/>
    </row>
    <row r="9" spans="1:3" ht="16.5" customHeight="1" thickTop="1" thickBot="1" x14ac:dyDescent="0.3">
      <c r="A9" s="273">
        <f>+DATA!$A$6</f>
        <v>46113</v>
      </c>
      <c r="B9" s="274"/>
      <c r="C9" s="274"/>
    </row>
    <row r="10" spans="1:3" ht="16.5" customHeight="1" thickTop="1" thickBot="1" x14ac:dyDescent="0.3">
      <c r="A10" s="273">
        <f>+DATA!$A$7</f>
        <v>46143</v>
      </c>
      <c r="B10" s="274"/>
      <c r="C10" s="274"/>
    </row>
    <row r="11" spans="1:3" ht="16.5" customHeight="1" thickTop="1" thickBot="1" x14ac:dyDescent="0.3">
      <c r="A11" s="273">
        <f>+DATA!$A$8</f>
        <v>46174</v>
      </c>
      <c r="B11" s="274"/>
      <c r="C11" s="274"/>
    </row>
    <row r="12" spans="1:3" ht="16.5" customHeight="1" thickTop="1" thickBot="1" x14ac:dyDescent="0.3">
      <c r="A12" s="273">
        <f>+DATA!$A$9</f>
        <v>46204</v>
      </c>
      <c r="B12" s="274"/>
      <c r="C12" s="274"/>
    </row>
    <row r="13" spans="1:3" ht="16.5" customHeight="1" thickTop="1" thickBot="1" x14ac:dyDescent="0.3">
      <c r="A13" s="273">
        <f>+DATA!$A$10</f>
        <v>46235</v>
      </c>
      <c r="B13" s="274"/>
      <c r="C13" s="274"/>
    </row>
    <row r="14" spans="1:3" ht="16.5" customHeight="1" thickTop="1" thickBot="1" x14ac:dyDescent="0.3">
      <c r="A14" s="273">
        <f>+DATA!$A$11</f>
        <v>46266</v>
      </c>
      <c r="B14" s="274"/>
      <c r="C14" s="274"/>
    </row>
    <row r="15" spans="1:3" ht="16.5" customHeight="1" thickTop="1" thickBot="1" x14ac:dyDescent="0.3">
      <c r="A15" s="273">
        <f>+DATA!$A$12</f>
        <v>46296</v>
      </c>
      <c r="B15" s="274"/>
      <c r="C15" s="274"/>
    </row>
    <row r="16" spans="1:3" ht="16.5" customHeight="1" thickTop="1" thickBot="1" x14ac:dyDescent="0.3">
      <c r="A16" s="273">
        <f>+DATA!$A$13</f>
        <v>46327</v>
      </c>
      <c r="B16" s="274"/>
      <c r="C16" s="274"/>
    </row>
    <row r="17" spans="1:3" ht="16.5" customHeight="1" thickTop="1" thickBot="1" x14ac:dyDescent="0.3">
      <c r="A17" s="273">
        <f>+DATA!$A$14</f>
        <v>46357</v>
      </c>
      <c r="B17" s="274"/>
      <c r="C17" s="274"/>
    </row>
    <row r="18" spans="1:3" ht="16.5" customHeight="1" thickTop="1" thickBot="1" x14ac:dyDescent="0.3">
      <c r="A18" s="267" t="s">
        <v>265</v>
      </c>
      <c r="B18" s="269"/>
      <c r="C18" s="269"/>
    </row>
    <row r="19" spans="1:3" ht="15.75" customHeight="1" thickBot="1" x14ac:dyDescent="0.3">
      <c r="A19" s="50" t="s">
        <v>266</v>
      </c>
      <c r="B19" s="277">
        <f>SUM(B6:B17)</f>
        <v>0</v>
      </c>
      <c r="C19" s="277">
        <f>SUM(C6:C17)</f>
        <v>0</v>
      </c>
    </row>
    <row r="20" spans="1:3" ht="15.75" customHeight="1" thickBot="1" x14ac:dyDescent="0.3">
      <c r="A20" s="51"/>
      <c r="B20" s="52"/>
      <c r="C20" s="758">
        <f>+B19+C19</f>
        <v>0</v>
      </c>
    </row>
    <row r="21" spans="1:3" ht="15.75" customHeight="1" thickBot="1" x14ac:dyDescent="0.3"/>
    <row r="22" spans="1:3" x14ac:dyDescent="0.25">
      <c r="A22" s="48" t="s">
        <v>267</v>
      </c>
      <c r="B22" s="268"/>
      <c r="C22" s="268"/>
    </row>
    <row r="23" spans="1:3" ht="24" customHeight="1" thickBot="1" x14ac:dyDescent="0.4">
      <c r="A23" s="278">
        <f>DATA!$A$2</f>
        <v>46023</v>
      </c>
      <c r="B23" s="269"/>
      <c r="C23" s="269"/>
    </row>
    <row r="24" spans="1:3" ht="15.75" customHeight="1" thickBot="1" x14ac:dyDescent="0.3">
      <c r="A24" s="25"/>
      <c r="B24" s="269"/>
      <c r="C24" s="269"/>
    </row>
    <row r="25" spans="1:3" ht="15.75" customHeight="1" thickBot="1" x14ac:dyDescent="0.3">
      <c r="A25" s="25" t="s">
        <v>263</v>
      </c>
      <c r="B25" s="272" t="s">
        <v>264</v>
      </c>
      <c r="C25" s="272" t="s">
        <v>272</v>
      </c>
    </row>
    <row r="26" spans="1:3" ht="16.5" customHeight="1" thickTop="1" thickBot="1" x14ac:dyDescent="0.3">
      <c r="A26" s="273">
        <f>+DATA!$A$3</f>
        <v>46023</v>
      </c>
      <c r="B26" s="274"/>
      <c r="C26" s="274"/>
    </row>
    <row r="27" spans="1:3" ht="16.5" customHeight="1" thickTop="1" thickBot="1" x14ac:dyDescent="0.3">
      <c r="A27" s="273">
        <f>+DATA!$A$4</f>
        <v>46054</v>
      </c>
      <c r="B27" s="274"/>
      <c r="C27" s="274"/>
    </row>
    <row r="28" spans="1:3" ht="16.5" customHeight="1" thickTop="1" thickBot="1" x14ac:dyDescent="0.3">
      <c r="A28" s="273">
        <f>+DATA!$A$5</f>
        <v>46082</v>
      </c>
      <c r="B28" s="274"/>
      <c r="C28" s="274"/>
    </row>
    <row r="29" spans="1:3" ht="16.5" customHeight="1" thickTop="1" thickBot="1" x14ac:dyDescent="0.3">
      <c r="A29" s="273">
        <f>+DATA!$A$6</f>
        <v>46113</v>
      </c>
      <c r="B29" s="274"/>
      <c r="C29" s="274"/>
    </row>
    <row r="30" spans="1:3" ht="16.5" customHeight="1" thickTop="1" thickBot="1" x14ac:dyDescent="0.3">
      <c r="A30" s="273">
        <f>+DATA!$A$7</f>
        <v>46143</v>
      </c>
      <c r="B30" s="274"/>
      <c r="C30" s="274"/>
    </row>
    <row r="31" spans="1:3" ht="16.5" customHeight="1" thickTop="1" thickBot="1" x14ac:dyDescent="0.3">
      <c r="A31" s="273">
        <f>+DATA!$A$8</f>
        <v>46174</v>
      </c>
      <c r="B31" s="274"/>
      <c r="C31" s="274"/>
    </row>
    <row r="32" spans="1:3" ht="16.5" customHeight="1" thickTop="1" thickBot="1" x14ac:dyDescent="0.3">
      <c r="A32" s="273">
        <f>+DATA!$A$9</f>
        <v>46204</v>
      </c>
      <c r="B32" s="274"/>
      <c r="C32" s="274"/>
    </row>
    <row r="33" spans="1:3" ht="16.5" customHeight="1" thickTop="1" thickBot="1" x14ac:dyDescent="0.3">
      <c r="A33" s="273">
        <f>+DATA!$A$10</f>
        <v>46235</v>
      </c>
      <c r="B33" s="274"/>
      <c r="C33" s="274"/>
    </row>
    <row r="34" spans="1:3" ht="16.5" customHeight="1" thickTop="1" thickBot="1" x14ac:dyDescent="0.3">
      <c r="A34" s="273">
        <f>+DATA!$A$11</f>
        <v>46266</v>
      </c>
      <c r="B34" s="274"/>
      <c r="C34" s="274"/>
    </row>
    <row r="35" spans="1:3" ht="16.5" customHeight="1" thickTop="1" thickBot="1" x14ac:dyDescent="0.3">
      <c r="A35" s="273">
        <f>+DATA!$A$12</f>
        <v>46296</v>
      </c>
      <c r="B35" s="274"/>
      <c r="C35" s="274"/>
    </row>
    <row r="36" spans="1:3" ht="16.5" customHeight="1" thickTop="1" thickBot="1" x14ac:dyDescent="0.3">
      <c r="A36" s="273">
        <f>+DATA!$A$13</f>
        <v>46327</v>
      </c>
      <c r="B36" s="274"/>
      <c r="C36" s="274"/>
    </row>
    <row r="37" spans="1:3" ht="16.5" customHeight="1" thickTop="1" thickBot="1" x14ac:dyDescent="0.3">
      <c r="A37" s="273">
        <f>+DATA!$A$14</f>
        <v>46357</v>
      </c>
      <c r="B37" s="274"/>
      <c r="C37" s="274"/>
    </row>
    <row r="38" spans="1:3" ht="16.5" customHeight="1" thickTop="1" thickBot="1" x14ac:dyDescent="0.3">
      <c r="A38" s="50"/>
      <c r="B38" s="269"/>
      <c r="C38" s="269"/>
    </row>
    <row r="39" spans="1:3" ht="15.75" customHeight="1" thickBot="1" x14ac:dyDescent="0.3">
      <c r="A39" s="50" t="s">
        <v>266</v>
      </c>
      <c r="B39" s="277">
        <f>SUM(B26:B37)</f>
        <v>0</v>
      </c>
      <c r="C39" s="277">
        <f>SUM(C26:C37)</f>
        <v>0</v>
      </c>
    </row>
    <row r="40" spans="1:3" ht="15.75" customHeight="1" thickBot="1" x14ac:dyDescent="0.3">
      <c r="A40" s="51"/>
      <c r="B40" s="52"/>
      <c r="C40" s="758">
        <f>+B39+C39</f>
        <v>0</v>
      </c>
    </row>
    <row r="41" spans="1:3" ht="15.75" customHeight="1" thickBot="1" x14ac:dyDescent="0.3"/>
    <row r="42" spans="1:3" x14ac:dyDescent="0.25">
      <c r="A42" s="48" t="s">
        <v>268</v>
      </c>
      <c r="B42" s="268"/>
      <c r="C42" s="268"/>
    </row>
    <row r="43" spans="1:3" ht="24" customHeight="1" thickBot="1" x14ac:dyDescent="0.4">
      <c r="A43" s="278">
        <f>DATA!$A$2</f>
        <v>46023</v>
      </c>
      <c r="B43" s="269"/>
      <c r="C43" s="269"/>
    </row>
    <row r="44" spans="1:3" ht="15.75" customHeight="1" thickBot="1" x14ac:dyDescent="0.3">
      <c r="A44" s="25"/>
      <c r="B44" s="269"/>
      <c r="C44" s="269"/>
    </row>
    <row r="45" spans="1:3" ht="15.75" customHeight="1" thickBot="1" x14ac:dyDescent="0.3">
      <c r="A45" s="25" t="s">
        <v>263</v>
      </c>
      <c r="B45" s="272" t="s">
        <v>264</v>
      </c>
      <c r="C45" s="272" t="s">
        <v>272</v>
      </c>
    </row>
    <row r="46" spans="1:3" ht="16.5" customHeight="1" thickTop="1" thickBot="1" x14ac:dyDescent="0.3">
      <c r="A46" s="273">
        <f>+DATA!$A$3</f>
        <v>46023</v>
      </c>
      <c r="B46" s="274"/>
      <c r="C46" s="274"/>
    </row>
    <row r="47" spans="1:3" ht="16.5" customHeight="1" thickTop="1" thickBot="1" x14ac:dyDescent="0.3">
      <c r="A47" s="273">
        <f>+DATA!$A$4</f>
        <v>46054</v>
      </c>
      <c r="B47" s="274"/>
      <c r="C47" s="274"/>
    </row>
    <row r="48" spans="1:3" ht="16.5" customHeight="1" thickTop="1" thickBot="1" x14ac:dyDescent="0.3">
      <c r="A48" s="273">
        <f>+DATA!$A$5</f>
        <v>46082</v>
      </c>
      <c r="B48" s="274"/>
      <c r="C48" s="274"/>
    </row>
    <row r="49" spans="1:3" ht="16.5" customHeight="1" thickTop="1" thickBot="1" x14ac:dyDescent="0.3">
      <c r="A49" s="273">
        <f>+DATA!$A$6</f>
        <v>46113</v>
      </c>
      <c r="B49" s="274"/>
      <c r="C49" s="274"/>
    </row>
    <row r="50" spans="1:3" ht="16.5" customHeight="1" thickTop="1" thickBot="1" x14ac:dyDescent="0.3">
      <c r="A50" s="273">
        <f>+DATA!$A$7</f>
        <v>46143</v>
      </c>
      <c r="B50" s="274"/>
      <c r="C50" s="274"/>
    </row>
    <row r="51" spans="1:3" ht="16.5" customHeight="1" thickTop="1" thickBot="1" x14ac:dyDescent="0.3">
      <c r="A51" s="273">
        <f>+DATA!$A$8</f>
        <v>46174</v>
      </c>
      <c r="B51" s="274"/>
      <c r="C51" s="274"/>
    </row>
    <row r="52" spans="1:3" ht="16.5" customHeight="1" thickTop="1" thickBot="1" x14ac:dyDescent="0.3">
      <c r="A52" s="273">
        <f>+DATA!$A$9</f>
        <v>46204</v>
      </c>
      <c r="B52" s="274"/>
      <c r="C52" s="274"/>
    </row>
    <row r="53" spans="1:3" ht="16.5" customHeight="1" thickTop="1" thickBot="1" x14ac:dyDescent="0.3">
      <c r="A53" s="273">
        <f>+DATA!$A$10</f>
        <v>46235</v>
      </c>
      <c r="B53" s="274"/>
      <c r="C53" s="274"/>
    </row>
    <row r="54" spans="1:3" ht="16.5" customHeight="1" thickTop="1" thickBot="1" x14ac:dyDescent="0.3">
      <c r="A54" s="273">
        <f>+DATA!$A$11</f>
        <v>46266</v>
      </c>
      <c r="B54" s="274"/>
      <c r="C54" s="274"/>
    </row>
    <row r="55" spans="1:3" ht="16.5" customHeight="1" thickTop="1" thickBot="1" x14ac:dyDescent="0.3">
      <c r="A55" s="273">
        <f>+DATA!$A$12</f>
        <v>46296</v>
      </c>
      <c r="B55" s="274"/>
      <c r="C55" s="274"/>
    </row>
    <row r="56" spans="1:3" ht="16.5" customHeight="1" thickTop="1" thickBot="1" x14ac:dyDescent="0.3">
      <c r="A56" s="273">
        <f>+DATA!$A$13</f>
        <v>46327</v>
      </c>
      <c r="B56" s="274"/>
      <c r="C56" s="274"/>
    </row>
    <row r="57" spans="1:3" ht="16.5" customHeight="1" thickTop="1" thickBot="1" x14ac:dyDescent="0.3">
      <c r="A57" s="273">
        <f>+DATA!$A$14</f>
        <v>46357</v>
      </c>
      <c r="B57" s="274"/>
      <c r="C57" s="274"/>
    </row>
    <row r="58" spans="1:3" ht="16.5" customHeight="1" thickTop="1" thickBot="1" x14ac:dyDescent="0.3">
      <c r="A58" s="50"/>
      <c r="B58" s="269"/>
      <c r="C58" s="269"/>
    </row>
    <row r="59" spans="1:3" ht="15.75" customHeight="1" thickBot="1" x14ac:dyDescent="0.3">
      <c r="A59" s="50" t="s">
        <v>266</v>
      </c>
      <c r="B59" s="277">
        <f>SUM(B46:B57)</f>
        <v>0</v>
      </c>
      <c r="C59" s="277">
        <f>SUM(C46:C57)</f>
        <v>0</v>
      </c>
    </row>
    <row r="60" spans="1:3" ht="15.75" customHeight="1" thickBot="1" x14ac:dyDescent="0.3">
      <c r="A60" s="51"/>
      <c r="B60" s="52"/>
      <c r="C60" s="758">
        <f>+B59+C59</f>
        <v>0</v>
      </c>
    </row>
    <row r="61" spans="1:3" ht="15.75" customHeight="1" thickBot="1" x14ac:dyDescent="0.3"/>
    <row r="62" spans="1:3" x14ac:dyDescent="0.25">
      <c r="A62" s="48" t="s">
        <v>269</v>
      </c>
      <c r="B62" s="268"/>
      <c r="C62" s="268"/>
    </row>
    <row r="63" spans="1:3" ht="24" customHeight="1" thickBot="1" x14ac:dyDescent="0.4">
      <c r="A63" s="278">
        <f>DATA!$A$2</f>
        <v>46023</v>
      </c>
      <c r="B63" s="269"/>
      <c r="C63" s="269"/>
    </row>
    <row r="64" spans="1:3" ht="15.75" customHeight="1" thickBot="1" x14ac:dyDescent="0.3">
      <c r="A64" s="25"/>
      <c r="B64" s="269"/>
      <c r="C64" s="269"/>
    </row>
    <row r="65" spans="1:3" ht="15.75" customHeight="1" thickBot="1" x14ac:dyDescent="0.3">
      <c r="A65" s="25" t="s">
        <v>263</v>
      </c>
      <c r="B65" s="272" t="s">
        <v>264</v>
      </c>
      <c r="C65" s="272" t="s">
        <v>272</v>
      </c>
    </row>
    <row r="66" spans="1:3" ht="16.5" customHeight="1" thickTop="1" thickBot="1" x14ac:dyDescent="0.3">
      <c r="A66" s="273">
        <f>+DATA!$A$3</f>
        <v>46023</v>
      </c>
      <c r="B66" s="274"/>
      <c r="C66" s="274"/>
    </row>
    <row r="67" spans="1:3" ht="16.5" customHeight="1" thickTop="1" thickBot="1" x14ac:dyDescent="0.3">
      <c r="A67" s="273">
        <f>+DATA!$A$4</f>
        <v>46054</v>
      </c>
      <c r="B67" s="274"/>
      <c r="C67" s="274"/>
    </row>
    <row r="68" spans="1:3" ht="16.5" customHeight="1" thickTop="1" thickBot="1" x14ac:dyDescent="0.3">
      <c r="A68" s="273">
        <f>+DATA!$A$5</f>
        <v>46082</v>
      </c>
      <c r="B68" s="274"/>
      <c r="C68" s="274"/>
    </row>
    <row r="69" spans="1:3" ht="16.5" customHeight="1" thickTop="1" thickBot="1" x14ac:dyDescent="0.3">
      <c r="A69" s="273">
        <f>+DATA!$A$6</f>
        <v>46113</v>
      </c>
      <c r="B69" s="274"/>
      <c r="C69" s="274"/>
    </row>
    <row r="70" spans="1:3" ht="16.5" customHeight="1" thickTop="1" thickBot="1" x14ac:dyDescent="0.3">
      <c r="A70" s="273">
        <f>+DATA!$A$7</f>
        <v>46143</v>
      </c>
      <c r="B70" s="274"/>
      <c r="C70" s="274"/>
    </row>
    <row r="71" spans="1:3" ht="16.5" customHeight="1" thickTop="1" thickBot="1" x14ac:dyDescent="0.3">
      <c r="A71" s="273">
        <f>+DATA!$A$8</f>
        <v>46174</v>
      </c>
      <c r="B71" s="274"/>
      <c r="C71" s="274"/>
    </row>
    <row r="72" spans="1:3" ht="16.5" customHeight="1" thickTop="1" thickBot="1" x14ac:dyDescent="0.3">
      <c r="A72" s="273">
        <f>+DATA!$A$9</f>
        <v>46204</v>
      </c>
      <c r="B72" s="274"/>
      <c r="C72" s="274"/>
    </row>
    <row r="73" spans="1:3" ht="16.5" customHeight="1" thickTop="1" thickBot="1" x14ac:dyDescent="0.3">
      <c r="A73" s="273">
        <f>+DATA!$A$10</f>
        <v>46235</v>
      </c>
      <c r="B73" s="274"/>
      <c r="C73" s="274"/>
    </row>
    <row r="74" spans="1:3" ht="16.5" customHeight="1" thickTop="1" thickBot="1" x14ac:dyDescent="0.3">
      <c r="A74" s="273">
        <f>+DATA!$A$11</f>
        <v>46266</v>
      </c>
      <c r="B74" s="274"/>
      <c r="C74" s="274"/>
    </row>
    <row r="75" spans="1:3" ht="16.5" customHeight="1" thickTop="1" thickBot="1" x14ac:dyDescent="0.3">
      <c r="A75" s="273">
        <f>+DATA!$A$12</f>
        <v>46296</v>
      </c>
      <c r="B75" s="274"/>
      <c r="C75" s="274"/>
    </row>
    <row r="76" spans="1:3" ht="16.5" customHeight="1" thickTop="1" thickBot="1" x14ac:dyDescent="0.3">
      <c r="A76" s="273">
        <f>+DATA!$A$13</f>
        <v>46327</v>
      </c>
      <c r="B76" s="274"/>
      <c r="C76" s="274"/>
    </row>
    <row r="77" spans="1:3" ht="16.5" customHeight="1" thickTop="1" thickBot="1" x14ac:dyDescent="0.3">
      <c r="A77" s="273">
        <f>+DATA!$A$14</f>
        <v>46357</v>
      </c>
      <c r="B77" s="274"/>
      <c r="C77" s="274"/>
    </row>
    <row r="78" spans="1:3" ht="16.5" customHeight="1" thickTop="1" thickBot="1" x14ac:dyDescent="0.3">
      <c r="A78" s="50"/>
      <c r="B78" s="269"/>
      <c r="C78" s="269"/>
    </row>
    <row r="79" spans="1:3" ht="15.75" customHeight="1" thickBot="1" x14ac:dyDescent="0.3">
      <c r="A79" s="50" t="s">
        <v>266</v>
      </c>
      <c r="B79" s="277">
        <f>SUM(B66:B77)</f>
        <v>0</v>
      </c>
      <c r="C79" s="277">
        <f>SUM(C66:C77)</f>
        <v>0</v>
      </c>
    </row>
    <row r="80" spans="1:3" ht="15.75" customHeight="1" thickBot="1" x14ac:dyDescent="0.3">
      <c r="A80" s="51"/>
      <c r="B80" s="52"/>
      <c r="C80" s="758">
        <f>+B79+C79</f>
        <v>0</v>
      </c>
    </row>
    <row r="81" spans="1:3" ht="15.75" customHeight="1" thickBot="1" x14ac:dyDescent="0.3"/>
    <row r="82" spans="1:3" x14ac:dyDescent="0.25">
      <c r="A82" s="48" t="s">
        <v>72</v>
      </c>
      <c r="B82" s="268"/>
      <c r="C82" s="268"/>
    </row>
    <row r="83" spans="1:3" ht="24" customHeight="1" thickBot="1" x14ac:dyDescent="0.4">
      <c r="A83" s="278">
        <f>DATA!$A$2</f>
        <v>46023</v>
      </c>
      <c r="B83" s="269"/>
      <c r="C83" s="269"/>
    </row>
    <row r="84" spans="1:3" ht="15.75" customHeight="1" thickBot="1" x14ac:dyDescent="0.3">
      <c r="A84" s="25"/>
      <c r="B84" s="269"/>
      <c r="C84" s="269"/>
    </row>
    <row r="85" spans="1:3" ht="15.75" customHeight="1" thickBot="1" x14ac:dyDescent="0.3">
      <c r="A85" s="25" t="s">
        <v>263</v>
      </c>
      <c r="B85" s="272" t="s">
        <v>264</v>
      </c>
      <c r="C85" s="272" t="s">
        <v>272</v>
      </c>
    </row>
    <row r="86" spans="1:3" ht="16.5" customHeight="1" thickTop="1" thickBot="1" x14ac:dyDescent="0.3">
      <c r="A86" s="273">
        <f>+DATA!$A$3</f>
        <v>46023</v>
      </c>
      <c r="B86" s="274"/>
      <c r="C86" s="274"/>
    </row>
    <row r="87" spans="1:3" ht="16.5" customHeight="1" thickTop="1" thickBot="1" x14ac:dyDescent="0.3">
      <c r="A87" s="273">
        <f>+DATA!$A$4</f>
        <v>46054</v>
      </c>
      <c r="B87" s="274"/>
      <c r="C87" s="274"/>
    </row>
    <row r="88" spans="1:3" ht="16.5" customHeight="1" thickTop="1" thickBot="1" x14ac:dyDescent="0.3">
      <c r="A88" s="273">
        <f>+DATA!$A$5</f>
        <v>46082</v>
      </c>
      <c r="B88" s="274"/>
      <c r="C88" s="274"/>
    </row>
    <row r="89" spans="1:3" ht="16.5" customHeight="1" thickTop="1" thickBot="1" x14ac:dyDescent="0.3">
      <c r="A89" s="273">
        <f>+DATA!$A$6</f>
        <v>46113</v>
      </c>
      <c r="B89" s="274"/>
      <c r="C89" s="274"/>
    </row>
    <row r="90" spans="1:3" ht="16.5" customHeight="1" thickTop="1" thickBot="1" x14ac:dyDescent="0.3">
      <c r="A90" s="273">
        <f>+DATA!$A$7</f>
        <v>46143</v>
      </c>
      <c r="B90" s="274"/>
      <c r="C90" s="274"/>
    </row>
    <row r="91" spans="1:3" ht="16.5" customHeight="1" thickTop="1" thickBot="1" x14ac:dyDescent="0.3">
      <c r="A91" s="273">
        <f>+DATA!$A$8</f>
        <v>46174</v>
      </c>
      <c r="B91" s="274"/>
      <c r="C91" s="274"/>
    </row>
    <row r="92" spans="1:3" ht="16.5" customHeight="1" thickTop="1" thickBot="1" x14ac:dyDescent="0.3">
      <c r="A92" s="273">
        <f>+DATA!$A$9</f>
        <v>46204</v>
      </c>
      <c r="B92" s="274"/>
      <c r="C92" s="274"/>
    </row>
    <row r="93" spans="1:3" ht="16.5" customHeight="1" thickTop="1" thickBot="1" x14ac:dyDescent="0.3">
      <c r="A93" s="273">
        <f>+DATA!$A$10</f>
        <v>46235</v>
      </c>
      <c r="B93" s="274"/>
      <c r="C93" s="274"/>
    </row>
    <row r="94" spans="1:3" ht="16.5" customHeight="1" thickTop="1" thickBot="1" x14ac:dyDescent="0.3">
      <c r="A94" s="273">
        <f>+DATA!$A$11</f>
        <v>46266</v>
      </c>
      <c r="B94" s="274"/>
      <c r="C94" s="274"/>
    </row>
    <row r="95" spans="1:3" ht="16.5" customHeight="1" thickTop="1" thickBot="1" x14ac:dyDescent="0.3">
      <c r="A95" s="273">
        <f>+DATA!$A$12</f>
        <v>46296</v>
      </c>
      <c r="B95" s="274"/>
      <c r="C95" s="274"/>
    </row>
    <row r="96" spans="1:3" ht="16.5" customHeight="1" thickTop="1" thickBot="1" x14ac:dyDescent="0.3">
      <c r="A96" s="273">
        <f>+DATA!$A$13</f>
        <v>46327</v>
      </c>
      <c r="B96" s="274"/>
      <c r="C96" s="274"/>
    </row>
    <row r="97" spans="1:3" ht="16.5" customHeight="1" thickTop="1" thickBot="1" x14ac:dyDescent="0.3">
      <c r="A97" s="273">
        <f>+DATA!$A$14</f>
        <v>46357</v>
      </c>
      <c r="B97" s="274"/>
      <c r="C97" s="274"/>
    </row>
    <row r="98" spans="1:3" ht="16.5" customHeight="1" thickTop="1" thickBot="1" x14ac:dyDescent="0.3">
      <c r="A98" s="50"/>
      <c r="B98" s="269"/>
      <c r="C98" s="269"/>
    </row>
    <row r="99" spans="1:3" ht="15.75" customHeight="1" thickBot="1" x14ac:dyDescent="0.3">
      <c r="A99" s="50" t="s">
        <v>266</v>
      </c>
      <c r="B99" s="277">
        <f>SUM(B86:B97)</f>
        <v>0</v>
      </c>
      <c r="C99" s="277">
        <f>SUM(C86:C97)</f>
        <v>0</v>
      </c>
    </row>
    <row r="100" spans="1:3" ht="15.75" customHeight="1" thickBot="1" x14ac:dyDescent="0.3">
      <c r="A100" s="51"/>
      <c r="B100" s="52"/>
      <c r="C100" s="758">
        <f>+B99+C99</f>
        <v>0</v>
      </c>
    </row>
    <row r="101" spans="1:3" ht="15.75" customHeight="1" thickBot="1" x14ac:dyDescent="0.3"/>
    <row r="102" spans="1:3" x14ac:dyDescent="0.25">
      <c r="A102" s="48" t="s">
        <v>270</v>
      </c>
      <c r="B102" s="268"/>
      <c r="C102" s="268"/>
    </row>
    <row r="103" spans="1:3" ht="24" customHeight="1" thickBot="1" x14ac:dyDescent="0.4">
      <c r="A103" s="278">
        <f>DATA!$A$2</f>
        <v>46023</v>
      </c>
      <c r="B103" s="269"/>
      <c r="C103" s="269"/>
    </row>
    <row r="104" spans="1:3" ht="15.75" customHeight="1" thickBot="1" x14ac:dyDescent="0.3">
      <c r="A104" s="25"/>
      <c r="B104" s="269"/>
      <c r="C104" s="269"/>
    </row>
    <row r="105" spans="1:3" ht="15.75" customHeight="1" thickBot="1" x14ac:dyDescent="0.3">
      <c r="A105" s="25" t="s">
        <v>263</v>
      </c>
      <c r="B105" s="272" t="s">
        <v>264</v>
      </c>
      <c r="C105" s="272" t="s">
        <v>272</v>
      </c>
    </row>
    <row r="106" spans="1:3" ht="16.5" customHeight="1" thickTop="1" thickBot="1" x14ac:dyDescent="0.3">
      <c r="A106" s="273">
        <f>+DATA!$A$3</f>
        <v>46023</v>
      </c>
      <c r="B106" s="274"/>
      <c r="C106" s="274"/>
    </row>
    <row r="107" spans="1:3" ht="16.5" customHeight="1" thickTop="1" thickBot="1" x14ac:dyDescent="0.3">
      <c r="A107" s="273">
        <f>+DATA!$A$4</f>
        <v>46054</v>
      </c>
      <c r="B107" s="274"/>
      <c r="C107" s="274"/>
    </row>
    <row r="108" spans="1:3" ht="16.5" customHeight="1" thickTop="1" thickBot="1" x14ac:dyDescent="0.3">
      <c r="A108" s="273">
        <f>+DATA!$A$5</f>
        <v>46082</v>
      </c>
      <c r="B108" s="274"/>
      <c r="C108" s="274"/>
    </row>
    <row r="109" spans="1:3" ht="16.5" customHeight="1" thickTop="1" thickBot="1" x14ac:dyDescent="0.3">
      <c r="A109" s="273">
        <f>+DATA!$A$6</f>
        <v>46113</v>
      </c>
      <c r="B109" s="274"/>
      <c r="C109" s="274"/>
    </row>
    <row r="110" spans="1:3" ht="16.5" customHeight="1" thickTop="1" thickBot="1" x14ac:dyDescent="0.3">
      <c r="A110" s="273">
        <f>+DATA!$A$7</f>
        <v>46143</v>
      </c>
      <c r="B110" s="274"/>
      <c r="C110" s="274"/>
    </row>
    <row r="111" spans="1:3" ht="16.5" customHeight="1" thickTop="1" thickBot="1" x14ac:dyDescent="0.3">
      <c r="A111" s="273">
        <f>+DATA!$A$8</f>
        <v>46174</v>
      </c>
      <c r="B111" s="274"/>
      <c r="C111" s="274"/>
    </row>
    <row r="112" spans="1:3" ht="16.5" customHeight="1" thickTop="1" thickBot="1" x14ac:dyDescent="0.3">
      <c r="A112" s="273">
        <f>+DATA!$A$9</f>
        <v>46204</v>
      </c>
      <c r="B112" s="274"/>
      <c r="C112" s="274"/>
    </row>
    <row r="113" spans="1:3" ht="16.5" customHeight="1" thickTop="1" thickBot="1" x14ac:dyDescent="0.3">
      <c r="A113" s="273">
        <f>+DATA!$A$10</f>
        <v>46235</v>
      </c>
      <c r="B113" s="274"/>
      <c r="C113" s="274"/>
    </row>
    <row r="114" spans="1:3" ht="16.5" customHeight="1" thickTop="1" thickBot="1" x14ac:dyDescent="0.3">
      <c r="A114" s="273">
        <f>+DATA!$A$11</f>
        <v>46266</v>
      </c>
      <c r="B114" s="274"/>
      <c r="C114" s="274"/>
    </row>
    <row r="115" spans="1:3" ht="16.5" customHeight="1" thickTop="1" thickBot="1" x14ac:dyDescent="0.3">
      <c r="A115" s="273">
        <f>+DATA!$A$12</f>
        <v>46296</v>
      </c>
      <c r="B115" s="274"/>
      <c r="C115" s="274"/>
    </row>
    <row r="116" spans="1:3" ht="16.5" customHeight="1" thickTop="1" thickBot="1" x14ac:dyDescent="0.3">
      <c r="A116" s="273">
        <f>+DATA!$A$13</f>
        <v>46327</v>
      </c>
      <c r="B116" s="274"/>
      <c r="C116" s="274"/>
    </row>
    <row r="117" spans="1:3" ht="16.5" customHeight="1" thickTop="1" thickBot="1" x14ac:dyDescent="0.3">
      <c r="A117" s="273">
        <f>+DATA!$A$14</f>
        <v>46357</v>
      </c>
      <c r="B117" s="274"/>
      <c r="C117" s="274"/>
    </row>
    <row r="118" spans="1:3" ht="16.5" customHeight="1" thickTop="1" thickBot="1" x14ac:dyDescent="0.3">
      <c r="A118" s="50"/>
      <c r="B118" s="269"/>
      <c r="C118" s="269"/>
    </row>
    <row r="119" spans="1:3" ht="15.75" customHeight="1" thickBot="1" x14ac:dyDescent="0.3">
      <c r="A119" s="50" t="s">
        <v>266</v>
      </c>
      <c r="B119" s="277">
        <f>SUM(B106:B117)</f>
        <v>0</v>
      </c>
      <c r="C119" s="277">
        <f>SUM(C106:C117)</f>
        <v>0</v>
      </c>
    </row>
    <row r="120" spans="1:3" ht="15.75" customHeight="1" thickBot="1" x14ac:dyDescent="0.3">
      <c r="A120" s="51"/>
      <c r="B120" s="52"/>
      <c r="C120" s="758">
        <f>+B119+C119</f>
        <v>0</v>
      </c>
    </row>
    <row r="121" spans="1:3" ht="15.75" customHeight="1" thickBot="1" x14ac:dyDescent="0.3"/>
    <row r="122" spans="1:3" x14ac:dyDescent="0.25">
      <c r="A122" s="48" t="s">
        <v>271</v>
      </c>
      <c r="B122" s="268"/>
      <c r="C122" s="268"/>
    </row>
    <row r="123" spans="1:3" ht="24" customHeight="1" thickBot="1" x14ac:dyDescent="0.4">
      <c r="A123" s="278">
        <f>DATA!$A$2</f>
        <v>46023</v>
      </c>
      <c r="B123" s="269"/>
      <c r="C123" s="269"/>
    </row>
    <row r="124" spans="1:3" ht="15.75" customHeight="1" thickBot="1" x14ac:dyDescent="0.3">
      <c r="A124" s="25"/>
      <c r="B124" s="269"/>
      <c r="C124" s="269"/>
    </row>
    <row r="125" spans="1:3" ht="15.75" customHeight="1" thickBot="1" x14ac:dyDescent="0.3">
      <c r="A125" s="25" t="s">
        <v>263</v>
      </c>
      <c r="B125" s="272" t="s">
        <v>264</v>
      </c>
      <c r="C125" s="272" t="s">
        <v>272</v>
      </c>
    </row>
    <row r="126" spans="1:3" ht="16.5" customHeight="1" thickTop="1" thickBot="1" x14ac:dyDescent="0.3">
      <c r="A126" s="273">
        <f>+DATA!$A$3</f>
        <v>46023</v>
      </c>
      <c r="B126" s="274"/>
      <c r="C126" s="274"/>
    </row>
    <row r="127" spans="1:3" ht="16.5" customHeight="1" thickTop="1" thickBot="1" x14ac:dyDescent="0.3">
      <c r="A127" s="273">
        <f>+DATA!$A$4</f>
        <v>46054</v>
      </c>
      <c r="B127" s="274"/>
      <c r="C127" s="274"/>
    </row>
    <row r="128" spans="1:3" ht="16.5" customHeight="1" thickTop="1" thickBot="1" x14ac:dyDescent="0.3">
      <c r="A128" s="273">
        <f>+DATA!$A$5</f>
        <v>46082</v>
      </c>
      <c r="B128" s="274"/>
      <c r="C128" s="274"/>
    </row>
    <row r="129" spans="1:3" ht="16.5" customHeight="1" thickTop="1" thickBot="1" x14ac:dyDescent="0.3">
      <c r="A129" s="273">
        <f>+DATA!$A$6</f>
        <v>46113</v>
      </c>
      <c r="B129" s="274"/>
      <c r="C129" s="274"/>
    </row>
    <row r="130" spans="1:3" ht="16.5" customHeight="1" thickTop="1" thickBot="1" x14ac:dyDescent="0.3">
      <c r="A130" s="273">
        <f>+DATA!$A$7</f>
        <v>46143</v>
      </c>
      <c r="B130" s="274"/>
      <c r="C130" s="274"/>
    </row>
    <row r="131" spans="1:3" ht="16.5" customHeight="1" thickTop="1" thickBot="1" x14ac:dyDescent="0.3">
      <c r="A131" s="273">
        <f>+DATA!$A$8</f>
        <v>46174</v>
      </c>
      <c r="B131" s="274"/>
      <c r="C131" s="274"/>
    </row>
    <row r="132" spans="1:3" ht="16.5" customHeight="1" thickTop="1" thickBot="1" x14ac:dyDescent="0.3">
      <c r="A132" s="273">
        <f>+DATA!$A$9</f>
        <v>46204</v>
      </c>
      <c r="B132" s="274"/>
      <c r="C132" s="274"/>
    </row>
    <row r="133" spans="1:3" ht="16.5" customHeight="1" thickTop="1" thickBot="1" x14ac:dyDescent="0.3">
      <c r="A133" s="273">
        <f>+DATA!$A$10</f>
        <v>46235</v>
      </c>
      <c r="B133" s="274"/>
      <c r="C133" s="274"/>
    </row>
    <row r="134" spans="1:3" ht="16.5" customHeight="1" thickTop="1" thickBot="1" x14ac:dyDescent="0.3">
      <c r="A134" s="273">
        <f>+DATA!$A$11</f>
        <v>46266</v>
      </c>
      <c r="B134" s="274"/>
      <c r="C134" s="274"/>
    </row>
    <row r="135" spans="1:3" ht="16.5" customHeight="1" thickTop="1" thickBot="1" x14ac:dyDescent="0.3">
      <c r="A135" s="273">
        <f>+DATA!$A$12</f>
        <v>46296</v>
      </c>
      <c r="B135" s="274"/>
      <c r="C135" s="274"/>
    </row>
    <row r="136" spans="1:3" ht="16.5" customHeight="1" thickTop="1" thickBot="1" x14ac:dyDescent="0.3">
      <c r="A136" s="273">
        <f>+DATA!$A$13</f>
        <v>46327</v>
      </c>
      <c r="B136" s="274"/>
      <c r="C136" s="274"/>
    </row>
    <row r="137" spans="1:3" ht="16.5" customHeight="1" thickTop="1" thickBot="1" x14ac:dyDescent="0.3">
      <c r="A137" s="273">
        <f>+DATA!$A$14</f>
        <v>46357</v>
      </c>
      <c r="B137" s="274"/>
      <c r="C137" s="274"/>
    </row>
    <row r="138" spans="1:3" ht="16.5" customHeight="1" thickTop="1" thickBot="1" x14ac:dyDescent="0.3">
      <c r="A138" s="50"/>
      <c r="B138" s="269"/>
      <c r="C138" s="269"/>
    </row>
    <row r="139" spans="1:3" ht="15.75" customHeight="1" thickBot="1" x14ac:dyDescent="0.3">
      <c r="A139" s="50" t="s">
        <v>266</v>
      </c>
      <c r="B139" s="277">
        <f>SUM(B126:B137)</f>
        <v>0</v>
      </c>
      <c r="C139" s="277">
        <f>SUM(C126:C137)</f>
        <v>0</v>
      </c>
    </row>
    <row r="140" spans="1:3" ht="15.75" customHeight="1" thickBot="1" x14ac:dyDescent="0.3">
      <c r="A140" s="51"/>
      <c r="B140" s="52"/>
      <c r="C140" s="758">
        <f>+B139+C139</f>
        <v>0</v>
      </c>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9">
    <tabColor rgb="FF7030A0"/>
  </sheetPr>
  <dimension ref="A1"/>
  <sheetViews>
    <sheetView workbookViewId="0"/>
  </sheetViews>
  <sheetFormatPr defaultRowHeight="15" x14ac:dyDescent="0.25"/>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2">
    <tabColor theme="4" tint="0.59999389629810485"/>
    <pageSetUpPr fitToPage="1"/>
  </sheetPr>
  <dimension ref="A1:AX122"/>
  <sheetViews>
    <sheetView workbookViewId="0"/>
  </sheetViews>
  <sheetFormatPr defaultRowHeight="15" x14ac:dyDescent="0.25"/>
  <cols>
    <col min="1" max="1" width="10" customWidth="1"/>
    <col min="2" max="2" width="19.42578125" customWidth="1"/>
    <col min="3" max="3" width="15.28515625" customWidth="1"/>
    <col min="5" max="5" width="10.85546875" customWidth="1"/>
    <col min="6" max="6" width="3.140625" customWidth="1"/>
    <col min="7" max="7" width="8" customWidth="1"/>
    <col min="8" max="8" width="13.42578125" customWidth="1"/>
    <col min="9" max="9" width="14.42578125" customWidth="1"/>
  </cols>
  <sheetData>
    <row r="1" spans="1:9" ht="13.9" customHeight="1" x14ac:dyDescent="0.25">
      <c r="A1" s="640">
        <f>+H7</f>
        <v>46023</v>
      </c>
      <c r="B1" s="963" t="s">
        <v>273</v>
      </c>
      <c r="C1" s="639" t="s">
        <v>1</v>
      </c>
      <c r="D1" s="639"/>
      <c r="E1" s="639"/>
      <c r="F1" s="639"/>
      <c r="G1" s="639"/>
      <c r="H1" s="639"/>
      <c r="I1" s="638"/>
    </row>
    <row r="2" spans="1:9" ht="14.45" customHeight="1" x14ac:dyDescent="0.25">
      <c r="A2" s="637"/>
      <c r="B2" s="876"/>
      <c r="C2" s="636" t="s">
        <v>274</v>
      </c>
      <c r="D2" s="636"/>
      <c r="E2" s="636"/>
      <c r="F2" s="636"/>
      <c r="G2" s="636"/>
      <c r="H2" s="636"/>
      <c r="I2" s="635"/>
    </row>
    <row r="3" spans="1:9" ht="12" customHeight="1" thickBot="1" x14ac:dyDescent="0.3">
      <c r="A3" s="50"/>
      <c r="B3" s="876"/>
      <c r="C3" s="636"/>
      <c r="D3" s="636"/>
      <c r="E3" s="636"/>
      <c r="F3" s="636"/>
      <c r="G3" s="636"/>
      <c r="H3" s="636"/>
      <c r="I3" s="635"/>
    </row>
    <row r="4" spans="1:9" ht="15.75" customHeight="1" thickBot="1" x14ac:dyDescent="0.3">
      <c r="A4" s="602" t="s">
        <v>3</v>
      </c>
      <c r="B4" s="601" t="s">
        <v>275</v>
      </c>
      <c r="G4" s="48" t="s">
        <v>276</v>
      </c>
      <c r="H4" s="49"/>
      <c r="I4" s="268"/>
    </row>
    <row r="5" spans="1:9" ht="15.75" customHeight="1" thickBot="1" x14ac:dyDescent="0.3">
      <c r="A5" s="25"/>
      <c r="B5" s="276" t="s">
        <v>206</v>
      </c>
      <c r="C5" s="965" t="s">
        <v>277</v>
      </c>
      <c r="D5" s="938"/>
      <c r="E5" s="926"/>
      <c r="G5" s="51" t="s">
        <v>9</v>
      </c>
      <c r="H5" s="634">
        <v>474436</v>
      </c>
      <c r="I5" s="52"/>
    </row>
    <row r="6" spans="1:9" x14ac:dyDescent="0.25">
      <c r="A6" s="50"/>
      <c r="B6" t="s">
        <v>278</v>
      </c>
      <c r="E6" s="269"/>
      <c r="G6" s="48" t="s">
        <v>279</v>
      </c>
      <c r="H6" s="49"/>
      <c r="I6" s="268"/>
    </row>
    <row r="7" spans="1:9" ht="15.75" customHeight="1" thickBot="1" x14ac:dyDescent="0.3">
      <c r="A7" s="50"/>
      <c r="B7" t="s">
        <v>280</v>
      </c>
      <c r="C7" s="959" t="s">
        <v>281</v>
      </c>
      <c r="D7" s="876"/>
      <c r="E7" s="269"/>
      <c r="G7" s="51" t="s">
        <v>13</v>
      </c>
      <c r="H7" s="633">
        <f>+DATA!A3</f>
        <v>46023</v>
      </c>
      <c r="I7" s="52"/>
    </row>
    <row r="8" spans="1:9" x14ac:dyDescent="0.25">
      <c r="A8" s="50"/>
      <c r="B8" t="s">
        <v>282</v>
      </c>
      <c r="C8" s="959" t="s">
        <v>283</v>
      </c>
      <c r="D8" s="876"/>
      <c r="E8" s="269"/>
      <c r="H8" s="632"/>
      <c r="I8" s="269"/>
    </row>
    <row r="9" spans="1:9" ht="21.75" customHeight="1" x14ac:dyDescent="0.25">
      <c r="A9" s="50"/>
      <c r="B9" t="s">
        <v>284</v>
      </c>
      <c r="C9" s="959" t="s">
        <v>210</v>
      </c>
      <c r="D9" s="876"/>
      <c r="E9" s="269"/>
      <c r="I9" s="269"/>
    </row>
    <row r="10" spans="1:9" ht="15.75" customHeight="1" thickBot="1" x14ac:dyDescent="0.3">
      <c r="A10" s="51"/>
      <c r="B10" s="24" t="s">
        <v>211</v>
      </c>
      <c r="C10" s="964"/>
      <c r="D10" s="915"/>
      <c r="E10" s="52"/>
      <c r="I10" s="269"/>
    </row>
    <row r="11" spans="1:9" ht="15.75" customHeight="1" thickBot="1" x14ac:dyDescent="0.3">
      <c r="A11" s="25"/>
      <c r="B11" s="276" t="s">
        <v>285</v>
      </c>
      <c r="C11" s="630">
        <v>21826685</v>
      </c>
      <c r="D11" s="276"/>
      <c r="E11" s="629"/>
      <c r="I11" s="269"/>
    </row>
    <row r="12" spans="1:9" ht="15.75" customHeight="1" thickBot="1" x14ac:dyDescent="0.3">
      <c r="A12" s="51"/>
      <c r="B12" s="24" t="s">
        <v>286</v>
      </c>
      <c r="C12" s="24"/>
      <c r="D12" s="24"/>
      <c r="E12" s="52"/>
      <c r="F12" s="24"/>
      <c r="G12" s="24"/>
      <c r="H12" s="24"/>
      <c r="I12" s="52"/>
    </row>
    <row r="13" spans="1:9" ht="15.75" customHeight="1" thickBot="1" x14ac:dyDescent="0.3">
      <c r="A13" s="50"/>
      <c r="I13" s="269"/>
    </row>
    <row r="14" spans="1:9" ht="15.75" customHeight="1" thickBot="1" x14ac:dyDescent="0.3">
      <c r="A14" s="602" t="s">
        <v>32</v>
      </c>
      <c r="B14" s="601" t="s">
        <v>287</v>
      </c>
      <c r="I14" s="269"/>
    </row>
    <row r="15" spans="1:9" x14ac:dyDescent="0.25">
      <c r="A15" s="628"/>
      <c r="B15" s="49" t="s">
        <v>288</v>
      </c>
      <c r="C15" s="627"/>
      <c r="D15" s="627"/>
      <c r="E15" s="49"/>
      <c r="F15" s="49"/>
      <c r="G15" s="49"/>
      <c r="H15" s="626" t="s">
        <v>34</v>
      </c>
      <c r="I15" s="625">
        <f ca="1">+SUM(FTBLANK:PTBLANKE!N19)</f>
        <v>15</v>
      </c>
    </row>
    <row r="16" spans="1:9" ht="15.75" customHeight="1" thickBot="1" x14ac:dyDescent="0.3">
      <c r="A16" s="51"/>
      <c r="B16" s="24" t="s">
        <v>289</v>
      </c>
      <c r="C16" s="24"/>
      <c r="D16" s="24"/>
      <c r="E16" s="24"/>
      <c r="F16" s="24"/>
      <c r="G16" s="24"/>
      <c r="H16" s="624" t="s">
        <v>290</v>
      </c>
      <c r="I16" s="623">
        <f ca="1">+SUM(FTBLANK:PTBLANKE!N20)</f>
        <v>4</v>
      </c>
    </row>
    <row r="17" spans="1:19" ht="15.75" customHeight="1" thickBot="1" x14ac:dyDescent="0.3">
      <c r="A17" s="50"/>
      <c r="I17" s="269"/>
      <c r="S17" s="77"/>
    </row>
    <row r="18" spans="1:19" ht="15.75" customHeight="1" thickBot="1" x14ac:dyDescent="0.3">
      <c r="A18" s="602" t="s">
        <v>35</v>
      </c>
      <c r="B18" s="601" t="s">
        <v>36</v>
      </c>
      <c r="I18" s="269"/>
    </row>
    <row r="19" spans="1:19" x14ac:dyDescent="0.25">
      <c r="A19" s="48"/>
      <c r="B19" s="49" t="s">
        <v>38</v>
      </c>
      <c r="C19" s="49"/>
      <c r="D19" s="49"/>
      <c r="E19" s="49"/>
      <c r="F19" s="49"/>
      <c r="G19" s="617" t="s">
        <v>39</v>
      </c>
      <c r="H19" s="622">
        <f ca="1">+TRUNC(SUM(FTBLANK:FTBLANKE!Z4),0)</f>
        <v>47076</v>
      </c>
      <c r="I19" s="622"/>
    </row>
    <row r="20" spans="1:19" x14ac:dyDescent="0.25">
      <c r="A20" s="50"/>
      <c r="B20" t="s">
        <v>291</v>
      </c>
      <c r="G20" s="609" t="s">
        <v>292</v>
      </c>
      <c r="H20" s="621">
        <f ca="1">+SUM(FTBLANK:PTBLANKE!AD4)</f>
        <v>0</v>
      </c>
      <c r="I20" s="621"/>
    </row>
    <row r="21" spans="1:19" x14ac:dyDescent="0.25">
      <c r="A21" s="50"/>
      <c r="B21" t="s">
        <v>42</v>
      </c>
      <c r="G21" s="609" t="s">
        <v>43</v>
      </c>
      <c r="H21" s="621">
        <v>0</v>
      </c>
      <c r="I21" s="621"/>
    </row>
    <row r="22" spans="1:19" x14ac:dyDescent="0.25">
      <c r="A22" s="50"/>
      <c r="B22" t="s">
        <v>293</v>
      </c>
      <c r="G22" s="609" t="s">
        <v>45</v>
      </c>
      <c r="H22" s="620">
        <f ca="1">+TRUNC(SUM(PTBLANK:PTBLANKE!Z4),0)</f>
        <v>1186</v>
      </c>
      <c r="I22" s="269"/>
    </row>
    <row r="23" spans="1:19" x14ac:dyDescent="0.25">
      <c r="A23" s="50"/>
      <c r="B23" t="s">
        <v>294</v>
      </c>
      <c r="G23" s="609" t="s">
        <v>47</v>
      </c>
      <c r="H23" s="620">
        <v>0</v>
      </c>
      <c r="I23" s="269"/>
    </row>
    <row r="24" spans="1:19" ht="15.75" customHeight="1" thickBot="1" x14ac:dyDescent="0.3">
      <c r="A24" s="51"/>
      <c r="B24" s="605" t="s">
        <v>48</v>
      </c>
      <c r="C24" s="605"/>
      <c r="D24" s="605"/>
      <c r="E24" s="605"/>
      <c r="F24" s="605"/>
      <c r="G24" s="604" t="s">
        <v>49</v>
      </c>
      <c r="H24" s="619">
        <f ca="1">+SUM(H19:H23)</f>
        <v>48262</v>
      </c>
      <c r="I24" s="52"/>
    </row>
    <row r="25" spans="1:19" ht="15.75" customHeight="1" thickBot="1" x14ac:dyDescent="0.3">
      <c r="A25" s="50"/>
      <c r="I25" s="269"/>
    </row>
    <row r="26" spans="1:19" ht="15.75" customHeight="1" thickBot="1" x14ac:dyDescent="0.3">
      <c r="A26" s="602" t="s">
        <v>50</v>
      </c>
      <c r="B26" s="618" t="s">
        <v>295</v>
      </c>
      <c r="C26" s="592"/>
      <c r="D26" s="601"/>
      <c r="I26" s="269"/>
    </row>
    <row r="27" spans="1:19" x14ac:dyDescent="0.25">
      <c r="A27" s="48"/>
      <c r="B27" s="49" t="s">
        <v>296</v>
      </c>
      <c r="C27" s="49"/>
      <c r="D27" s="49"/>
      <c r="E27" s="49"/>
      <c r="F27" s="49"/>
      <c r="G27" s="617" t="s">
        <v>53</v>
      </c>
      <c r="H27" s="616">
        <f ca="1">+TRUNC(SUM(FTBLANK:FTBLANKE!AA4),0)</f>
        <v>7656</v>
      </c>
      <c r="I27" s="615"/>
      <c r="J27" s="606"/>
    </row>
    <row r="28" spans="1:19" x14ac:dyDescent="0.25">
      <c r="A28" s="50"/>
      <c r="B28" t="s">
        <v>54</v>
      </c>
      <c r="G28" s="609" t="s">
        <v>55</v>
      </c>
      <c r="H28" s="608">
        <f ca="1">+TRUNC(SUM(FTBLANK:FTBLANKE!AE4),0)</f>
        <v>0</v>
      </c>
      <c r="I28" s="607"/>
      <c r="J28" s="610"/>
    </row>
    <row r="29" spans="1:19" x14ac:dyDescent="0.25">
      <c r="A29" s="50"/>
      <c r="B29" t="s">
        <v>56</v>
      </c>
      <c r="G29" s="609" t="s">
        <v>57</v>
      </c>
      <c r="H29" s="608">
        <f ca="1">+TRUNC(SUM(PTBLANK:PTBLANKE!AA4),0)</f>
        <v>117</v>
      </c>
      <c r="I29" s="607"/>
      <c r="J29" s="610"/>
    </row>
    <row r="30" spans="1:19" x14ac:dyDescent="0.25">
      <c r="A30" s="50"/>
      <c r="B30" t="s">
        <v>58</v>
      </c>
      <c r="G30" s="609" t="s">
        <v>59</v>
      </c>
      <c r="H30" s="614">
        <v>0</v>
      </c>
      <c r="I30" s="607"/>
      <c r="J30" s="610"/>
    </row>
    <row r="31" spans="1:19" x14ac:dyDescent="0.25">
      <c r="A31" s="50"/>
      <c r="B31" s="613" t="s">
        <v>60</v>
      </c>
      <c r="C31" s="613"/>
      <c r="D31" s="613"/>
      <c r="E31" s="613"/>
      <c r="F31" s="613"/>
      <c r="G31" s="612" t="s">
        <v>61</v>
      </c>
      <c r="H31" s="611">
        <f ca="1">+SUM(H27:H30)</f>
        <v>7773</v>
      </c>
      <c r="I31" s="607"/>
      <c r="J31" s="610"/>
    </row>
    <row r="32" spans="1:19" x14ac:dyDescent="0.25">
      <c r="A32" s="50"/>
      <c r="B32" t="s">
        <v>195</v>
      </c>
      <c r="G32" s="609" t="s">
        <v>297</v>
      </c>
      <c r="H32" s="608">
        <f ca="1">+SUM(FTBLANK:PTBLANKE!AJ4)</f>
        <v>5177.119999999999</v>
      </c>
      <c r="I32" s="607"/>
      <c r="J32" s="606"/>
    </row>
    <row r="33" spans="1:10" x14ac:dyDescent="0.25">
      <c r="A33" s="50"/>
      <c r="B33" t="s">
        <v>298</v>
      </c>
      <c r="G33" s="609" t="s">
        <v>299</v>
      </c>
      <c r="H33" s="608">
        <f ca="1">+SUM(FTBLANK:PTBLANKE!AK4)</f>
        <v>77.709999999999994</v>
      </c>
      <c r="I33" s="607"/>
      <c r="J33" s="606"/>
    </row>
    <row r="34" spans="1:10" ht="15.75" customHeight="1" thickBot="1" x14ac:dyDescent="0.3">
      <c r="A34" s="51"/>
      <c r="B34" s="605" t="s">
        <v>300</v>
      </c>
      <c r="C34" s="605"/>
      <c r="D34" s="605"/>
      <c r="E34" s="605"/>
      <c r="F34" s="605"/>
      <c r="G34" s="604" t="s">
        <v>301</v>
      </c>
      <c r="H34" s="603">
        <f ca="1">+H31+H32+H33</f>
        <v>13027.829999999998</v>
      </c>
      <c r="I34" s="52"/>
    </row>
    <row r="35" spans="1:10" ht="15.75" customHeight="1" thickBot="1" x14ac:dyDescent="0.3">
      <c r="A35" s="50"/>
      <c r="I35" s="269"/>
    </row>
    <row r="36" spans="1:10" ht="15.75" customHeight="1" thickBot="1" x14ac:dyDescent="0.3">
      <c r="A36" s="602" t="s">
        <v>192</v>
      </c>
      <c r="B36" s="601" t="s">
        <v>302</v>
      </c>
      <c r="I36" s="269"/>
    </row>
    <row r="37" spans="1:10" ht="15.75" customHeight="1" x14ac:dyDescent="0.25">
      <c r="A37" s="48"/>
      <c r="B37" s="49" t="s">
        <v>303</v>
      </c>
      <c r="C37" s="600"/>
      <c r="D37" s="49" t="s">
        <v>304</v>
      </c>
      <c r="E37" s="49"/>
      <c r="F37" s="49" t="s">
        <v>62</v>
      </c>
      <c r="G37" s="49"/>
      <c r="H37" s="599">
        <f ca="1">+H34</f>
        <v>13027.829999999998</v>
      </c>
      <c r="I37" s="268"/>
    </row>
    <row r="38" spans="1:10" ht="15.7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98"/>
      <c r="H39" s="574"/>
      <c r="I39" s="597"/>
    </row>
    <row r="40" spans="1:10" ht="16.5" customHeight="1" x14ac:dyDescent="0.35">
      <c r="A40" s="50"/>
      <c r="B40" t="s">
        <v>307</v>
      </c>
      <c r="C40" t="s">
        <v>308</v>
      </c>
      <c r="E40" t="s">
        <v>309</v>
      </c>
      <c r="G40" s="596"/>
      <c r="H40" s="574"/>
      <c r="I40" s="595"/>
    </row>
    <row r="41" spans="1:10" ht="15.75" customHeight="1" thickBot="1" x14ac:dyDescent="0.3">
      <c r="A41" s="51"/>
      <c r="B41" s="24" t="s">
        <v>310</v>
      </c>
      <c r="C41" s="24" t="s">
        <v>210</v>
      </c>
      <c r="D41" s="24"/>
      <c r="E41" s="24" t="s">
        <v>311</v>
      </c>
      <c r="F41" s="966">
        <v>40022997054</v>
      </c>
      <c r="G41" s="915"/>
      <c r="H41" s="915"/>
      <c r="I41" s="52"/>
    </row>
    <row r="42" spans="1:10" ht="15.75" customHeight="1" thickBot="1" x14ac:dyDescent="0.3">
      <c r="A42" s="50"/>
      <c r="I42" s="269"/>
    </row>
    <row r="43" spans="1:10" ht="21.75" customHeight="1"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588"/>
      <c r="H46" s="768"/>
      <c r="I46" s="268"/>
    </row>
    <row r="47" spans="1:10" ht="15.75" customHeight="1" thickBot="1" x14ac:dyDescent="0.3">
      <c r="A47" s="51"/>
      <c r="B47" s="24"/>
      <c r="C47" s="586" t="s">
        <v>317</v>
      </c>
      <c r="D47" s="585"/>
      <c r="E47" s="584"/>
      <c r="F47" s="24"/>
      <c r="G47" s="775"/>
      <c r="H47" s="583"/>
      <c r="I47" s="52"/>
    </row>
    <row r="49" spans="2:7" ht="28.9" customHeight="1" thickBot="1" x14ac:dyDescent="0.3">
      <c r="B49" s="776"/>
    </row>
    <row r="50" spans="2:7" ht="15" customHeight="1" x14ac:dyDescent="0.25">
      <c r="B50" s="960" t="s">
        <v>318</v>
      </c>
      <c r="C50" s="958">
        <f ca="1">+H24+(0.5*H32)+H33</f>
        <v>50928.27</v>
      </c>
      <c r="D50" s="890"/>
      <c r="E50" s="890"/>
      <c r="F50" s="890"/>
      <c r="G50" s="953"/>
    </row>
    <row r="51" spans="2:7" ht="15" customHeight="1" x14ac:dyDescent="0.25">
      <c r="B51" s="961"/>
      <c r="C51" s="876"/>
      <c r="D51" s="876"/>
      <c r="E51" s="876"/>
      <c r="F51" s="876"/>
      <c r="G51" s="913"/>
    </row>
    <row r="52" spans="2:7" ht="15.75" customHeight="1" thickBot="1" x14ac:dyDescent="0.3">
      <c r="B52" s="962"/>
      <c r="C52" s="915"/>
      <c r="D52" s="915"/>
      <c r="E52" s="915"/>
      <c r="F52" s="915"/>
      <c r="G52" s="895"/>
    </row>
    <row r="59" spans="2:7" x14ac:dyDescent="0.25">
      <c r="B59" s="582"/>
    </row>
    <row r="66" ht="36" customHeight="1" x14ac:dyDescent="0.25"/>
    <row r="89" ht="14.45" customHeight="1" x14ac:dyDescent="0.25"/>
    <row r="122" spans="50:50" x14ac:dyDescent="0.25">
      <c r="AX122" t="s">
        <v>319</v>
      </c>
    </row>
  </sheetData>
  <mergeCells count="9">
    <mergeCell ref="C50:G52"/>
    <mergeCell ref="C9:D9"/>
    <mergeCell ref="B50:B52"/>
    <mergeCell ref="C8:D8"/>
    <mergeCell ref="B1:B3"/>
    <mergeCell ref="C10:D10"/>
    <mergeCell ref="C7:D7"/>
    <mergeCell ref="C5:E5"/>
    <mergeCell ref="F41:H41"/>
  </mergeCells>
  <pageMargins left="0.7" right="0.7" top="0.75" bottom="0.75" header="0.3" footer="0.3"/>
  <pageSetup paperSize="9" scale="18"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3">
    <tabColor theme="4" tint="0.59999389629810485"/>
    <pageSetUpPr fitToPage="1"/>
  </sheetPr>
  <dimension ref="A1:J52"/>
  <sheetViews>
    <sheetView workbookViewId="0"/>
  </sheetViews>
  <sheetFormatPr defaultRowHeight="15" x14ac:dyDescent="0.25"/>
  <cols>
    <col min="1" max="1" width="9.7109375" customWidth="1"/>
    <col min="2" max="2" width="19.42578125" customWidth="1"/>
    <col min="3" max="3" width="15.28515625" customWidth="1"/>
    <col min="5" max="5" width="10.5703125" bestFit="1" customWidth="1"/>
    <col min="6" max="6" width="3.140625" customWidth="1"/>
    <col min="7" max="7" width="8" customWidth="1"/>
    <col min="8" max="8" width="13.42578125" customWidth="1"/>
    <col min="9" max="9" width="14.140625" customWidth="1"/>
  </cols>
  <sheetData>
    <row r="1" spans="1:9" ht="13.9" customHeight="1" x14ac:dyDescent="0.25">
      <c r="A1" s="640">
        <f>+H7</f>
        <v>46054</v>
      </c>
      <c r="B1" s="963" t="s">
        <v>273</v>
      </c>
      <c r="C1" s="639" t="s">
        <v>1</v>
      </c>
      <c r="D1" s="639"/>
      <c r="E1" s="639"/>
      <c r="F1" s="639"/>
      <c r="G1" s="639"/>
      <c r="H1" s="639"/>
      <c r="I1" s="638"/>
    </row>
    <row r="2" spans="1:9" ht="14.45" customHeight="1" x14ac:dyDescent="0.25">
      <c r="A2" s="637"/>
      <c r="B2" s="876"/>
      <c r="C2" s="636" t="s">
        <v>274</v>
      </c>
      <c r="D2" s="636"/>
      <c r="E2" s="636"/>
      <c r="F2" s="636"/>
      <c r="G2" s="636"/>
      <c r="H2" s="636"/>
      <c r="I2" s="635"/>
    </row>
    <row r="3" spans="1:9" ht="12" customHeight="1" thickBot="1" x14ac:dyDescent="0.3">
      <c r="A3" s="50"/>
      <c r="B3" s="876"/>
      <c r="C3" s="636"/>
      <c r="D3" s="636"/>
      <c r="E3" s="636"/>
      <c r="F3" s="636"/>
      <c r="G3" s="636"/>
      <c r="H3" s="636"/>
      <c r="I3" s="635"/>
    </row>
    <row r="4" spans="1:9" ht="15.75" customHeight="1" thickBot="1" x14ac:dyDescent="0.3">
      <c r="A4" s="602" t="s">
        <v>3</v>
      </c>
      <c r="B4" s="601" t="s">
        <v>275</v>
      </c>
      <c r="G4" s="48" t="s">
        <v>276</v>
      </c>
      <c r="H4" s="49"/>
      <c r="I4" s="268"/>
    </row>
    <row r="5" spans="1:9" ht="15.75" customHeight="1" thickBot="1" x14ac:dyDescent="0.3">
      <c r="A5" s="25"/>
      <c r="B5" s="276" t="s">
        <v>206</v>
      </c>
      <c r="C5" s="965" t="s">
        <v>277</v>
      </c>
      <c r="D5" s="938"/>
      <c r="E5" s="926"/>
      <c r="G5" s="51" t="s">
        <v>9</v>
      </c>
      <c r="H5" s="634">
        <v>474436</v>
      </c>
      <c r="I5" s="52"/>
    </row>
    <row r="6" spans="1:9" x14ac:dyDescent="0.25">
      <c r="A6" s="50"/>
      <c r="B6" t="s">
        <v>278</v>
      </c>
      <c r="E6" s="269"/>
      <c r="G6" s="48" t="s">
        <v>279</v>
      </c>
      <c r="H6" s="49"/>
      <c r="I6" s="268"/>
    </row>
    <row r="7" spans="1:9" ht="15.75" customHeight="1" thickBot="1" x14ac:dyDescent="0.3">
      <c r="A7" s="50"/>
      <c r="B7" t="s">
        <v>280</v>
      </c>
      <c r="C7" s="959" t="s">
        <v>281</v>
      </c>
      <c r="D7" s="876"/>
      <c r="E7" s="269"/>
      <c r="G7" s="51" t="s">
        <v>13</v>
      </c>
      <c r="H7" s="633">
        <f>+DATA!A4</f>
        <v>46054</v>
      </c>
      <c r="I7" s="52"/>
    </row>
    <row r="8" spans="1:9" x14ac:dyDescent="0.25">
      <c r="A8" s="50"/>
      <c r="B8" t="s">
        <v>282</v>
      </c>
      <c r="C8" s="959" t="s">
        <v>283</v>
      </c>
      <c r="D8" s="876"/>
      <c r="E8" s="269"/>
      <c r="H8" s="632"/>
      <c r="I8" s="269"/>
    </row>
    <row r="9" spans="1:9" x14ac:dyDescent="0.25">
      <c r="A9" s="50"/>
      <c r="B9" t="s">
        <v>284</v>
      </c>
      <c r="C9" s="959" t="s">
        <v>210</v>
      </c>
      <c r="D9" s="876"/>
      <c r="E9" s="269"/>
      <c r="I9" s="269"/>
    </row>
    <row r="10" spans="1:9" ht="15.75" customHeight="1" thickBot="1" x14ac:dyDescent="0.3">
      <c r="A10" s="51"/>
      <c r="B10" s="24" t="s">
        <v>211</v>
      </c>
      <c r="C10" s="964"/>
      <c r="D10" s="915"/>
      <c r="E10" s="52"/>
      <c r="I10" s="269"/>
    </row>
    <row r="11" spans="1:9" ht="15.75" customHeight="1" thickBot="1" x14ac:dyDescent="0.3">
      <c r="A11" s="25"/>
      <c r="B11" s="276" t="s">
        <v>285</v>
      </c>
      <c r="C11" s="630">
        <v>21826685</v>
      </c>
      <c r="D11" s="276"/>
      <c r="E11" s="629"/>
      <c r="I11" s="269"/>
    </row>
    <row r="12" spans="1:9" ht="15.75" customHeight="1" thickBot="1" x14ac:dyDescent="0.3">
      <c r="A12" s="51"/>
      <c r="B12" s="24" t="s">
        <v>286</v>
      </c>
      <c r="C12" s="24"/>
      <c r="D12" s="24"/>
      <c r="E12" s="52"/>
      <c r="F12" s="24"/>
      <c r="G12" s="24"/>
      <c r="H12" s="24"/>
      <c r="I12" s="52"/>
    </row>
    <row r="13" spans="1:9" ht="15.75" customHeight="1" thickBot="1" x14ac:dyDescent="0.3">
      <c r="A13" s="50"/>
      <c r="I13" s="269"/>
    </row>
    <row r="14" spans="1:9" ht="15.75" customHeight="1" thickBot="1" x14ac:dyDescent="0.3">
      <c r="A14" s="602" t="s">
        <v>32</v>
      </c>
      <c r="B14" s="601" t="s">
        <v>287</v>
      </c>
      <c r="I14" s="269"/>
    </row>
    <row r="15" spans="1:9" x14ac:dyDescent="0.25">
      <c r="A15" s="48"/>
      <c r="B15" s="49" t="s">
        <v>288</v>
      </c>
      <c r="C15" s="49"/>
      <c r="D15" s="49"/>
      <c r="E15" s="49"/>
      <c r="F15" s="49"/>
      <c r="G15" s="49"/>
      <c r="H15" s="626" t="s">
        <v>34</v>
      </c>
      <c r="I15" s="625">
        <f ca="1">+SUM(FTBLANK:PTBLANKE!N29)</f>
        <v>16</v>
      </c>
    </row>
    <row r="16" spans="1:9" ht="15" customHeight="1" thickBot="1" x14ac:dyDescent="0.3">
      <c r="A16" s="51"/>
      <c r="B16" s="24" t="s">
        <v>289</v>
      </c>
      <c r="C16" s="24"/>
      <c r="D16" s="24"/>
      <c r="E16" s="24"/>
      <c r="F16" s="24"/>
      <c r="G16" s="24"/>
      <c r="H16" s="624" t="s">
        <v>290</v>
      </c>
      <c r="I16" s="623">
        <f ca="1">+SUM(FTBLANK:PTBLANKE!N30)</f>
        <v>4</v>
      </c>
    </row>
    <row r="17" spans="1:10" ht="16.149999999999999"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+TRUNC(SUM(FTBLANK:FTBLANKE!Z5),0)</f>
        <v>47526</v>
      </c>
      <c r="I19" s="622"/>
    </row>
    <row r="20" spans="1:10" x14ac:dyDescent="0.25">
      <c r="A20" s="50"/>
      <c r="B20" t="s">
        <v>291</v>
      </c>
      <c r="C20">
        <v>4087</v>
      </c>
      <c r="G20" s="609" t="s">
        <v>292</v>
      </c>
      <c r="H20" s="621">
        <f ca="1">+SUM(FTBLANK:PTBLANKE!AD5)</f>
        <v>0</v>
      </c>
      <c r="I20" s="621"/>
    </row>
    <row r="21" spans="1:10" x14ac:dyDescent="0.25">
      <c r="A21" s="50"/>
      <c r="B21" t="s">
        <v>42</v>
      </c>
      <c r="G21" s="609" t="s">
        <v>43</v>
      </c>
      <c r="H21" s="621">
        <v>0</v>
      </c>
      <c r="I21" s="621"/>
    </row>
    <row r="22" spans="1:10" x14ac:dyDescent="0.25">
      <c r="A22" s="50"/>
      <c r="B22" t="s">
        <v>293</v>
      </c>
      <c r="G22" s="609" t="s">
        <v>45</v>
      </c>
      <c r="H22" s="620">
        <f ca="1">+TRUNC(SUM(PTBLANK:PTBLANKE!Z5),0)</f>
        <v>1316</v>
      </c>
      <c r="I22" s="269"/>
    </row>
    <row r="23" spans="1:10" x14ac:dyDescent="0.25">
      <c r="A23" s="50"/>
      <c r="B23" t="s">
        <v>294</v>
      </c>
      <c r="G23" s="609" t="s">
        <v>47</v>
      </c>
      <c r="H23" s="620">
        <v>0</v>
      </c>
      <c r="I23" s="269"/>
    </row>
    <row r="24" spans="1:10" ht="15.75" customHeight="1" thickBot="1" x14ac:dyDescent="0.3">
      <c r="A24" s="51"/>
      <c r="B24" s="605" t="s">
        <v>48</v>
      </c>
      <c r="C24" s="605"/>
      <c r="D24" s="605"/>
      <c r="E24" s="605"/>
      <c r="F24" s="605"/>
      <c r="G24" s="604" t="s">
        <v>49</v>
      </c>
      <c r="H24" s="619">
        <f ca="1">+SUM(H19:H23)</f>
        <v>48842</v>
      </c>
      <c r="I24" s="52"/>
    </row>
    <row r="25" spans="1:10" ht="15.7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+TRUNC(SUM(FTBLANK:FTBLANKE!AA5),0)</f>
        <v>7664</v>
      </c>
      <c r="I27" s="648"/>
      <c r="J27" s="646"/>
    </row>
    <row r="28" spans="1:10" x14ac:dyDescent="0.25">
      <c r="A28" s="50"/>
      <c r="B28" t="s">
        <v>54</v>
      </c>
      <c r="G28" s="609" t="s">
        <v>55</v>
      </c>
      <c r="H28" s="608">
        <f ca="1">+TRUNC(SUM(FTBLANK:FTBLANKE!AE5),0)</f>
        <v>0</v>
      </c>
      <c r="I28" s="647"/>
      <c r="J28" s="646"/>
    </row>
    <row r="29" spans="1:10" x14ac:dyDescent="0.25">
      <c r="A29" s="50"/>
      <c r="B29" t="s">
        <v>56</v>
      </c>
      <c r="G29" s="609" t="s">
        <v>57</v>
      </c>
      <c r="H29" s="608">
        <f ca="1">+TRUNC(SUM(PTBLANK:PTBLANKE!AA5),0)</f>
        <v>129</v>
      </c>
      <c r="I29" s="647"/>
      <c r="J29" s="646"/>
    </row>
    <row r="30" spans="1:10" x14ac:dyDescent="0.25">
      <c r="A30" s="50"/>
      <c r="B30" t="s">
        <v>58</v>
      </c>
      <c r="G30" s="609" t="s">
        <v>59</v>
      </c>
      <c r="H30" s="614">
        <v>0</v>
      </c>
      <c r="I30" s="647"/>
      <c r="J30" s="646"/>
    </row>
    <row r="31" spans="1:10" x14ac:dyDescent="0.25">
      <c r="A31" s="50"/>
      <c r="B31" s="613" t="s">
        <v>60</v>
      </c>
      <c r="C31" s="613"/>
      <c r="D31" s="613"/>
      <c r="E31" s="613"/>
      <c r="F31" s="613"/>
      <c r="G31" s="612" t="s">
        <v>61</v>
      </c>
      <c r="H31" s="611">
        <f ca="1">+SUM(H27:H30)</f>
        <v>7793</v>
      </c>
      <c r="I31" s="647"/>
      <c r="J31" s="646"/>
    </row>
    <row r="32" spans="1:10" x14ac:dyDescent="0.25">
      <c r="A32" s="50"/>
      <c r="B32" t="s">
        <v>195</v>
      </c>
      <c r="G32" s="609" t="s">
        <v>297</v>
      </c>
      <c r="H32" s="608">
        <f ca="1">+SUM(FTBLANK:PTBLANKE!AJ5)</f>
        <v>5305.119999999999</v>
      </c>
      <c r="I32" s="647"/>
      <c r="J32" s="646"/>
    </row>
    <row r="33" spans="1:10" x14ac:dyDescent="0.25">
      <c r="A33" s="50"/>
      <c r="B33" t="s">
        <v>298</v>
      </c>
      <c r="G33" s="609" t="s">
        <v>299</v>
      </c>
      <c r="H33" s="608">
        <f ca="1">+SUM(FTBLANK:PTBLANKE!AK5)</f>
        <v>79.63</v>
      </c>
      <c r="I33" s="647"/>
      <c r="J33" s="646"/>
    </row>
    <row r="34" spans="1:10" ht="15.75" customHeight="1" thickBot="1" x14ac:dyDescent="0.3">
      <c r="A34" s="51"/>
      <c r="B34" s="605" t="s">
        <v>300</v>
      </c>
      <c r="C34" s="605"/>
      <c r="D34" s="605"/>
      <c r="E34" s="605"/>
      <c r="F34" s="605"/>
      <c r="G34" s="604" t="s">
        <v>301</v>
      </c>
      <c r="H34" s="603">
        <f ca="1">+H31+H32+H33</f>
        <v>13177.749999999998</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599">
        <f ca="1">+H34</f>
        <v>13177.749999999998</v>
      </c>
      <c r="I37" s="268"/>
      <c r="J37" s="645"/>
    </row>
    <row r="38" spans="1:10" ht="15.75" customHeight="1" thickBot="1" x14ac:dyDescent="0.3">
      <c r="A38" s="51"/>
      <c r="B38" s="24"/>
      <c r="C38" s="24"/>
      <c r="D38" s="24"/>
      <c r="E38" s="24"/>
      <c r="F38" s="24"/>
      <c r="G38" s="24"/>
      <c r="H38" s="24"/>
      <c r="I38" s="52"/>
    </row>
    <row r="39" spans="1:10" ht="14.45" customHeight="1" x14ac:dyDescent="0.35">
      <c r="A39" s="48"/>
      <c r="B39" s="592" t="s">
        <v>305</v>
      </c>
      <c r="C39" s="49"/>
      <c r="D39" s="49" t="s">
        <v>306</v>
      </c>
      <c r="E39" s="49"/>
      <c r="F39" s="49" t="s">
        <v>64</v>
      </c>
      <c r="G39" s="644"/>
      <c r="H39" s="574"/>
      <c r="I39" s="268"/>
    </row>
    <row r="40" spans="1:10" ht="16.5" customHeight="1" x14ac:dyDescent="0.35">
      <c r="A40" s="50"/>
      <c r="B40" t="s">
        <v>307</v>
      </c>
      <c r="C40" t="s">
        <v>308</v>
      </c>
      <c r="E40" t="s">
        <v>309</v>
      </c>
      <c r="H40" s="574"/>
      <c r="I40" s="269"/>
    </row>
    <row r="41" spans="1:10" ht="15.75" customHeight="1" thickBot="1" x14ac:dyDescent="0.3">
      <c r="A41" s="51"/>
      <c r="B41" s="24" t="s">
        <v>310</v>
      </c>
      <c r="C41" s="24" t="s">
        <v>210</v>
      </c>
      <c r="D41" s="24"/>
      <c r="E41" s="24" t="s">
        <v>311</v>
      </c>
      <c r="F41" s="966">
        <v>40022997054</v>
      </c>
      <c r="G41" s="915"/>
      <c r="H41" s="915"/>
      <c r="I41" s="52"/>
    </row>
    <row r="42" spans="1:10" ht="15.75" customHeight="1" thickBot="1" x14ac:dyDescent="0.3">
      <c r="A42" s="50"/>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753"/>
      <c r="H46" s="772"/>
      <c r="I46" s="268"/>
    </row>
    <row r="47" spans="1:10" ht="15.75" customHeight="1" thickBot="1" x14ac:dyDescent="0.3">
      <c r="A47" s="51"/>
      <c r="B47" s="24"/>
      <c r="C47" s="586" t="s">
        <v>317</v>
      </c>
      <c r="D47" s="585"/>
      <c r="E47" s="643"/>
      <c r="F47" s="24"/>
      <c r="G47" s="774"/>
      <c r="H47" s="752"/>
      <c r="I47" s="52"/>
    </row>
    <row r="48" spans="1:10" x14ac:dyDescent="0.25">
      <c r="H48" s="642"/>
    </row>
    <row r="49" spans="2:9" ht="15.75" customHeight="1" thickBot="1" x14ac:dyDescent="0.3">
      <c r="B49" s="749"/>
      <c r="C49" s="641"/>
      <c r="D49" s="641"/>
      <c r="E49" s="641"/>
      <c r="F49" s="641"/>
      <c r="G49" s="641"/>
      <c r="H49" s="641"/>
      <c r="I49" s="641"/>
    </row>
    <row r="50" spans="2:9" ht="15" customHeight="1" x14ac:dyDescent="0.25">
      <c r="B50" s="960" t="s">
        <v>318</v>
      </c>
      <c r="C50" s="958">
        <f ca="1">+H24+(0.5*H32)+H33</f>
        <v>51574.189999999995</v>
      </c>
      <c r="D50" s="890"/>
      <c r="E50" s="890"/>
      <c r="F50" s="890"/>
      <c r="G50" s="953"/>
    </row>
    <row r="51" spans="2:9" ht="15" customHeight="1" x14ac:dyDescent="0.25">
      <c r="B51" s="961"/>
      <c r="C51" s="876"/>
      <c r="D51" s="876"/>
      <c r="E51" s="876"/>
      <c r="F51" s="876"/>
      <c r="G51" s="913"/>
    </row>
    <row r="52" spans="2:9" ht="15.75" customHeight="1" thickBot="1" x14ac:dyDescent="0.3">
      <c r="B52" s="962"/>
      <c r="C52" s="915"/>
      <c r="D52" s="915"/>
      <c r="E52" s="915"/>
      <c r="F52" s="915"/>
      <c r="G52" s="895"/>
    </row>
  </sheetData>
  <mergeCells count="9">
    <mergeCell ref="C50:G52"/>
    <mergeCell ref="C9:D9"/>
    <mergeCell ref="B50:B52"/>
    <mergeCell ref="C8:D8"/>
    <mergeCell ref="B1:B3"/>
    <mergeCell ref="C10:D10"/>
    <mergeCell ref="C7:D7"/>
    <mergeCell ref="C5:E5"/>
    <mergeCell ref="F41:H41"/>
  </mergeCells>
  <pageMargins left="0.7" right="0.7" top="0.75" bottom="0.75" header="0.3" footer="0.3"/>
  <pageSetup paperSize="9" scale="10"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4">
    <tabColor theme="4" tint="0.59999389629810485"/>
    <pageSetUpPr fitToPage="1"/>
  </sheetPr>
  <dimension ref="A1:J52"/>
  <sheetViews>
    <sheetView workbookViewId="0"/>
  </sheetViews>
  <sheetFormatPr defaultRowHeight="15" x14ac:dyDescent="0.25"/>
  <cols>
    <col min="1" max="1" width="10" customWidth="1"/>
    <col min="2" max="2" width="19.42578125" customWidth="1"/>
    <col min="3" max="3" width="15.28515625" customWidth="1"/>
    <col min="5" max="5" width="10.7109375" bestFit="1" customWidth="1"/>
    <col min="6" max="6" width="3.140625" customWidth="1"/>
    <col min="7" max="7" width="8" customWidth="1"/>
    <col min="8" max="8" width="13.42578125" customWidth="1"/>
    <col min="9" max="9" width="13.140625" customWidth="1"/>
    <col min="20" max="20" width="15.42578125" customWidth="1"/>
  </cols>
  <sheetData>
    <row r="1" spans="1:9" ht="13.9" customHeight="1" x14ac:dyDescent="0.25">
      <c r="A1" s="640">
        <f>+H7</f>
        <v>46082</v>
      </c>
      <c r="B1" s="963" t="s">
        <v>273</v>
      </c>
      <c r="C1" s="639" t="s">
        <v>1</v>
      </c>
      <c r="D1" s="639"/>
      <c r="E1" s="639"/>
      <c r="F1" s="639"/>
      <c r="G1" s="639"/>
      <c r="H1" s="639"/>
      <c r="I1" s="638"/>
    </row>
    <row r="2" spans="1:9" ht="14.45" customHeight="1" x14ac:dyDescent="0.25">
      <c r="A2" s="637"/>
      <c r="B2" s="876"/>
      <c r="C2" s="636" t="s">
        <v>274</v>
      </c>
      <c r="D2" s="636"/>
      <c r="E2" s="636"/>
      <c r="F2" s="636"/>
      <c r="G2" s="636"/>
      <c r="H2" s="636"/>
      <c r="I2" s="635"/>
    </row>
    <row r="3" spans="1:9" ht="12" customHeight="1" thickBot="1" x14ac:dyDescent="0.3">
      <c r="A3" s="50"/>
      <c r="B3" s="876"/>
      <c r="C3" s="636"/>
      <c r="D3" s="636"/>
      <c r="E3" s="636"/>
      <c r="F3" s="636"/>
      <c r="G3" s="636"/>
      <c r="H3" s="636"/>
      <c r="I3" s="635"/>
    </row>
    <row r="4" spans="1:9" ht="15.75" customHeight="1" thickBot="1" x14ac:dyDescent="0.3">
      <c r="A4" s="602" t="s">
        <v>3</v>
      </c>
      <c r="B4" s="601" t="s">
        <v>275</v>
      </c>
      <c r="G4" s="48" t="s">
        <v>276</v>
      </c>
      <c r="H4" s="49"/>
      <c r="I4" s="268"/>
    </row>
    <row r="5" spans="1:9" ht="15.75" customHeight="1" thickBot="1" x14ac:dyDescent="0.3">
      <c r="A5" s="25"/>
      <c r="B5" s="276" t="s">
        <v>206</v>
      </c>
      <c r="C5" s="965" t="s">
        <v>277</v>
      </c>
      <c r="D5" s="938"/>
      <c r="E5" s="926"/>
      <c r="G5" s="51" t="s">
        <v>9</v>
      </c>
      <c r="H5" s="634">
        <v>474436</v>
      </c>
      <c r="I5" s="52"/>
    </row>
    <row r="6" spans="1:9" x14ac:dyDescent="0.25">
      <c r="A6" s="50"/>
      <c r="B6" t="s">
        <v>278</v>
      </c>
      <c r="E6" s="269"/>
      <c r="G6" s="48" t="s">
        <v>279</v>
      </c>
      <c r="H6" s="49"/>
      <c r="I6" s="268"/>
    </row>
    <row r="7" spans="1:9" ht="15.75" customHeight="1" thickBot="1" x14ac:dyDescent="0.3">
      <c r="A7" s="50"/>
      <c r="B7" t="s">
        <v>280</v>
      </c>
      <c r="C7" s="959" t="s">
        <v>281</v>
      </c>
      <c r="D7" s="876"/>
      <c r="E7" s="269"/>
      <c r="G7" s="51" t="s">
        <v>13</v>
      </c>
      <c r="H7" s="633">
        <f>+DATA!A5</f>
        <v>46082</v>
      </c>
      <c r="I7" s="52"/>
    </row>
    <row r="8" spans="1:9" x14ac:dyDescent="0.25">
      <c r="A8" s="50"/>
      <c r="B8" t="s">
        <v>282</v>
      </c>
      <c r="C8" s="959" t="s">
        <v>283</v>
      </c>
      <c r="D8" s="876"/>
      <c r="E8" s="269"/>
      <c r="H8" s="632"/>
      <c r="I8" s="269"/>
    </row>
    <row r="9" spans="1:9" x14ac:dyDescent="0.25">
      <c r="A9" s="50"/>
      <c r="B9" t="s">
        <v>284</v>
      </c>
      <c r="C9" s="959" t="s">
        <v>210</v>
      </c>
      <c r="D9" s="876"/>
      <c r="E9" s="269"/>
      <c r="I9" s="269"/>
    </row>
    <row r="10" spans="1:9" ht="15.75" customHeight="1" thickBot="1" x14ac:dyDescent="0.3">
      <c r="A10" s="51"/>
      <c r="B10" s="24" t="s">
        <v>211</v>
      </c>
      <c r="C10" s="964"/>
      <c r="D10" s="915"/>
      <c r="E10" s="52"/>
      <c r="I10" s="269"/>
    </row>
    <row r="11" spans="1:9" ht="15.75" customHeight="1" thickBot="1" x14ac:dyDescent="0.3">
      <c r="A11" s="25"/>
      <c r="B11" s="276" t="s">
        <v>285</v>
      </c>
      <c r="C11" s="630">
        <v>21826685</v>
      </c>
      <c r="D11" s="276"/>
      <c r="E11" s="629"/>
      <c r="I11" s="269"/>
    </row>
    <row r="12" spans="1:9" ht="15.75" customHeight="1" thickBot="1" x14ac:dyDescent="0.3">
      <c r="A12" s="51"/>
      <c r="B12" s="24" t="s">
        <v>286</v>
      </c>
      <c r="C12" s="24"/>
      <c r="D12" s="24"/>
      <c r="E12" s="52"/>
      <c r="F12" s="24"/>
      <c r="G12" s="24"/>
      <c r="H12" s="24"/>
      <c r="I12" s="52"/>
    </row>
    <row r="13" spans="1:9" ht="15" customHeight="1" thickBot="1" x14ac:dyDescent="0.3">
      <c r="A13" s="50"/>
      <c r="I13" s="269"/>
    </row>
    <row r="14" spans="1:9" ht="28.9" customHeight="1" thickBot="1" x14ac:dyDescent="0.3">
      <c r="A14" s="602" t="s">
        <v>32</v>
      </c>
      <c r="B14" s="601" t="s">
        <v>287</v>
      </c>
      <c r="I14" s="269"/>
    </row>
    <row r="15" spans="1:9" ht="15" customHeight="1" x14ac:dyDescent="0.25">
      <c r="A15" s="48"/>
      <c r="B15" s="49" t="s">
        <v>288</v>
      </c>
      <c r="C15" s="49"/>
      <c r="D15" s="49"/>
      <c r="E15" s="49"/>
      <c r="F15" s="49"/>
      <c r="G15" s="49"/>
      <c r="H15" s="626" t="s">
        <v>34</v>
      </c>
      <c r="I15" s="625">
        <f ca="1">+SUM(FTBLANK:PTBLANKE!N39)</f>
        <v>15</v>
      </c>
    </row>
    <row r="16" spans="1:9" ht="28.15" customHeight="1" thickBot="1" x14ac:dyDescent="0.3">
      <c r="A16" s="51"/>
      <c r="B16" s="24" t="s">
        <v>289</v>
      </c>
      <c r="C16" s="24"/>
      <c r="D16" s="24"/>
      <c r="E16" s="24"/>
      <c r="F16" s="24"/>
      <c r="G16" s="24"/>
      <c r="H16" s="624" t="s">
        <v>290</v>
      </c>
      <c r="I16" s="623">
        <f ca="1">+SUM(FTBLANK:PTBLANKE!N40)</f>
        <v>4</v>
      </c>
    </row>
    <row r="17" spans="1:10" ht="16.149999999999999" customHeight="1" thickBot="1" x14ac:dyDescent="0.3">
      <c r="A17" s="50"/>
      <c r="I17" s="269"/>
    </row>
    <row r="18" spans="1:10" ht="15" customHeight="1" thickBot="1" x14ac:dyDescent="0.3">
      <c r="A18" s="602" t="s">
        <v>35</v>
      </c>
      <c r="B18" s="601" t="s">
        <v>36</v>
      </c>
      <c r="I18" s="269"/>
    </row>
    <row r="19" spans="1:10" x14ac:dyDescent="0.25">
      <c r="A19" s="48"/>
      <c r="B19" s="49" t="s">
        <v>38</v>
      </c>
      <c r="C19" s="49"/>
      <c r="D19" s="49"/>
      <c r="E19" s="49"/>
      <c r="F19" s="49"/>
      <c r="G19" s="617" t="s">
        <v>39</v>
      </c>
      <c r="H19" s="622">
        <f ca="1">+TRUNC(SUM(FTBLANK:FTBLANKE!Z6),0)</f>
        <v>47919</v>
      </c>
      <c r="I19" s="622"/>
    </row>
    <row r="20" spans="1:10" x14ac:dyDescent="0.25">
      <c r="A20" s="50"/>
      <c r="B20" t="s">
        <v>291</v>
      </c>
      <c r="G20" s="609" t="s">
        <v>292</v>
      </c>
      <c r="H20" s="621">
        <f ca="1">+SUM(FTBLANK:PTBLANKE!AD6)</f>
        <v>0</v>
      </c>
      <c r="I20" s="621"/>
    </row>
    <row r="21" spans="1:10" x14ac:dyDescent="0.25">
      <c r="A21" s="50"/>
      <c r="B21" t="s">
        <v>42</v>
      </c>
      <c r="G21" s="609" t="s">
        <v>43</v>
      </c>
      <c r="H21" s="621">
        <v>0</v>
      </c>
      <c r="I21" s="621"/>
    </row>
    <row r="22" spans="1:10" x14ac:dyDescent="0.25">
      <c r="A22" s="50"/>
      <c r="B22" t="s">
        <v>293</v>
      </c>
      <c r="G22" s="609" t="s">
        <v>45</v>
      </c>
      <c r="H22" s="620">
        <f ca="1">+TRUNC(SUM(PTBLANK:PTBLANKE!Z6),0)</f>
        <v>35</v>
      </c>
      <c r="I22" s="269"/>
    </row>
    <row r="23" spans="1:10" x14ac:dyDescent="0.25">
      <c r="A23" s="50"/>
      <c r="B23" t="s">
        <v>294</v>
      </c>
      <c r="G23" s="609" t="s">
        <v>47</v>
      </c>
      <c r="H23" s="620">
        <v>0</v>
      </c>
      <c r="I23" s="269"/>
    </row>
    <row r="24" spans="1:10" ht="15.75" customHeight="1" thickBot="1" x14ac:dyDescent="0.3">
      <c r="A24" s="51"/>
      <c r="B24" s="605" t="s">
        <v>48</v>
      </c>
      <c r="C24" s="605"/>
      <c r="D24" s="605"/>
      <c r="E24" s="605"/>
      <c r="F24" s="605"/>
      <c r="G24" s="604" t="s">
        <v>49</v>
      </c>
      <c r="H24" s="619">
        <f ca="1">+SUM(H19:H23)</f>
        <v>47954</v>
      </c>
      <c r="I24" s="52"/>
    </row>
    <row r="25" spans="1:10" ht="15.7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+TRUNC(SUM(FTBLANK:FTBLANKE!AA6),0)</f>
        <v>7838</v>
      </c>
      <c r="I27" s="648"/>
      <c r="J27" s="646"/>
    </row>
    <row r="28" spans="1:10" x14ac:dyDescent="0.25">
      <c r="A28" s="50"/>
      <c r="B28" t="s">
        <v>54</v>
      </c>
      <c r="G28" s="609" t="s">
        <v>55</v>
      </c>
      <c r="H28" s="608">
        <f ca="1">+TRUNC(SUM(FTBLANK:FTBLANKE!AE6),0)</f>
        <v>0</v>
      </c>
      <c r="I28" s="647"/>
      <c r="J28" s="646"/>
    </row>
    <row r="29" spans="1:10" x14ac:dyDescent="0.25">
      <c r="A29" s="50"/>
      <c r="B29" t="s">
        <v>56</v>
      </c>
      <c r="G29" s="609" t="s">
        <v>57</v>
      </c>
      <c r="H29" s="608">
        <f ca="1">+TRUNC(SUM(PTBLANK:PTBLANKE!AA6),0)</f>
        <v>2</v>
      </c>
      <c r="I29" s="647"/>
      <c r="J29" s="646"/>
    </row>
    <row r="30" spans="1:10" x14ac:dyDescent="0.25">
      <c r="A30" s="50"/>
      <c r="B30" t="s">
        <v>58</v>
      </c>
      <c r="G30" s="609" t="s">
        <v>59</v>
      </c>
      <c r="H30" s="614">
        <v>0</v>
      </c>
      <c r="I30" s="647"/>
      <c r="J30" s="646"/>
    </row>
    <row r="31" spans="1:10" x14ac:dyDescent="0.25">
      <c r="A31" s="50"/>
      <c r="B31" s="613" t="s">
        <v>60</v>
      </c>
      <c r="C31" s="613"/>
      <c r="D31" s="613"/>
      <c r="E31" s="613"/>
      <c r="F31" s="613"/>
      <c r="G31" s="612" t="s">
        <v>61</v>
      </c>
      <c r="H31" s="611">
        <f ca="1">+SUM(H27:H30)</f>
        <v>7840</v>
      </c>
      <c r="I31" s="647"/>
      <c r="J31" s="646"/>
    </row>
    <row r="32" spans="1:10" x14ac:dyDescent="0.25">
      <c r="A32" s="50"/>
      <c r="B32" t="s">
        <v>195</v>
      </c>
      <c r="G32" s="609" t="s">
        <v>297</v>
      </c>
      <c r="H32" s="608">
        <f ca="1">+SUM(FTBLANK:PTBLANKE!AJ6)</f>
        <v>6217.3599999999988</v>
      </c>
      <c r="I32" s="647"/>
      <c r="J32" s="646"/>
    </row>
    <row r="33" spans="1:10" x14ac:dyDescent="0.25">
      <c r="A33" s="50"/>
      <c r="B33" t="s">
        <v>298</v>
      </c>
      <c r="G33" s="609" t="s">
        <v>299</v>
      </c>
      <c r="H33" s="608">
        <f ca="1">+SUM(FTBLANK:PTBLANKE!AK6)</f>
        <v>93.329999999999984</v>
      </c>
      <c r="I33" s="647"/>
      <c r="J33" s="646"/>
    </row>
    <row r="34" spans="1:10" ht="15.75" customHeight="1" thickBot="1" x14ac:dyDescent="0.3">
      <c r="A34" s="51"/>
      <c r="B34" s="605" t="s">
        <v>300</v>
      </c>
      <c r="C34" s="605"/>
      <c r="D34" s="605"/>
      <c r="E34" s="605"/>
      <c r="F34" s="605"/>
      <c r="G34" s="604" t="s">
        <v>301</v>
      </c>
      <c r="H34" s="650">
        <f ca="1">+H31+H32+H33</f>
        <v>14150.689999999999</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649">
        <f ca="1">+H34+0.01</f>
        <v>14150.699999999999</v>
      </c>
      <c r="I37" s="747"/>
      <c r="J37" s="645"/>
    </row>
    <row r="38" spans="1:10" ht="15.7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94"/>
      <c r="H39" s="574"/>
      <c r="I39" s="268"/>
    </row>
    <row r="40" spans="1:10" ht="16.5" customHeight="1" x14ac:dyDescent="0.35">
      <c r="A40" s="50"/>
      <c r="B40" t="s">
        <v>307</v>
      </c>
      <c r="C40" t="s">
        <v>308</v>
      </c>
      <c r="E40" t="s">
        <v>309</v>
      </c>
      <c r="G40" s="574"/>
      <c r="H40" s="574"/>
      <c r="I40" s="269"/>
    </row>
    <row r="41" spans="1:10" ht="15.75" customHeight="1" thickBot="1" x14ac:dyDescent="0.3">
      <c r="A41" s="51"/>
      <c r="B41" s="24" t="s">
        <v>310</v>
      </c>
      <c r="C41" s="24" t="s">
        <v>210</v>
      </c>
      <c r="D41" s="24"/>
      <c r="E41" s="24" t="s">
        <v>311</v>
      </c>
      <c r="F41" s="966">
        <v>40022997054</v>
      </c>
      <c r="G41" s="915"/>
      <c r="H41" s="915"/>
      <c r="I41" s="52"/>
    </row>
    <row r="42" spans="1:10" ht="15.75" customHeight="1" thickBot="1" x14ac:dyDescent="0.3">
      <c r="A42" s="50"/>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754"/>
      <c r="H46" s="771"/>
      <c r="I46" s="268"/>
    </row>
    <row r="47" spans="1:10" ht="15.75" customHeight="1" thickBot="1" x14ac:dyDescent="0.3">
      <c r="A47" s="51"/>
      <c r="B47" s="24"/>
      <c r="C47" s="586" t="s">
        <v>317</v>
      </c>
      <c r="D47" s="585"/>
      <c r="E47" s="643"/>
      <c r="F47" s="24"/>
      <c r="G47" s="774"/>
      <c r="H47" s="752"/>
      <c r="I47" s="52"/>
    </row>
    <row r="48" spans="1:10" x14ac:dyDescent="0.25">
      <c r="H48" s="642"/>
    </row>
    <row r="49" spans="2:7" ht="15.75" customHeight="1" thickBot="1" x14ac:dyDescent="0.3">
      <c r="B49" s="749"/>
    </row>
    <row r="50" spans="2:7" ht="15" customHeight="1" x14ac:dyDescent="0.25">
      <c r="B50" s="960" t="s">
        <v>318</v>
      </c>
      <c r="C50" s="958">
        <f ca="1">+H24+(0.5*H32)+H33</f>
        <v>51156.01</v>
      </c>
      <c r="D50" s="890"/>
      <c r="E50" s="890"/>
      <c r="F50" s="890"/>
      <c r="G50" s="953"/>
    </row>
    <row r="51" spans="2:7" ht="15" customHeight="1" x14ac:dyDescent="0.25">
      <c r="B51" s="961"/>
      <c r="C51" s="876"/>
      <c r="D51" s="876"/>
      <c r="E51" s="876"/>
      <c r="F51" s="876"/>
      <c r="G51" s="913"/>
    </row>
    <row r="52" spans="2:7" ht="15.75" customHeight="1" thickBot="1" x14ac:dyDescent="0.3">
      <c r="B52" s="962"/>
      <c r="C52" s="915"/>
      <c r="D52" s="915"/>
      <c r="E52" s="915"/>
      <c r="F52" s="915"/>
      <c r="G52" s="895"/>
    </row>
  </sheetData>
  <mergeCells count="9">
    <mergeCell ref="C50:G52"/>
    <mergeCell ref="C9:D9"/>
    <mergeCell ref="B50:B52"/>
    <mergeCell ref="C8:D8"/>
    <mergeCell ref="B1:B3"/>
    <mergeCell ref="C10:D10"/>
    <mergeCell ref="C7:D7"/>
    <mergeCell ref="C5:E5"/>
    <mergeCell ref="F41:H41"/>
  </mergeCells>
  <pageMargins left="0.7" right="0.7" top="0.75" bottom="0.75" header="0.3" footer="0.3"/>
  <pageSetup paperSize="9" scale="10"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5">
    <tabColor theme="4" tint="0.59999389629810485"/>
    <pageSetUpPr fitToPage="1"/>
  </sheetPr>
  <dimension ref="A1:AJ52"/>
  <sheetViews>
    <sheetView workbookViewId="0"/>
  </sheetViews>
  <sheetFormatPr defaultRowHeight="15" x14ac:dyDescent="0.25"/>
  <cols>
    <col min="1" max="1" width="6.42578125" customWidth="1"/>
    <col min="2" max="2" width="19.42578125" customWidth="1"/>
    <col min="3" max="3" width="15.28515625" customWidth="1"/>
    <col min="5" max="5" width="10.7109375" bestFit="1" customWidth="1"/>
    <col min="6" max="6" width="3.140625" customWidth="1"/>
    <col min="7" max="7" width="8" customWidth="1"/>
    <col min="8" max="8" width="13.42578125" customWidth="1"/>
    <col min="9" max="9" width="5.7109375" customWidth="1"/>
  </cols>
  <sheetData>
    <row r="1" spans="1:36" ht="13.9" customHeight="1" x14ac:dyDescent="0.25">
      <c r="A1" s="640">
        <f>+H7</f>
        <v>46113</v>
      </c>
      <c r="B1" s="963" t="s">
        <v>273</v>
      </c>
      <c r="C1" s="639" t="s">
        <v>1</v>
      </c>
      <c r="D1" s="639"/>
      <c r="E1" s="639"/>
      <c r="F1" s="639"/>
      <c r="G1" s="639"/>
      <c r="H1" s="639"/>
      <c r="I1" s="638"/>
    </row>
    <row r="2" spans="1:36" ht="14.45" customHeight="1" x14ac:dyDescent="0.25">
      <c r="A2" s="637"/>
      <c r="B2" s="876"/>
      <c r="C2" s="636" t="s">
        <v>274</v>
      </c>
      <c r="D2" s="636"/>
      <c r="E2" s="636"/>
      <c r="F2" s="636"/>
      <c r="G2" s="636"/>
      <c r="H2" s="636"/>
      <c r="I2" s="635"/>
    </row>
    <row r="3" spans="1:36" ht="12" customHeight="1" thickBot="1" x14ac:dyDescent="0.3">
      <c r="A3" s="50"/>
      <c r="B3" s="876"/>
      <c r="C3" s="636"/>
      <c r="D3" s="636"/>
      <c r="E3" s="636"/>
      <c r="F3" s="636"/>
      <c r="G3" s="636"/>
      <c r="H3" s="636"/>
      <c r="I3" s="635"/>
    </row>
    <row r="4" spans="1:36" ht="15.75" customHeight="1" thickBot="1" x14ac:dyDescent="0.3">
      <c r="A4" s="602" t="s">
        <v>3</v>
      </c>
      <c r="B4" s="601" t="s">
        <v>275</v>
      </c>
      <c r="G4" s="48" t="s">
        <v>276</v>
      </c>
      <c r="H4" s="49"/>
      <c r="I4" s="268"/>
    </row>
    <row r="5" spans="1:36" ht="15.75" customHeight="1" thickBot="1" x14ac:dyDescent="0.3">
      <c r="A5" s="25"/>
      <c r="B5" s="276" t="s">
        <v>206</v>
      </c>
      <c r="C5" s="965" t="s">
        <v>277</v>
      </c>
      <c r="D5" s="938"/>
      <c r="E5" s="926"/>
      <c r="G5" s="51" t="s">
        <v>9</v>
      </c>
      <c r="H5" s="634">
        <v>474436</v>
      </c>
      <c r="I5" s="52"/>
    </row>
    <row r="6" spans="1:36" x14ac:dyDescent="0.25">
      <c r="A6" s="50"/>
      <c r="B6" t="s">
        <v>278</v>
      </c>
      <c r="E6" s="269"/>
      <c r="G6" s="48" t="s">
        <v>279</v>
      </c>
      <c r="H6" s="49"/>
      <c r="I6" s="268"/>
    </row>
    <row r="7" spans="1:36" ht="15.75" customHeight="1" thickBot="1" x14ac:dyDescent="0.3">
      <c r="A7" s="50"/>
      <c r="B7" t="s">
        <v>280</v>
      </c>
      <c r="C7" s="959" t="s">
        <v>281</v>
      </c>
      <c r="D7" s="876"/>
      <c r="E7" s="269"/>
      <c r="G7" s="51" t="s">
        <v>13</v>
      </c>
      <c r="H7" s="633">
        <f>+DATA!A6</f>
        <v>46113</v>
      </c>
      <c r="I7" s="52"/>
    </row>
    <row r="8" spans="1:36" x14ac:dyDescent="0.25">
      <c r="A8" s="50"/>
      <c r="B8" t="s">
        <v>282</v>
      </c>
      <c r="C8" s="959" t="s">
        <v>283</v>
      </c>
      <c r="D8" s="876"/>
      <c r="E8" s="269"/>
      <c r="H8" s="632"/>
      <c r="I8" s="269"/>
    </row>
    <row r="9" spans="1:36" x14ac:dyDescent="0.25">
      <c r="A9" s="50"/>
      <c r="B9" t="s">
        <v>284</v>
      </c>
      <c r="C9" s="959" t="s">
        <v>210</v>
      </c>
      <c r="D9" s="876"/>
      <c r="E9" s="269"/>
      <c r="I9" s="269"/>
    </row>
    <row r="10" spans="1:36" ht="15.75" customHeight="1" thickBot="1" x14ac:dyDescent="0.3">
      <c r="A10" s="51"/>
      <c r="B10" s="24" t="s">
        <v>211</v>
      </c>
      <c r="C10" s="964"/>
      <c r="D10" s="915"/>
      <c r="E10" s="52"/>
      <c r="I10" s="269"/>
    </row>
    <row r="11" spans="1:36" ht="15.75" customHeight="1" thickBot="1" x14ac:dyDescent="0.3">
      <c r="A11" s="25"/>
      <c r="B11" s="276" t="s">
        <v>285</v>
      </c>
      <c r="C11" s="630">
        <v>21826685</v>
      </c>
      <c r="D11" s="276"/>
      <c r="E11" s="629"/>
      <c r="I11" s="269"/>
    </row>
    <row r="12" spans="1:36" ht="15.75" customHeight="1" thickBot="1" x14ac:dyDescent="0.3">
      <c r="A12" s="51"/>
      <c r="B12" s="24" t="s">
        <v>286</v>
      </c>
      <c r="C12" s="24"/>
      <c r="D12" s="24"/>
      <c r="E12" s="52"/>
      <c r="F12" s="24"/>
      <c r="G12" s="24"/>
      <c r="H12" s="24"/>
      <c r="I12" s="52"/>
    </row>
    <row r="13" spans="1:36" ht="15.75" customHeight="1" thickBot="1" x14ac:dyDescent="0.3">
      <c r="A13" s="50"/>
      <c r="I13" s="269"/>
      <c r="W13" s="582"/>
      <c r="AD13" s="582"/>
      <c r="AE13" s="582"/>
      <c r="AF13" s="582"/>
      <c r="AG13" s="582"/>
      <c r="AH13" s="582"/>
      <c r="AI13" s="582"/>
      <c r="AJ13" s="582"/>
    </row>
    <row r="14" spans="1:36" ht="15.75" customHeight="1" thickBot="1" x14ac:dyDescent="0.3">
      <c r="A14" s="602" t="s">
        <v>32</v>
      </c>
      <c r="B14" s="601" t="s">
        <v>287</v>
      </c>
      <c r="I14" s="269"/>
    </row>
    <row r="15" spans="1:36" x14ac:dyDescent="0.25">
      <c r="A15" s="48"/>
      <c r="B15" s="49" t="s">
        <v>288</v>
      </c>
      <c r="C15" s="49"/>
      <c r="D15" s="49"/>
      <c r="E15" s="49"/>
      <c r="F15" s="49"/>
      <c r="G15" s="49"/>
      <c r="H15" s="626" t="s">
        <v>34</v>
      </c>
      <c r="I15" s="625">
        <f ca="1">+SUM(FTBLANK:PTBLANKE!N49)</f>
        <v>14</v>
      </c>
    </row>
    <row r="16" spans="1:36" ht="15.75" customHeight="1" thickBot="1" x14ac:dyDescent="0.3">
      <c r="A16" s="51"/>
      <c r="B16" s="24" t="s">
        <v>289</v>
      </c>
      <c r="C16" s="24"/>
      <c r="D16" s="24"/>
      <c r="E16" s="24"/>
      <c r="F16" s="24"/>
      <c r="G16" s="24"/>
      <c r="H16" s="624" t="s">
        <v>290</v>
      </c>
      <c r="I16" s="623">
        <f ca="1">+SUM(FTBLANK:PTBLANKE!N50)</f>
        <v>4</v>
      </c>
    </row>
    <row r="17" spans="1:10" ht="15.75"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+TRUNC(SUM(FTBLANK:FTBLANKE!Z7),0)</f>
        <v>45486</v>
      </c>
      <c r="I19" s="622"/>
    </row>
    <row r="20" spans="1:10" x14ac:dyDescent="0.25">
      <c r="A20" s="50"/>
      <c r="B20" t="s">
        <v>291</v>
      </c>
      <c r="G20" s="609" t="s">
        <v>292</v>
      </c>
      <c r="H20" s="621">
        <f ca="1">+SUM(FTBLANK:PTBLANKE!AD7)</f>
        <v>0</v>
      </c>
      <c r="I20" s="621"/>
    </row>
    <row r="21" spans="1:10" x14ac:dyDescent="0.25">
      <c r="A21" s="50"/>
      <c r="B21" t="s">
        <v>42</v>
      </c>
      <c r="G21" s="609" t="s">
        <v>43</v>
      </c>
      <c r="H21" s="621">
        <v>0</v>
      </c>
      <c r="I21" s="621"/>
    </row>
    <row r="22" spans="1:10" x14ac:dyDescent="0.25">
      <c r="A22" s="50"/>
      <c r="B22" t="s">
        <v>293</v>
      </c>
      <c r="G22" s="609" t="s">
        <v>45</v>
      </c>
      <c r="H22" s="620">
        <f ca="1">+TRUNC(SUM(PTBLANK:PTBLANKE!Z7),0)</f>
        <v>0</v>
      </c>
      <c r="I22" s="269"/>
    </row>
    <row r="23" spans="1:10" x14ac:dyDescent="0.25">
      <c r="A23" s="50"/>
      <c r="B23" t="s">
        <v>294</v>
      </c>
      <c r="G23" s="609" t="s">
        <v>47</v>
      </c>
      <c r="H23" s="620">
        <v>0</v>
      </c>
      <c r="I23" s="269"/>
    </row>
    <row r="24" spans="1:10" ht="15.75" customHeight="1" thickBot="1" x14ac:dyDescent="0.3">
      <c r="A24" s="51"/>
      <c r="B24" s="605" t="s">
        <v>48</v>
      </c>
      <c r="C24" s="605"/>
      <c r="D24" s="605"/>
      <c r="E24" s="605"/>
      <c r="F24" s="605"/>
      <c r="G24" s="604" t="s">
        <v>49</v>
      </c>
      <c r="H24" s="619">
        <f ca="1">+SUM(H19:H23)</f>
        <v>45486</v>
      </c>
      <c r="I24" s="52"/>
    </row>
    <row r="25" spans="1:10" ht="15.7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+TRUNC(SUM(FTBLANK:FTBLANKE!AA7),0)</f>
        <v>7436</v>
      </c>
      <c r="I27" s="648"/>
      <c r="J27" s="646"/>
    </row>
    <row r="28" spans="1:10" x14ac:dyDescent="0.25">
      <c r="A28" s="50"/>
      <c r="B28" t="s">
        <v>54</v>
      </c>
      <c r="G28" s="609" t="s">
        <v>55</v>
      </c>
      <c r="H28" s="608">
        <f ca="1">+TRUNC(SUM(FTBLANK:FTBLANKE!AE7),0)</f>
        <v>0</v>
      </c>
      <c r="I28" s="647"/>
      <c r="J28" s="646"/>
    </row>
    <row r="29" spans="1:10" x14ac:dyDescent="0.25">
      <c r="A29" s="50"/>
      <c r="B29" t="s">
        <v>56</v>
      </c>
      <c r="G29" s="609" t="s">
        <v>57</v>
      </c>
      <c r="H29" s="608">
        <f ca="1">+TRUNC(SUM(PTBLANK:PTBLANKE!AA7),0)</f>
        <v>0</v>
      </c>
      <c r="I29" s="647"/>
      <c r="J29" s="646"/>
    </row>
    <row r="30" spans="1:10" x14ac:dyDescent="0.25">
      <c r="A30" s="50"/>
      <c r="B30" t="s">
        <v>58</v>
      </c>
      <c r="G30" s="609" t="s">
        <v>59</v>
      </c>
      <c r="H30" s="614">
        <v>0</v>
      </c>
      <c r="I30" s="647"/>
      <c r="J30" s="646"/>
    </row>
    <row r="31" spans="1:10" x14ac:dyDescent="0.25">
      <c r="A31" s="50"/>
      <c r="B31" s="613" t="s">
        <v>60</v>
      </c>
      <c r="C31" s="613"/>
      <c r="D31" s="613"/>
      <c r="E31" s="613"/>
      <c r="F31" s="613"/>
      <c r="G31" s="612" t="s">
        <v>61</v>
      </c>
      <c r="H31" s="611">
        <f ca="1">+SUM(H27:H30)</f>
        <v>7436</v>
      </c>
      <c r="I31" s="647"/>
      <c r="J31" s="646"/>
    </row>
    <row r="32" spans="1:10" x14ac:dyDescent="0.25">
      <c r="A32" s="50"/>
      <c r="B32" t="s">
        <v>195</v>
      </c>
      <c r="G32" s="609" t="s">
        <v>297</v>
      </c>
      <c r="H32" s="608">
        <f ca="1">+SUM(FTBLANK:PTBLANKE!AJ7)</f>
        <v>4872.08</v>
      </c>
      <c r="I32" s="647"/>
      <c r="J32" s="646"/>
    </row>
    <row r="33" spans="1:10" x14ac:dyDescent="0.25">
      <c r="A33" s="50"/>
      <c r="B33" t="s">
        <v>298</v>
      </c>
      <c r="G33" s="609" t="s">
        <v>299</v>
      </c>
      <c r="H33" s="608">
        <f ca="1">+SUM(FTBLANK:PTBLANKE!AK7)</f>
        <v>73.13000000000001</v>
      </c>
      <c r="I33" s="647"/>
      <c r="J33" s="646"/>
    </row>
    <row r="34" spans="1:10" ht="15.75" customHeight="1" thickBot="1" x14ac:dyDescent="0.3">
      <c r="A34" s="51"/>
      <c r="B34" s="605" t="s">
        <v>300</v>
      </c>
      <c r="C34" s="605"/>
      <c r="D34" s="605"/>
      <c r="E34" s="605"/>
      <c r="F34" s="605"/>
      <c r="G34" s="604" t="s">
        <v>301</v>
      </c>
      <c r="H34" s="603">
        <f ca="1">+H31+H32+H33</f>
        <v>12381.21</v>
      </c>
      <c r="I34" s="52"/>
    </row>
    <row r="35" spans="1:10" ht="15.75" customHeight="1" thickBot="1" x14ac:dyDescent="0.3">
      <c r="A35" s="50"/>
      <c r="I35" s="269"/>
    </row>
    <row r="36" spans="1:10" ht="16.5" customHeight="1" thickBot="1" x14ac:dyDescent="0.3">
      <c r="A36" s="602" t="s">
        <v>192</v>
      </c>
      <c r="B36" s="601" t="s">
        <v>302</v>
      </c>
      <c r="I36" s="269"/>
    </row>
    <row r="37" spans="1:10" ht="16.5" customHeight="1" x14ac:dyDescent="0.25">
      <c r="A37" s="48"/>
      <c r="B37" s="49" t="s">
        <v>303</v>
      </c>
      <c r="C37" s="600"/>
      <c r="D37" s="49" t="s">
        <v>304</v>
      </c>
      <c r="E37" s="49"/>
      <c r="F37" s="49" t="s">
        <v>62</v>
      </c>
      <c r="G37" s="49"/>
      <c r="H37" s="599">
        <f ca="1">+H34</f>
        <v>12381.21</v>
      </c>
      <c r="I37" s="268"/>
    </row>
    <row r="38" spans="1:10" ht="15.7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74"/>
      <c r="H39" s="574"/>
      <c r="I39" s="268"/>
    </row>
    <row r="40" spans="1:10" ht="16.5" customHeight="1" x14ac:dyDescent="0.35">
      <c r="A40" s="50"/>
      <c r="B40" t="s">
        <v>307</v>
      </c>
      <c r="C40" t="s">
        <v>308</v>
      </c>
      <c r="E40" t="s">
        <v>309</v>
      </c>
      <c r="H40" s="574"/>
      <c r="I40" s="269"/>
    </row>
    <row r="41" spans="1:10" ht="15.75" customHeight="1" thickBot="1" x14ac:dyDescent="0.3">
      <c r="A41" s="51"/>
      <c r="B41" s="24" t="s">
        <v>310</v>
      </c>
      <c r="C41" s="24" t="s">
        <v>210</v>
      </c>
      <c r="D41" s="24"/>
      <c r="E41" s="24" t="s">
        <v>311</v>
      </c>
      <c r="F41" s="966">
        <v>40022997054</v>
      </c>
      <c r="G41" s="915"/>
      <c r="H41" s="915"/>
      <c r="I41" s="52"/>
    </row>
    <row r="42" spans="1:10" ht="15.75" customHeight="1" thickBot="1" x14ac:dyDescent="0.3">
      <c r="A42" s="50"/>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755"/>
      <c r="H46" s="769"/>
      <c r="I46" s="268"/>
    </row>
    <row r="47" spans="1:10" ht="15.75" customHeight="1" thickBot="1" x14ac:dyDescent="0.3">
      <c r="A47" s="51"/>
      <c r="B47" s="24"/>
      <c r="C47" s="586" t="s">
        <v>317</v>
      </c>
      <c r="D47" s="585"/>
      <c r="E47" s="643"/>
      <c r="F47" s="24"/>
      <c r="G47" s="774"/>
      <c r="H47" s="752"/>
      <c r="I47" s="52"/>
    </row>
    <row r="49" spans="2:8" ht="15.75" customHeight="1" thickBot="1" x14ac:dyDescent="0.3">
      <c r="B49" s="749"/>
      <c r="H49" s="651"/>
    </row>
    <row r="50" spans="2:8" ht="15" customHeight="1" x14ac:dyDescent="0.25">
      <c r="B50" s="960" t="s">
        <v>318</v>
      </c>
      <c r="C50" s="958">
        <f ca="1">+H24+(0.5*H32)+H33</f>
        <v>47995.17</v>
      </c>
      <c r="D50" s="890"/>
      <c r="E50" s="890"/>
      <c r="F50" s="890"/>
      <c r="G50" s="953"/>
    </row>
    <row r="51" spans="2:8" ht="15" customHeight="1" x14ac:dyDescent="0.25">
      <c r="B51" s="961"/>
      <c r="C51" s="876"/>
      <c r="D51" s="876"/>
      <c r="E51" s="876"/>
      <c r="F51" s="876"/>
      <c r="G51" s="913"/>
    </row>
    <row r="52" spans="2:8" ht="15.75" customHeight="1" thickBot="1" x14ac:dyDescent="0.3">
      <c r="B52" s="962"/>
      <c r="C52" s="915"/>
      <c r="D52" s="915"/>
      <c r="E52" s="915"/>
      <c r="F52" s="915"/>
      <c r="G52" s="895"/>
    </row>
  </sheetData>
  <mergeCells count="9">
    <mergeCell ref="C50:G52"/>
    <mergeCell ref="C9:D9"/>
    <mergeCell ref="B50:B52"/>
    <mergeCell ref="C8:D8"/>
    <mergeCell ref="B1:B3"/>
    <mergeCell ref="C10:D10"/>
    <mergeCell ref="C7:D7"/>
    <mergeCell ref="C5:E5"/>
    <mergeCell ref="F41:H41"/>
  </mergeCells>
  <pageMargins left="0.7" right="0.7" top="0.75" bottom="0.75" header="0.3" footer="0.3"/>
  <pageSetup paperSize="9" scale="11"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6">
    <tabColor theme="4" tint="0.59999389629810485"/>
    <pageSetUpPr fitToPage="1"/>
  </sheetPr>
  <dimension ref="A1:S71"/>
  <sheetViews>
    <sheetView workbookViewId="0"/>
  </sheetViews>
  <sheetFormatPr defaultRowHeight="15" x14ac:dyDescent="0.25"/>
  <cols>
    <col min="1" max="1" width="8" customWidth="1"/>
    <col min="2" max="2" width="19.42578125" customWidth="1"/>
    <col min="3" max="3" width="15.28515625" customWidth="1"/>
    <col min="5" max="5" width="10.7109375" bestFit="1" customWidth="1"/>
    <col min="6" max="6" width="3.140625" customWidth="1"/>
    <col min="7" max="7" width="8" customWidth="1"/>
    <col min="8" max="8" width="13.42578125" customWidth="1"/>
    <col min="9" max="9" width="11" customWidth="1"/>
  </cols>
  <sheetData>
    <row r="1" spans="1:11" ht="13.9" customHeight="1" x14ac:dyDescent="0.25">
      <c r="A1" s="640">
        <f>+H7</f>
        <v>46143</v>
      </c>
      <c r="B1" s="963" t="s">
        <v>273</v>
      </c>
      <c r="C1" s="639" t="s">
        <v>1</v>
      </c>
      <c r="D1" s="639"/>
      <c r="E1" s="639"/>
      <c r="F1" s="639"/>
      <c r="G1" s="639"/>
      <c r="H1" s="639"/>
      <c r="I1" s="638"/>
      <c r="K1" t="s">
        <v>320</v>
      </c>
    </row>
    <row r="2" spans="1:11" ht="14.45" customHeight="1" x14ac:dyDescent="0.25">
      <c r="A2" s="637"/>
      <c r="B2" s="876"/>
      <c r="C2" s="636" t="s">
        <v>274</v>
      </c>
      <c r="D2" s="636"/>
      <c r="E2" s="636"/>
      <c r="F2" s="636"/>
      <c r="G2" s="636"/>
      <c r="H2" s="636"/>
      <c r="I2" s="635"/>
      <c r="K2" s="749" t="s">
        <v>321</v>
      </c>
    </row>
    <row r="3" spans="1:11" ht="12" customHeight="1" thickBot="1" x14ac:dyDescent="0.3">
      <c r="A3" s="50"/>
      <c r="B3" s="876"/>
      <c r="C3" s="636"/>
      <c r="D3" s="636"/>
      <c r="E3" s="636"/>
      <c r="F3" s="636"/>
      <c r="G3" s="636"/>
      <c r="H3" s="636"/>
      <c r="I3" s="635"/>
    </row>
    <row r="4" spans="1:11" ht="16.5" customHeight="1" thickBot="1" x14ac:dyDescent="0.3">
      <c r="A4" s="602" t="s">
        <v>3</v>
      </c>
      <c r="B4" s="601" t="s">
        <v>275</v>
      </c>
      <c r="G4" s="48" t="s">
        <v>276</v>
      </c>
      <c r="H4" s="49"/>
      <c r="I4" s="268"/>
    </row>
    <row r="5" spans="1:11" ht="15.75" customHeight="1" thickBot="1" x14ac:dyDescent="0.3">
      <c r="A5" s="25"/>
      <c r="B5" s="276" t="s">
        <v>206</v>
      </c>
      <c r="C5" s="965" t="s">
        <v>277</v>
      </c>
      <c r="D5" s="938"/>
      <c r="E5" s="926"/>
      <c r="G5" s="51" t="s">
        <v>9</v>
      </c>
      <c r="H5" s="634">
        <v>474436</v>
      </c>
      <c r="I5" s="52"/>
    </row>
    <row r="6" spans="1:11" x14ac:dyDescent="0.25">
      <c r="A6" s="50"/>
      <c r="B6" t="s">
        <v>278</v>
      </c>
      <c r="E6" s="269"/>
      <c r="G6" s="48" t="s">
        <v>279</v>
      </c>
      <c r="H6" s="49"/>
      <c r="I6" s="268"/>
    </row>
    <row r="7" spans="1:11" ht="15.75" customHeight="1" thickBot="1" x14ac:dyDescent="0.3">
      <c r="A7" s="50"/>
      <c r="B7" t="s">
        <v>280</v>
      </c>
      <c r="C7" s="959" t="s">
        <v>281</v>
      </c>
      <c r="D7" s="876"/>
      <c r="E7" s="269"/>
      <c r="G7" s="51" t="s">
        <v>13</v>
      </c>
      <c r="H7" s="633">
        <f>+DATA!A7</f>
        <v>46143</v>
      </c>
      <c r="I7" s="52"/>
    </row>
    <row r="8" spans="1:11" x14ac:dyDescent="0.25">
      <c r="A8" s="50"/>
      <c r="B8" t="s">
        <v>282</v>
      </c>
      <c r="C8" s="959" t="s">
        <v>283</v>
      </c>
      <c r="D8" s="876"/>
      <c r="E8" s="269"/>
      <c r="H8" s="632"/>
      <c r="I8" s="269"/>
    </row>
    <row r="9" spans="1:11" ht="27" customHeight="1" x14ac:dyDescent="0.25">
      <c r="A9" s="50"/>
      <c r="B9" t="s">
        <v>284</v>
      </c>
      <c r="C9" s="959" t="s">
        <v>210</v>
      </c>
      <c r="D9" s="876"/>
      <c r="E9" s="269"/>
      <c r="I9" s="269"/>
    </row>
    <row r="10" spans="1:11" ht="15.75" customHeight="1" thickBot="1" x14ac:dyDescent="0.3">
      <c r="A10" s="51"/>
      <c r="B10" s="24" t="s">
        <v>211</v>
      </c>
      <c r="C10" s="964"/>
      <c r="D10" s="915"/>
      <c r="E10" s="52"/>
      <c r="I10" s="269"/>
    </row>
    <row r="11" spans="1:11" ht="15.75" customHeight="1" thickBot="1" x14ac:dyDescent="0.3">
      <c r="A11" s="25"/>
      <c r="B11" s="276" t="s">
        <v>285</v>
      </c>
      <c r="C11" s="630">
        <v>21826685</v>
      </c>
      <c r="D11" s="276"/>
      <c r="E11" s="629"/>
      <c r="I11" s="269"/>
    </row>
    <row r="12" spans="1:11" ht="15.75" customHeight="1" thickBot="1" x14ac:dyDescent="0.3">
      <c r="A12" s="51"/>
      <c r="B12" s="24" t="s">
        <v>286</v>
      </c>
      <c r="C12" s="24"/>
      <c r="D12" s="24"/>
      <c r="E12" s="52"/>
      <c r="F12" s="24"/>
      <c r="G12" s="24"/>
      <c r="H12" s="24"/>
      <c r="I12" s="52"/>
    </row>
    <row r="13" spans="1:11" ht="15.75" customHeight="1" thickBot="1" x14ac:dyDescent="0.3">
      <c r="A13" s="50"/>
      <c r="I13" s="269"/>
    </row>
    <row r="14" spans="1:11" ht="28.9" customHeight="1" thickBot="1" x14ac:dyDescent="0.3">
      <c r="A14" s="602" t="s">
        <v>32</v>
      </c>
      <c r="B14" s="601" t="s">
        <v>287</v>
      </c>
      <c r="I14" s="269"/>
    </row>
    <row r="15" spans="1:11" x14ac:dyDescent="0.25">
      <c r="A15" s="48"/>
      <c r="B15" s="49" t="s">
        <v>288</v>
      </c>
      <c r="C15" s="49"/>
      <c r="D15" s="49"/>
      <c r="E15" s="49"/>
      <c r="F15" s="49"/>
      <c r="G15" s="49"/>
      <c r="H15" s="626" t="s">
        <v>34</v>
      </c>
      <c r="I15" s="625">
        <f ca="1">+SUM(FTBLANK:PTBLANKE!N59)</f>
        <v>14</v>
      </c>
    </row>
    <row r="16" spans="1:11" ht="15.75" customHeight="1" thickBot="1" x14ac:dyDescent="0.3">
      <c r="A16" s="51"/>
      <c r="B16" s="24" t="s">
        <v>289</v>
      </c>
      <c r="C16" s="24"/>
      <c r="D16" s="24"/>
      <c r="E16" s="24"/>
      <c r="F16" s="24"/>
      <c r="G16" s="24"/>
      <c r="H16" s="624" t="s">
        <v>290</v>
      </c>
      <c r="I16" s="623">
        <f ca="1">+SUM(FTBLANK:PTBLANKE!N60)</f>
        <v>4</v>
      </c>
    </row>
    <row r="17" spans="1:10" ht="15.75"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+TRUNC(SUM(FTBLANK:FTBLANKE!Z8),0)</f>
        <v>45486</v>
      </c>
      <c r="I19" s="622"/>
    </row>
    <row r="20" spans="1:10" x14ac:dyDescent="0.25">
      <c r="A20" s="50"/>
      <c r="B20" t="s">
        <v>291</v>
      </c>
      <c r="G20" s="609" t="s">
        <v>292</v>
      </c>
      <c r="H20" s="621">
        <f ca="1">+SUM(FTBLANK:PTBLANKE!AD8)</f>
        <v>0</v>
      </c>
      <c r="I20" s="621"/>
    </row>
    <row r="21" spans="1:10" x14ac:dyDescent="0.25">
      <c r="A21" s="50"/>
      <c r="B21" t="s">
        <v>42</v>
      </c>
      <c r="G21" s="609" t="s">
        <v>43</v>
      </c>
      <c r="H21" s="621">
        <v>0</v>
      </c>
      <c r="I21" s="621"/>
    </row>
    <row r="22" spans="1:10" x14ac:dyDescent="0.25">
      <c r="A22" s="50"/>
      <c r="B22" t="s">
        <v>293</v>
      </c>
      <c r="G22" s="609" t="s">
        <v>45</v>
      </c>
      <c r="H22" s="620">
        <f ca="1">+TRUNC(SUM(PTBLANK:PTBLANKE!Z8),0)</f>
        <v>0</v>
      </c>
      <c r="I22" s="269"/>
    </row>
    <row r="23" spans="1:10" x14ac:dyDescent="0.25">
      <c r="A23" s="50"/>
      <c r="B23" t="s">
        <v>294</v>
      </c>
      <c r="G23" s="609" t="s">
        <v>47</v>
      </c>
      <c r="H23" s="620">
        <v>0</v>
      </c>
      <c r="I23" s="269"/>
    </row>
    <row r="24" spans="1:10" ht="15.75" customHeight="1" thickBot="1" x14ac:dyDescent="0.3">
      <c r="A24" s="51"/>
      <c r="B24" s="605" t="s">
        <v>48</v>
      </c>
      <c r="C24" s="605"/>
      <c r="D24" s="605"/>
      <c r="E24" s="605"/>
      <c r="F24" s="605"/>
      <c r="G24" s="604" t="s">
        <v>49</v>
      </c>
      <c r="H24" s="619">
        <f ca="1">+SUM(H19:H23)</f>
        <v>45486</v>
      </c>
      <c r="I24" s="52"/>
    </row>
    <row r="25" spans="1:10" ht="15.7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+TRUNC(SUM(FTBLANK:FTBLANKE!AA8),0)</f>
        <v>7436</v>
      </c>
      <c r="I27" s="648"/>
      <c r="J27" s="646"/>
    </row>
    <row r="28" spans="1:10" x14ac:dyDescent="0.25">
      <c r="A28" s="50"/>
      <c r="B28" t="s">
        <v>54</v>
      </c>
      <c r="G28" s="609" t="s">
        <v>55</v>
      </c>
      <c r="H28" s="608">
        <f ca="1">+TRUNC(SUM(FTBLANK:FTBLANKE!AE8),0)</f>
        <v>0</v>
      </c>
      <c r="I28" s="647"/>
      <c r="J28" s="646"/>
    </row>
    <row r="29" spans="1:10" x14ac:dyDescent="0.25">
      <c r="A29" s="50"/>
      <c r="B29" t="s">
        <v>56</v>
      </c>
      <c r="G29" s="609" t="s">
        <v>57</v>
      </c>
      <c r="H29" s="608">
        <f ca="1">+TRUNC(SUM(PTBLANK:PTBLANKE!AA8),0)</f>
        <v>0</v>
      </c>
      <c r="I29" s="647"/>
      <c r="J29" s="646"/>
    </row>
    <row r="30" spans="1:10" x14ac:dyDescent="0.25">
      <c r="A30" s="50"/>
      <c r="B30" t="s">
        <v>58</v>
      </c>
      <c r="G30" s="609" t="s">
        <v>59</v>
      </c>
      <c r="H30" s="614">
        <v>0</v>
      </c>
      <c r="I30" s="647"/>
      <c r="J30" s="646"/>
    </row>
    <row r="31" spans="1:10" x14ac:dyDescent="0.25">
      <c r="A31" s="50"/>
      <c r="B31" s="613" t="s">
        <v>60</v>
      </c>
      <c r="C31" s="613"/>
      <c r="D31" s="613"/>
      <c r="E31" s="613"/>
      <c r="F31" s="613"/>
      <c r="G31" s="612" t="s">
        <v>61</v>
      </c>
      <c r="H31" s="611">
        <f ca="1">+SUM(H27:H30)</f>
        <v>7436</v>
      </c>
      <c r="I31" s="647"/>
      <c r="J31" s="646"/>
    </row>
    <row r="32" spans="1:10" x14ac:dyDescent="0.25">
      <c r="A32" s="50"/>
      <c r="B32" t="s">
        <v>195</v>
      </c>
      <c r="G32" s="609" t="s">
        <v>297</v>
      </c>
      <c r="H32" s="608">
        <f ca="1">+SUM(FTBLANK:PTBLANKE!AJ8)</f>
        <v>4872.08</v>
      </c>
      <c r="I32" s="647"/>
      <c r="J32" s="646"/>
    </row>
    <row r="33" spans="1:10" x14ac:dyDescent="0.25">
      <c r="A33" s="50"/>
      <c r="B33" t="s">
        <v>298</v>
      </c>
      <c r="G33" s="609" t="s">
        <v>299</v>
      </c>
      <c r="H33" s="608">
        <f ca="1">+SUM(FTBLANK:PTBLANKE!AK8)</f>
        <v>73.13000000000001</v>
      </c>
      <c r="I33" s="647"/>
      <c r="J33" s="646"/>
    </row>
    <row r="34" spans="1:10" ht="15.75" customHeight="1" thickBot="1" x14ac:dyDescent="0.3">
      <c r="A34" s="51"/>
      <c r="B34" s="605" t="s">
        <v>300</v>
      </c>
      <c r="C34" s="605"/>
      <c r="D34" s="605"/>
      <c r="E34" s="605"/>
      <c r="F34" s="605"/>
      <c r="G34" s="604" t="s">
        <v>301</v>
      </c>
      <c r="H34" s="603">
        <v>10831.43</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599">
        <f>+H34</f>
        <v>10831.43</v>
      </c>
      <c r="I37" s="268"/>
    </row>
    <row r="38" spans="1:10" ht="15.7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94"/>
      <c r="H39" s="574"/>
      <c r="I39" s="268"/>
    </row>
    <row r="40" spans="1:10" ht="16.5" customHeight="1" x14ac:dyDescent="0.35">
      <c r="A40" s="50"/>
      <c r="B40" t="s">
        <v>307</v>
      </c>
      <c r="C40" t="s">
        <v>308</v>
      </c>
      <c r="E40" t="s">
        <v>309</v>
      </c>
      <c r="H40" s="574"/>
      <c r="I40" s="269"/>
    </row>
    <row r="41" spans="1:10" ht="15.75" customHeight="1" thickBot="1" x14ac:dyDescent="0.3">
      <c r="A41" s="51"/>
      <c r="B41" s="24" t="s">
        <v>310</v>
      </c>
      <c r="C41" s="24" t="s">
        <v>210</v>
      </c>
      <c r="D41" s="24"/>
      <c r="E41" s="24" t="s">
        <v>311</v>
      </c>
      <c r="F41" s="966">
        <v>40022997054</v>
      </c>
      <c r="G41" s="915"/>
      <c r="H41" s="915"/>
      <c r="I41" s="52"/>
    </row>
    <row r="42" spans="1:10" ht="15.75" customHeight="1" thickBot="1" x14ac:dyDescent="0.3">
      <c r="A42" s="50"/>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755"/>
      <c r="H46" s="769"/>
      <c r="I46" s="268"/>
    </row>
    <row r="47" spans="1:10" ht="17.25" customHeight="1" thickBot="1" x14ac:dyDescent="0.4">
      <c r="A47" s="51"/>
      <c r="B47" s="24"/>
      <c r="C47" s="586" t="s">
        <v>317</v>
      </c>
      <c r="D47" s="585"/>
      <c r="E47" s="643"/>
      <c r="F47" s="24"/>
      <c r="G47" s="773"/>
      <c r="H47" s="750"/>
      <c r="I47" s="52"/>
    </row>
    <row r="49" spans="2:9" ht="15.75" customHeight="1" thickBot="1" x14ac:dyDescent="0.3">
      <c r="B49" s="749"/>
    </row>
    <row r="50" spans="2:9" ht="15" customHeight="1" x14ac:dyDescent="0.25">
      <c r="B50" s="960" t="s">
        <v>318</v>
      </c>
      <c r="C50" s="958">
        <f ca="1">+H24+(0.5*H32)+H33</f>
        <v>47995.17</v>
      </c>
      <c r="D50" s="890"/>
      <c r="E50" s="890"/>
      <c r="F50" s="890"/>
      <c r="G50" s="953"/>
    </row>
    <row r="51" spans="2:9" ht="15" customHeight="1" x14ac:dyDescent="0.35">
      <c r="B51" s="961"/>
      <c r="C51" s="876"/>
      <c r="D51" s="876"/>
      <c r="E51" s="876"/>
      <c r="F51" s="876"/>
      <c r="G51" s="913"/>
      <c r="I51" s="574"/>
    </row>
    <row r="52" spans="2:9" ht="15.75" customHeight="1" thickBot="1" x14ac:dyDescent="0.3">
      <c r="B52" s="962"/>
      <c r="C52" s="915"/>
      <c r="D52" s="915"/>
      <c r="E52" s="915"/>
      <c r="F52" s="915"/>
      <c r="G52" s="895"/>
    </row>
    <row r="71" spans="19:19" x14ac:dyDescent="0.25">
      <c r="S71">
        <f>+BONUSJUN*(AB70+AB60+AB50+AB40+AB30+AB19)/181*Y71/40</f>
        <v>0</v>
      </c>
    </row>
  </sheetData>
  <mergeCells count="9">
    <mergeCell ref="C50:G52"/>
    <mergeCell ref="C9:D9"/>
    <mergeCell ref="B50:B52"/>
    <mergeCell ref="C8:D8"/>
    <mergeCell ref="B1:B3"/>
    <mergeCell ref="C10:D10"/>
    <mergeCell ref="C7:D7"/>
    <mergeCell ref="C5:E5"/>
    <mergeCell ref="F41:H41"/>
  </mergeCells>
  <hyperlinks>
    <hyperlink ref="K2" r:id="rId1" xr:uid="{00000000-0004-0000-2F00-000000000000}"/>
  </hyperlinks>
  <pageMargins left="0.7" right="0.7" top="0.75" bottom="0.75" header="0.3" footer="0.3"/>
  <pageSetup paperSize="9" scale="38"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7">
    <tabColor theme="4" tint="0.59999389629810485"/>
    <pageSetUpPr fitToPage="1"/>
  </sheetPr>
  <dimension ref="A1:X57"/>
  <sheetViews>
    <sheetView workbookViewId="0"/>
  </sheetViews>
  <sheetFormatPr defaultRowHeight="15" x14ac:dyDescent="0.25"/>
  <cols>
    <col min="1" max="1" width="6.85546875" customWidth="1"/>
    <col min="2" max="2" width="19.42578125" customWidth="1"/>
    <col min="3" max="3" width="15.28515625" customWidth="1"/>
    <col min="6" max="6" width="3.140625" customWidth="1"/>
    <col min="7" max="7" width="8" customWidth="1"/>
    <col min="8" max="8" width="13.42578125" customWidth="1"/>
    <col min="9" max="9" width="5.7109375" customWidth="1"/>
  </cols>
  <sheetData>
    <row r="1" spans="1:24" ht="13.9" customHeight="1" x14ac:dyDescent="0.25">
      <c r="A1" s="640">
        <f>+H7</f>
        <v>46174</v>
      </c>
      <c r="B1" s="963" t="s">
        <v>273</v>
      </c>
      <c r="C1" s="639" t="s">
        <v>1</v>
      </c>
      <c r="D1" s="639"/>
      <c r="E1" s="639"/>
      <c r="F1" s="639"/>
      <c r="G1" s="639"/>
      <c r="H1" s="639"/>
      <c r="I1" s="638"/>
    </row>
    <row r="2" spans="1:24" ht="14.45" customHeight="1" x14ac:dyDescent="0.25">
      <c r="A2" s="637"/>
      <c r="B2" s="876"/>
      <c r="C2" s="636" t="s">
        <v>274</v>
      </c>
      <c r="D2" s="636"/>
      <c r="E2" s="636"/>
      <c r="F2" s="636"/>
      <c r="G2" s="636"/>
      <c r="H2" s="636"/>
      <c r="I2" s="635"/>
      <c r="K2" s="749"/>
    </row>
    <row r="3" spans="1:24" ht="12" customHeight="1" thickBot="1" x14ac:dyDescent="0.3">
      <c r="A3" s="50"/>
      <c r="B3" s="876"/>
      <c r="C3" s="636"/>
      <c r="D3" s="636"/>
      <c r="E3" s="636"/>
      <c r="F3" s="636"/>
      <c r="G3" s="636"/>
      <c r="H3" s="636"/>
      <c r="I3" s="635"/>
    </row>
    <row r="4" spans="1:24" ht="15.75" customHeight="1" thickBot="1" x14ac:dyDescent="0.3">
      <c r="A4" s="602" t="s">
        <v>3</v>
      </c>
      <c r="B4" s="601" t="s">
        <v>275</v>
      </c>
      <c r="G4" s="48" t="s">
        <v>276</v>
      </c>
      <c r="H4" s="49"/>
      <c r="I4" s="268"/>
    </row>
    <row r="5" spans="1:24" ht="15.75" customHeight="1" thickBot="1" x14ac:dyDescent="0.3">
      <c r="A5" s="25"/>
      <c r="B5" s="276" t="s">
        <v>206</v>
      </c>
      <c r="C5" s="965" t="s">
        <v>277</v>
      </c>
      <c r="D5" s="938"/>
      <c r="E5" s="926"/>
      <c r="G5" s="51" t="s">
        <v>9</v>
      </c>
      <c r="H5" s="634">
        <v>474436</v>
      </c>
      <c r="I5" s="52"/>
    </row>
    <row r="6" spans="1:24" x14ac:dyDescent="0.25">
      <c r="A6" s="50"/>
      <c r="B6" t="s">
        <v>278</v>
      </c>
      <c r="E6" s="269"/>
      <c r="G6" s="48" t="s">
        <v>279</v>
      </c>
      <c r="H6" s="49"/>
      <c r="I6" s="268"/>
    </row>
    <row r="7" spans="1:24" ht="15.75" customHeight="1" thickBot="1" x14ac:dyDescent="0.3">
      <c r="A7" s="50"/>
      <c r="B7" t="s">
        <v>280</v>
      </c>
      <c r="C7" s="959" t="s">
        <v>281</v>
      </c>
      <c r="D7" s="876"/>
      <c r="E7" s="269"/>
      <c r="G7" s="51" t="s">
        <v>13</v>
      </c>
      <c r="H7" s="633">
        <f>+DATA!A8</f>
        <v>46174</v>
      </c>
      <c r="I7" s="52"/>
    </row>
    <row r="8" spans="1:24" x14ac:dyDescent="0.25">
      <c r="A8" s="50"/>
      <c r="B8" t="s">
        <v>282</v>
      </c>
      <c r="C8" s="959" t="s">
        <v>283</v>
      </c>
      <c r="D8" s="876"/>
      <c r="E8" s="269"/>
      <c r="H8" s="632"/>
      <c r="I8" s="269"/>
    </row>
    <row r="9" spans="1:24" x14ac:dyDescent="0.25">
      <c r="A9" s="50"/>
      <c r="B9" t="s">
        <v>284</v>
      </c>
      <c r="C9" s="959" t="s">
        <v>210</v>
      </c>
      <c r="D9" s="876"/>
      <c r="E9" s="269"/>
      <c r="I9" s="269"/>
    </row>
    <row r="10" spans="1:24" ht="15.75" customHeight="1" thickBot="1" x14ac:dyDescent="0.3">
      <c r="A10" s="51"/>
      <c r="B10" s="24" t="s">
        <v>211</v>
      </c>
      <c r="C10" s="964"/>
      <c r="D10" s="915"/>
      <c r="E10" s="52"/>
      <c r="I10" s="269"/>
    </row>
    <row r="11" spans="1:24" ht="15.75" customHeight="1" thickBot="1" x14ac:dyDescent="0.3">
      <c r="A11" s="25"/>
      <c r="B11" s="276" t="s">
        <v>285</v>
      </c>
      <c r="C11" s="630">
        <v>21826685</v>
      </c>
      <c r="D11" s="276"/>
      <c r="E11" s="629"/>
      <c r="I11" s="269"/>
    </row>
    <row r="12" spans="1:24" ht="15.75" customHeight="1" thickBot="1" x14ac:dyDescent="0.3">
      <c r="A12" s="51"/>
      <c r="B12" s="24" t="s">
        <v>286</v>
      </c>
      <c r="C12" s="24"/>
      <c r="D12" s="24"/>
      <c r="E12" s="52"/>
      <c r="F12" s="24"/>
      <c r="G12" s="24"/>
      <c r="H12" s="24"/>
      <c r="I12" s="52"/>
    </row>
    <row r="13" spans="1:24" ht="28.9" customHeight="1" thickBot="1" x14ac:dyDescent="0.3">
      <c r="A13" s="50"/>
      <c r="I13" s="269"/>
      <c r="J13" s="653"/>
      <c r="K13" s="653"/>
      <c r="L13" s="653"/>
      <c r="M13" s="653"/>
      <c r="N13" s="653"/>
      <c r="O13" s="653"/>
      <c r="P13" s="653"/>
      <c r="Q13" s="653"/>
      <c r="R13" s="653"/>
      <c r="S13" s="653"/>
      <c r="T13" s="653"/>
      <c r="U13" s="653"/>
      <c r="V13" s="653"/>
      <c r="W13" s="653"/>
      <c r="X13" s="653"/>
    </row>
    <row r="14" spans="1:24" ht="16.5" customHeight="1" thickBot="1" x14ac:dyDescent="0.3">
      <c r="A14" s="602" t="s">
        <v>32</v>
      </c>
      <c r="B14" s="601" t="s">
        <v>287</v>
      </c>
      <c r="I14" s="269"/>
      <c r="J14" s="653"/>
      <c r="K14" s="653"/>
      <c r="L14" s="653"/>
      <c r="M14" s="653"/>
      <c r="N14" s="653"/>
      <c r="O14" s="653"/>
      <c r="P14" s="653"/>
      <c r="Q14" s="653"/>
      <c r="R14" s="653"/>
      <c r="S14" s="653"/>
      <c r="T14" s="653"/>
      <c r="U14" s="653"/>
      <c r="V14" s="653"/>
      <c r="W14" s="653"/>
      <c r="X14" s="653"/>
    </row>
    <row r="15" spans="1:24" ht="16.5" customHeight="1" x14ac:dyDescent="0.25">
      <c r="A15" s="48"/>
      <c r="B15" s="49" t="s">
        <v>288</v>
      </c>
      <c r="C15" s="49"/>
      <c r="D15" s="49"/>
      <c r="E15" s="49"/>
      <c r="F15" s="49"/>
      <c r="G15" s="49"/>
      <c r="H15" s="626" t="s">
        <v>34</v>
      </c>
      <c r="I15" s="625">
        <f ca="1">+SUM(FTBLANK:PTBLANKE!N69)</f>
        <v>14</v>
      </c>
      <c r="J15" s="653"/>
      <c r="K15" s="653"/>
      <c r="L15" s="653"/>
      <c r="M15" s="653"/>
      <c r="N15" s="653"/>
      <c r="O15" s="653"/>
      <c r="P15" s="653"/>
      <c r="Q15" s="653"/>
      <c r="R15" s="653"/>
      <c r="S15" s="653"/>
      <c r="T15" s="653"/>
      <c r="U15" s="653"/>
      <c r="V15" s="653"/>
      <c r="W15" s="653"/>
      <c r="X15" s="653"/>
    </row>
    <row r="16" spans="1:24" ht="15.75" customHeight="1" thickBot="1" x14ac:dyDescent="0.3">
      <c r="A16" s="51"/>
      <c r="B16" s="24" t="s">
        <v>289</v>
      </c>
      <c r="C16" s="24"/>
      <c r="D16" s="24"/>
      <c r="E16" s="24"/>
      <c r="F16" s="24"/>
      <c r="G16" s="24"/>
      <c r="H16" s="624" t="s">
        <v>290</v>
      </c>
      <c r="I16" s="623">
        <f ca="1">+SUM(FTBLANK:PTBLANKE!N70)</f>
        <v>4</v>
      </c>
      <c r="J16" s="653"/>
      <c r="K16" s="653"/>
      <c r="L16" s="653"/>
      <c r="M16" s="653"/>
      <c r="N16" s="653"/>
      <c r="O16" s="653"/>
      <c r="P16" s="653"/>
      <c r="Q16" s="653"/>
      <c r="R16" s="653"/>
      <c r="S16" s="653"/>
      <c r="T16" s="653"/>
      <c r="U16" s="653"/>
      <c r="V16" s="653">
        <v>13</v>
      </c>
      <c r="W16" s="653"/>
      <c r="X16" s="653"/>
    </row>
    <row r="17" spans="1:24" ht="15.75" customHeight="1" thickBot="1" x14ac:dyDescent="0.3">
      <c r="A17" s="50"/>
      <c r="I17" s="269"/>
      <c r="J17" s="653"/>
      <c r="K17" s="653"/>
      <c r="L17" s="653"/>
      <c r="M17" s="653"/>
      <c r="N17" s="653"/>
      <c r="O17" s="653"/>
      <c r="P17" s="653"/>
      <c r="Q17" s="653"/>
      <c r="R17" s="653"/>
      <c r="S17" s="653"/>
      <c r="T17" s="653"/>
      <c r="U17" s="653"/>
      <c r="V17" s="653"/>
      <c r="W17" s="653"/>
      <c r="X17" s="653"/>
    </row>
    <row r="18" spans="1:24" ht="15.75" customHeight="1" thickBot="1" x14ac:dyDescent="0.3">
      <c r="A18" s="602" t="s">
        <v>35</v>
      </c>
      <c r="B18" s="601" t="s">
        <v>36</v>
      </c>
      <c r="I18" s="269"/>
      <c r="J18" s="653"/>
      <c r="K18" s="653"/>
      <c r="L18" s="653"/>
      <c r="M18" s="653"/>
      <c r="N18" s="653"/>
      <c r="O18" s="653"/>
      <c r="P18" s="653"/>
      <c r="Q18" s="653"/>
      <c r="R18" s="653"/>
      <c r="S18" s="653"/>
      <c r="T18" s="653"/>
      <c r="U18" s="653"/>
      <c r="V18" s="653"/>
      <c r="W18" s="653"/>
      <c r="X18" s="653"/>
    </row>
    <row r="19" spans="1:24" x14ac:dyDescent="0.25">
      <c r="A19" s="48"/>
      <c r="B19" s="49" t="s">
        <v>38</v>
      </c>
      <c r="C19" s="49"/>
      <c r="D19" s="49"/>
      <c r="E19" s="49"/>
      <c r="F19" s="49"/>
      <c r="G19" s="617" t="s">
        <v>39</v>
      </c>
      <c r="H19" s="622">
        <f ca="1">+TRUNC(SUM(FTBLANK:FTBLANKE!Z9),0)</f>
        <v>47313</v>
      </c>
      <c r="I19" s="622"/>
      <c r="J19" s="653"/>
      <c r="K19" s="653"/>
      <c r="L19" s="653"/>
      <c r="M19" s="653"/>
      <c r="N19" s="653"/>
      <c r="O19" s="653"/>
      <c r="P19" s="653"/>
      <c r="Q19" s="653"/>
      <c r="R19" s="653"/>
      <c r="S19" s="653"/>
      <c r="T19" s="653"/>
      <c r="U19" s="653"/>
      <c r="V19" s="653"/>
      <c r="W19" s="653"/>
      <c r="X19" s="653"/>
    </row>
    <row r="20" spans="1:24" x14ac:dyDescent="0.25">
      <c r="A20" s="50"/>
      <c r="B20" t="s">
        <v>291</v>
      </c>
      <c r="G20" s="609" t="s">
        <v>292</v>
      </c>
      <c r="H20" s="621">
        <f ca="1">+SUM(FTBLANK:PTBLANKE!AD9)</f>
        <v>0</v>
      </c>
      <c r="I20" s="621"/>
      <c r="J20" s="653"/>
      <c r="K20" s="653"/>
      <c r="L20" s="653"/>
      <c r="M20" s="653"/>
      <c r="N20" s="653"/>
      <c r="O20" s="653"/>
      <c r="P20" s="653"/>
      <c r="Q20" s="653"/>
      <c r="R20" s="653"/>
      <c r="S20" s="653"/>
      <c r="T20" s="653"/>
      <c r="U20" s="653"/>
      <c r="V20" s="653"/>
      <c r="W20" s="653"/>
      <c r="X20" s="653"/>
    </row>
    <row r="21" spans="1:24" x14ac:dyDescent="0.25">
      <c r="A21" s="50"/>
      <c r="B21" t="s">
        <v>42</v>
      </c>
      <c r="G21" s="609" t="s">
        <v>43</v>
      </c>
      <c r="H21" s="621">
        <v>0</v>
      </c>
      <c r="I21" s="621"/>
      <c r="J21" s="653"/>
      <c r="K21" s="653"/>
      <c r="L21" s="653"/>
      <c r="M21" s="653"/>
      <c r="N21" s="653"/>
      <c r="O21" s="653"/>
      <c r="P21" s="653"/>
      <c r="Q21" s="653"/>
      <c r="R21" s="653"/>
      <c r="S21" s="653"/>
      <c r="T21" s="653"/>
      <c r="U21" s="653"/>
      <c r="V21" s="653"/>
      <c r="W21" s="653"/>
      <c r="X21" s="653"/>
    </row>
    <row r="22" spans="1:24" x14ac:dyDescent="0.25">
      <c r="A22" s="50"/>
      <c r="B22" t="s">
        <v>293</v>
      </c>
      <c r="G22" s="609" t="s">
        <v>45</v>
      </c>
      <c r="H22" s="620">
        <f ca="1">+TRUNC(SUM(PTBLANK:PTBLANKE!Z9),0)</f>
        <v>39</v>
      </c>
      <c r="I22" s="269"/>
      <c r="J22" s="653"/>
      <c r="K22" s="653"/>
      <c r="L22" s="653"/>
      <c r="M22" s="653"/>
      <c r="N22" s="653"/>
      <c r="O22" s="653"/>
      <c r="P22" s="653"/>
      <c r="Q22" s="653"/>
      <c r="R22" s="653"/>
      <c r="S22" s="653"/>
      <c r="T22" s="653"/>
      <c r="U22" s="653"/>
      <c r="V22" s="653"/>
      <c r="W22" s="653"/>
      <c r="X22" s="653"/>
    </row>
    <row r="23" spans="1:24" x14ac:dyDescent="0.25">
      <c r="A23" s="50"/>
      <c r="B23" t="s">
        <v>294</v>
      </c>
      <c r="G23" s="609" t="s">
        <v>47</v>
      </c>
      <c r="H23" s="620">
        <v>0</v>
      </c>
      <c r="I23" s="269"/>
      <c r="J23" s="653"/>
      <c r="K23" s="653"/>
      <c r="L23" s="653"/>
      <c r="M23" s="653"/>
      <c r="N23" s="653"/>
      <c r="O23" s="653"/>
      <c r="P23" s="653"/>
      <c r="Q23" s="653"/>
      <c r="R23" s="653"/>
      <c r="S23" s="653"/>
      <c r="T23" s="653"/>
      <c r="U23" s="653"/>
      <c r="V23" s="653"/>
      <c r="W23" s="653"/>
      <c r="X23" s="653"/>
    </row>
    <row r="24" spans="1:24" ht="15.75" customHeight="1" thickBot="1" x14ac:dyDescent="0.3">
      <c r="A24" s="51"/>
      <c r="B24" s="605" t="s">
        <v>48</v>
      </c>
      <c r="C24" s="605"/>
      <c r="D24" s="605"/>
      <c r="E24" s="605"/>
      <c r="F24" s="605"/>
      <c r="G24" s="604" t="s">
        <v>49</v>
      </c>
      <c r="H24" s="619">
        <f ca="1">+SUM(H19:H23)</f>
        <v>47352</v>
      </c>
      <c r="I24" s="52"/>
      <c r="J24" s="653"/>
      <c r="K24" s="653"/>
      <c r="L24" s="653"/>
      <c r="M24" s="653"/>
      <c r="N24" s="653"/>
      <c r="O24" s="653"/>
      <c r="P24" s="653"/>
      <c r="Q24" s="653"/>
      <c r="R24" s="653"/>
      <c r="S24" s="653"/>
      <c r="T24" s="653"/>
      <c r="U24" s="653"/>
      <c r="V24" s="653"/>
      <c r="W24" s="653"/>
      <c r="X24" s="653"/>
    </row>
    <row r="25" spans="1:24" ht="16.5" customHeight="1" thickBot="1" x14ac:dyDescent="0.3">
      <c r="A25" s="50"/>
      <c r="I25" s="269"/>
    </row>
    <row r="26" spans="1:24" ht="28.9" customHeight="1" thickBot="1" x14ac:dyDescent="0.3">
      <c r="A26" s="602" t="s">
        <v>50</v>
      </c>
      <c r="B26" s="618" t="s">
        <v>295</v>
      </c>
      <c r="C26" s="592"/>
      <c r="D26" s="601"/>
      <c r="I26" s="269"/>
    </row>
    <row r="27" spans="1:24" ht="16.5" customHeight="1" x14ac:dyDescent="0.25">
      <c r="A27" s="48"/>
      <c r="B27" s="49" t="s">
        <v>296</v>
      </c>
      <c r="C27" s="49"/>
      <c r="D27" s="49"/>
      <c r="E27" s="49"/>
      <c r="F27" s="49"/>
      <c r="G27" s="617" t="s">
        <v>53</v>
      </c>
      <c r="H27" s="616">
        <f ca="1">+TRUNC(SUM(FTBLANK:FTBLANKE!AA9),0)</f>
        <v>7876</v>
      </c>
      <c r="I27" s="648"/>
      <c r="J27" s="646"/>
    </row>
    <row r="28" spans="1:24" x14ac:dyDescent="0.25">
      <c r="A28" s="50"/>
      <c r="B28" t="s">
        <v>54</v>
      </c>
      <c r="G28" s="609" t="s">
        <v>55</v>
      </c>
      <c r="H28" s="608">
        <f ca="1">+TRUNC(SUM(FTBLANK:FTBLANKE!AE9),0)</f>
        <v>0</v>
      </c>
      <c r="I28" s="647"/>
      <c r="J28" s="646"/>
    </row>
    <row r="29" spans="1:24" x14ac:dyDescent="0.25">
      <c r="A29" s="50"/>
      <c r="B29" t="s">
        <v>56</v>
      </c>
      <c r="G29" s="609" t="s">
        <v>57</v>
      </c>
      <c r="H29" s="608">
        <f ca="1">+TRUNC(SUM(PTBLANK:PTBLANKE!AA9),0)</f>
        <v>2</v>
      </c>
      <c r="I29" s="647"/>
      <c r="J29" s="646"/>
    </row>
    <row r="30" spans="1:24" ht="29.45" customHeight="1" x14ac:dyDescent="0.25">
      <c r="A30" s="50"/>
      <c r="B30" t="s">
        <v>58</v>
      </c>
      <c r="G30" s="609" t="s">
        <v>59</v>
      </c>
      <c r="H30" s="614">
        <v>0</v>
      </c>
      <c r="I30" s="647"/>
      <c r="J30" s="646"/>
    </row>
    <row r="31" spans="1:24" x14ac:dyDescent="0.25">
      <c r="A31" s="50"/>
      <c r="B31" s="613" t="s">
        <v>60</v>
      </c>
      <c r="C31" s="613"/>
      <c r="D31" s="613"/>
      <c r="E31" s="613"/>
      <c r="F31" s="613"/>
      <c r="G31" s="612" t="s">
        <v>61</v>
      </c>
      <c r="H31" s="611">
        <f ca="1">+SUM(H27:H30)</f>
        <v>7878</v>
      </c>
      <c r="I31" s="647"/>
      <c r="J31" s="646"/>
    </row>
    <row r="32" spans="1:24" ht="27" customHeight="1" x14ac:dyDescent="0.25">
      <c r="A32" s="50"/>
      <c r="B32" t="s">
        <v>195</v>
      </c>
      <c r="G32" s="609" t="s">
        <v>297</v>
      </c>
      <c r="H32" s="608">
        <f ca="1">+SUM(FTBLANK:PTBLANKE!AJ9)</f>
        <v>6090.0199999999986</v>
      </c>
      <c r="I32" s="647"/>
      <c r="J32" s="646"/>
    </row>
    <row r="33" spans="1:10" x14ac:dyDescent="0.25">
      <c r="A33" s="50"/>
      <c r="B33" t="s">
        <v>298</v>
      </c>
      <c r="G33" s="609" t="s">
        <v>299</v>
      </c>
      <c r="H33" s="608">
        <f ca="1">+SUM(FTBLANK:PTBLANKE!AK9)</f>
        <v>91.419999999999987</v>
      </c>
      <c r="I33" s="647"/>
      <c r="J33" s="646"/>
    </row>
    <row r="34" spans="1:10" ht="15.75" customHeight="1" thickBot="1" x14ac:dyDescent="0.3">
      <c r="A34" s="51"/>
      <c r="B34" s="605" t="s">
        <v>300</v>
      </c>
      <c r="C34" s="605"/>
      <c r="D34" s="605"/>
      <c r="E34" s="605"/>
      <c r="F34" s="605"/>
      <c r="G34" s="604" t="s">
        <v>301</v>
      </c>
      <c r="H34" s="650">
        <v>12314.74</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649">
        <f>+H34-0.01</f>
        <v>12314.73</v>
      </c>
      <c r="I37" s="268"/>
    </row>
    <row r="38" spans="1:10" ht="15.7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94"/>
      <c r="H39" s="574"/>
      <c r="I39" s="268"/>
    </row>
    <row r="40" spans="1:10" x14ac:dyDescent="0.25">
      <c r="A40" s="50"/>
      <c r="B40" t="s">
        <v>307</v>
      </c>
      <c r="C40" t="s">
        <v>308</v>
      </c>
      <c r="E40" t="s">
        <v>309</v>
      </c>
      <c r="I40" s="269"/>
    </row>
    <row r="41" spans="1:10" ht="15.75" customHeight="1" thickBot="1" x14ac:dyDescent="0.3">
      <c r="A41" s="51"/>
      <c r="B41" s="24" t="s">
        <v>310</v>
      </c>
      <c r="C41" s="24" t="s">
        <v>210</v>
      </c>
      <c r="D41" s="24"/>
      <c r="E41" s="24" t="s">
        <v>311</v>
      </c>
      <c r="F41" s="966">
        <v>40022997054</v>
      </c>
      <c r="G41" s="915"/>
      <c r="H41" s="915"/>
      <c r="I41" s="52"/>
    </row>
    <row r="42" spans="1:10" ht="15.75" customHeight="1" thickBot="1" x14ac:dyDescent="0.3">
      <c r="A42" s="50"/>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7.25" customHeight="1" thickBot="1" x14ac:dyDescent="0.4">
      <c r="A45" s="50"/>
      <c r="E45" s="574"/>
      <c r="I45" s="269"/>
    </row>
    <row r="46" spans="1:10" x14ac:dyDescent="0.25">
      <c r="A46" s="48"/>
      <c r="B46" s="592" t="s">
        <v>315</v>
      </c>
      <c r="C46" s="591" t="s">
        <v>316</v>
      </c>
      <c r="D46" s="590"/>
      <c r="E46" s="589"/>
      <c r="F46" s="49"/>
      <c r="G46" s="587"/>
      <c r="H46" s="770"/>
      <c r="I46" s="268"/>
    </row>
    <row r="47" spans="1:10" ht="17.25" customHeight="1" thickBot="1" x14ac:dyDescent="0.4">
      <c r="A47" s="51"/>
      <c r="B47" s="24"/>
      <c r="C47" s="586" t="s">
        <v>317</v>
      </c>
      <c r="D47" s="585"/>
      <c r="E47" s="652"/>
      <c r="F47" s="24"/>
      <c r="G47" s="773"/>
      <c r="H47" s="750"/>
      <c r="I47" s="52"/>
    </row>
    <row r="49" spans="2:20" ht="15.75" customHeight="1" thickBot="1" x14ac:dyDescent="0.3">
      <c r="B49" s="749" t="s">
        <v>322</v>
      </c>
    </row>
    <row r="50" spans="2:20" ht="15" customHeight="1" x14ac:dyDescent="0.25">
      <c r="B50" s="960" t="s">
        <v>318</v>
      </c>
      <c r="C50" s="958">
        <f ca="1">+H24+(0.5*H32)+H33</f>
        <v>50488.43</v>
      </c>
      <c r="D50" s="890"/>
      <c r="E50" s="890"/>
      <c r="F50" s="890"/>
      <c r="G50" s="953"/>
    </row>
    <row r="51" spans="2:20" ht="15" customHeight="1" x14ac:dyDescent="0.25">
      <c r="B51" s="961"/>
      <c r="C51" s="876"/>
      <c r="D51" s="876"/>
      <c r="E51" s="876"/>
      <c r="F51" s="876"/>
      <c r="G51" s="913"/>
    </row>
    <row r="52" spans="2:20" ht="15.75" customHeight="1" thickBot="1" x14ac:dyDescent="0.3">
      <c r="B52" s="962"/>
      <c r="C52" s="915"/>
      <c r="D52" s="915"/>
      <c r="E52" s="915"/>
      <c r="F52" s="915"/>
      <c r="G52" s="895"/>
    </row>
    <row r="57" spans="2:20" ht="16.5" customHeight="1" x14ac:dyDescent="0.35">
      <c r="T57" s="574"/>
    </row>
  </sheetData>
  <mergeCells count="9">
    <mergeCell ref="C50:G52"/>
    <mergeCell ref="C9:D9"/>
    <mergeCell ref="B50:B52"/>
    <mergeCell ref="C8:D8"/>
    <mergeCell ref="B1:B3"/>
    <mergeCell ref="C10:D10"/>
    <mergeCell ref="C7:D7"/>
    <mergeCell ref="C5:E5"/>
    <mergeCell ref="F41:H41"/>
  </mergeCells>
  <hyperlinks>
    <hyperlink ref="B49" r:id="rId1" xr:uid="{00000000-0004-0000-3000-000000000000}"/>
  </hyperlinks>
  <pageMargins left="0.7" right="0.7" top="0.75" bottom="0.75" header="0.3" footer="0.3"/>
  <pageSetup paperSize="9" scale="41"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8">
    <tabColor theme="4" tint="0.59999389629810485"/>
  </sheetPr>
  <dimension ref="A1:K52"/>
  <sheetViews>
    <sheetView workbookViewId="0"/>
  </sheetViews>
  <sheetFormatPr defaultRowHeight="15" x14ac:dyDescent="0.25"/>
  <cols>
    <col min="1" max="1" width="4" customWidth="1"/>
    <col min="2" max="2" width="19.42578125" customWidth="1"/>
    <col min="3" max="3" width="15.28515625" customWidth="1"/>
    <col min="6" max="6" width="3.140625" customWidth="1"/>
    <col min="7" max="7" width="8" customWidth="1"/>
    <col min="8" max="8" width="13.42578125" customWidth="1"/>
    <col min="9" max="9" width="5.7109375" customWidth="1"/>
  </cols>
  <sheetData>
    <row r="1" spans="1:11" ht="13.9" customHeight="1" x14ac:dyDescent="0.25">
      <c r="A1" s="640">
        <f>+H7</f>
        <v>46204</v>
      </c>
      <c r="B1" s="963" t="s">
        <v>273</v>
      </c>
      <c r="C1" s="639" t="s">
        <v>1</v>
      </c>
      <c r="D1" s="639"/>
      <c r="E1" s="639"/>
      <c r="F1" s="639"/>
      <c r="G1" s="639"/>
      <c r="H1" s="639"/>
      <c r="I1" s="638"/>
      <c r="K1" t="s">
        <v>320</v>
      </c>
    </row>
    <row r="2" spans="1:11" ht="14.45" customHeight="1" x14ac:dyDescent="0.25">
      <c r="A2" s="637"/>
      <c r="B2" s="876"/>
      <c r="C2" s="636" t="s">
        <v>274</v>
      </c>
      <c r="D2" s="636"/>
      <c r="E2" s="636"/>
      <c r="F2" s="636"/>
      <c r="G2" s="636"/>
      <c r="H2" s="636"/>
      <c r="I2" s="635"/>
    </row>
    <row r="3" spans="1:11" ht="12" customHeight="1" thickBot="1" x14ac:dyDescent="0.3">
      <c r="A3" s="50"/>
      <c r="B3" s="876"/>
      <c r="C3" s="636"/>
      <c r="D3" s="636"/>
      <c r="E3" s="636"/>
      <c r="F3" s="636"/>
      <c r="G3" s="636"/>
      <c r="H3" s="636"/>
      <c r="I3" s="635"/>
    </row>
    <row r="4" spans="1:11" ht="15" customHeight="1" thickBot="1" x14ac:dyDescent="0.3">
      <c r="A4" s="602" t="s">
        <v>3</v>
      </c>
      <c r="B4" s="601" t="s">
        <v>275</v>
      </c>
      <c r="C4" s="646"/>
      <c r="D4" s="646"/>
      <c r="E4" s="646"/>
      <c r="F4" s="646"/>
      <c r="G4" s="666" t="s">
        <v>276</v>
      </c>
      <c r="H4" s="658"/>
      <c r="I4" s="648"/>
    </row>
    <row r="5" spans="1:11" ht="16.149999999999999" customHeight="1" thickBot="1" x14ac:dyDescent="0.3">
      <c r="A5" s="25"/>
      <c r="B5" s="276" t="s">
        <v>206</v>
      </c>
      <c r="C5" s="969" t="s">
        <v>277</v>
      </c>
      <c r="D5" s="938"/>
      <c r="E5" s="926"/>
      <c r="F5" s="646"/>
      <c r="G5" s="665" t="s">
        <v>9</v>
      </c>
      <c r="H5" s="667">
        <v>474436</v>
      </c>
      <c r="I5" s="659"/>
    </row>
    <row r="6" spans="1:11" x14ac:dyDescent="0.25">
      <c r="A6" s="50"/>
      <c r="B6" t="s">
        <v>278</v>
      </c>
      <c r="C6" s="646"/>
      <c r="D6" s="646"/>
      <c r="E6" s="647"/>
      <c r="F6" s="646"/>
      <c r="G6" s="666" t="s">
        <v>279</v>
      </c>
      <c r="H6" s="658"/>
      <c r="I6" s="648"/>
    </row>
    <row r="7" spans="1:11" ht="15.75" customHeight="1" thickBot="1" x14ac:dyDescent="0.3">
      <c r="A7" s="50"/>
      <c r="B7" t="s">
        <v>280</v>
      </c>
      <c r="C7" s="968" t="s">
        <v>281</v>
      </c>
      <c r="D7" s="876"/>
      <c r="E7" s="647"/>
      <c r="F7" s="646"/>
      <c r="G7" s="665" t="s">
        <v>13</v>
      </c>
      <c r="H7" s="664">
        <f>+DATA!A9</f>
        <v>46204</v>
      </c>
      <c r="I7" s="659"/>
    </row>
    <row r="8" spans="1:11" x14ac:dyDescent="0.25">
      <c r="A8" s="50"/>
      <c r="B8" t="s">
        <v>282</v>
      </c>
      <c r="C8" s="968" t="s">
        <v>283</v>
      </c>
      <c r="D8" s="876"/>
      <c r="E8" s="647"/>
      <c r="F8" s="646"/>
      <c r="G8" s="646"/>
      <c r="H8" s="663"/>
      <c r="I8" s="647"/>
    </row>
    <row r="9" spans="1:11" x14ac:dyDescent="0.25">
      <c r="A9" s="50"/>
      <c r="B9" t="s">
        <v>284</v>
      </c>
      <c r="C9" s="968" t="s">
        <v>210</v>
      </c>
      <c r="D9" s="876"/>
      <c r="E9" s="647"/>
      <c r="F9" s="646"/>
      <c r="G9" s="646"/>
      <c r="H9" s="646"/>
      <c r="I9" s="647"/>
    </row>
    <row r="10" spans="1:11" ht="15.75" customHeight="1" thickBot="1" x14ac:dyDescent="0.3">
      <c r="A10" s="51"/>
      <c r="B10" s="24" t="s">
        <v>211</v>
      </c>
      <c r="C10" s="967"/>
      <c r="D10" s="915"/>
      <c r="E10" s="659"/>
      <c r="F10" s="646"/>
      <c r="G10" s="646"/>
      <c r="H10" s="646"/>
      <c r="I10" s="647"/>
    </row>
    <row r="11" spans="1:11" ht="15.75" customHeight="1" thickBot="1" x14ac:dyDescent="0.3">
      <c r="A11" s="25"/>
      <c r="B11" s="276" t="s">
        <v>285</v>
      </c>
      <c r="C11" s="662">
        <v>21826685</v>
      </c>
      <c r="D11" s="661"/>
      <c r="E11" s="660"/>
      <c r="F11" s="646"/>
      <c r="G11" s="646"/>
      <c r="H11" s="646"/>
      <c r="I11" s="647"/>
    </row>
    <row r="12" spans="1:11" ht="15.75" customHeight="1" thickBot="1" x14ac:dyDescent="0.3">
      <c r="A12" s="51"/>
      <c r="B12" s="24" t="s">
        <v>286</v>
      </c>
      <c r="C12" s="656"/>
      <c r="D12" s="656"/>
      <c r="E12" s="659"/>
      <c r="F12" s="656"/>
      <c r="G12" s="656"/>
      <c r="H12" s="656"/>
      <c r="I12" s="659"/>
    </row>
    <row r="13" spans="1:11" ht="28.15" customHeight="1" thickBot="1" x14ac:dyDescent="0.3">
      <c r="A13" s="50"/>
      <c r="C13" s="646"/>
      <c r="D13" s="646"/>
      <c r="E13" s="646"/>
      <c r="F13" s="646"/>
      <c r="G13" s="646"/>
      <c r="H13" s="646"/>
      <c r="I13" s="647"/>
    </row>
    <row r="14" spans="1:11" ht="15.75" customHeight="1" thickBot="1" x14ac:dyDescent="0.3">
      <c r="A14" s="602" t="s">
        <v>32</v>
      </c>
      <c r="B14" s="601" t="s">
        <v>287</v>
      </c>
      <c r="C14" s="646"/>
      <c r="D14" s="646"/>
      <c r="E14" s="646"/>
      <c r="F14" s="646"/>
      <c r="G14" s="646"/>
      <c r="H14" s="646"/>
      <c r="I14" s="647"/>
    </row>
    <row r="15" spans="1:11" x14ac:dyDescent="0.25">
      <c r="A15" s="48"/>
      <c r="B15" s="49" t="s">
        <v>288</v>
      </c>
      <c r="C15" s="658"/>
      <c r="D15" s="658"/>
      <c r="E15" s="658"/>
      <c r="F15" s="658"/>
      <c r="G15" s="658"/>
      <c r="H15" s="657" t="s">
        <v>34</v>
      </c>
      <c r="I15" s="625">
        <f ca="1">+SUM(FTBLANK:PTBLANKE!N79)</f>
        <v>14</v>
      </c>
    </row>
    <row r="16" spans="1:11" ht="15" customHeight="1" thickBot="1" x14ac:dyDescent="0.3">
      <c r="A16" s="51"/>
      <c r="B16" s="24" t="s">
        <v>289</v>
      </c>
      <c r="C16" s="656"/>
      <c r="D16" s="656"/>
      <c r="E16" s="656"/>
      <c r="F16" s="656"/>
      <c r="G16" s="656"/>
      <c r="H16" s="655" t="s">
        <v>290</v>
      </c>
      <c r="I16" s="623">
        <f ca="1">+SUM(FTBLANK:PTBLANKE!N80)</f>
        <v>4</v>
      </c>
    </row>
    <row r="17" spans="1:10" ht="16.149999999999999"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+TRUNC(SUM(FTBLANK:FTBLANKE!Z10),0)</f>
        <v>45486</v>
      </c>
      <c r="I19" s="622"/>
    </row>
    <row r="20" spans="1:10" x14ac:dyDescent="0.25">
      <c r="A20" s="50"/>
      <c r="B20" t="s">
        <v>291</v>
      </c>
      <c r="G20" s="609" t="s">
        <v>292</v>
      </c>
      <c r="H20" s="621">
        <f ca="1">+SUM(FTBLANK:PTBLANKE!AD10)</f>
        <v>0</v>
      </c>
      <c r="I20" s="621"/>
    </row>
    <row r="21" spans="1:10" x14ac:dyDescent="0.25">
      <c r="A21" s="50"/>
      <c r="B21" t="s">
        <v>42</v>
      </c>
      <c r="G21" s="609" t="s">
        <v>43</v>
      </c>
      <c r="H21" s="621">
        <v>0</v>
      </c>
      <c r="I21" s="621"/>
    </row>
    <row r="22" spans="1:10" x14ac:dyDescent="0.25">
      <c r="A22" s="50"/>
      <c r="B22" t="s">
        <v>293</v>
      </c>
      <c r="G22" s="609" t="s">
        <v>45</v>
      </c>
      <c r="H22" s="620">
        <f ca="1">+TRUNC(SUM(PTBLANK:PTBLANKE!Z10),0)</f>
        <v>0</v>
      </c>
      <c r="I22" s="269"/>
    </row>
    <row r="23" spans="1:10" x14ac:dyDescent="0.25">
      <c r="A23" s="50"/>
      <c r="B23" t="s">
        <v>294</v>
      </c>
      <c r="G23" s="609" t="s">
        <v>47</v>
      </c>
      <c r="H23" s="620">
        <v>0</v>
      </c>
      <c r="I23" s="269"/>
    </row>
    <row r="24" spans="1:10" ht="15.75" customHeight="1" thickBot="1" x14ac:dyDescent="0.3">
      <c r="A24" s="51"/>
      <c r="B24" s="605" t="s">
        <v>48</v>
      </c>
      <c r="C24" s="605"/>
      <c r="D24" s="605"/>
      <c r="E24" s="605"/>
      <c r="F24" s="605"/>
      <c r="G24" s="604" t="s">
        <v>49</v>
      </c>
      <c r="H24" s="619">
        <f ca="1">+SUM(H19:H23)</f>
        <v>45486</v>
      </c>
      <c r="I24" s="52"/>
    </row>
    <row r="25" spans="1:10" ht="15.7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+TRUNC(SUM(FTBLANK:FTBLANKE!AA10),0)</f>
        <v>7436</v>
      </c>
      <c r="I27" s="648"/>
      <c r="J27" s="646"/>
    </row>
    <row r="28" spans="1:10" x14ac:dyDescent="0.25">
      <c r="A28" s="50"/>
      <c r="B28" t="s">
        <v>54</v>
      </c>
      <c r="G28" s="609" t="s">
        <v>55</v>
      </c>
      <c r="H28" s="608">
        <f ca="1">+TRUNC(SUM(FTBLANK:FTBLANKE!AE10),0)</f>
        <v>0</v>
      </c>
      <c r="I28" s="647"/>
      <c r="J28" s="646"/>
    </row>
    <row r="29" spans="1:10" x14ac:dyDescent="0.25">
      <c r="A29" s="50"/>
      <c r="B29" t="s">
        <v>56</v>
      </c>
      <c r="G29" s="609" t="s">
        <v>57</v>
      </c>
      <c r="H29" s="608">
        <f ca="1">+TRUNC(SUM(PTBLANK:PTBLANKE!AA10),0)</f>
        <v>0</v>
      </c>
      <c r="I29" s="647"/>
      <c r="J29" s="646"/>
    </row>
    <row r="30" spans="1:10" x14ac:dyDescent="0.25">
      <c r="A30" s="50"/>
      <c r="B30" t="s">
        <v>58</v>
      </c>
      <c r="G30" s="609" t="s">
        <v>59</v>
      </c>
      <c r="H30" s="614">
        <v>0</v>
      </c>
      <c r="I30" s="647"/>
      <c r="J30" s="646"/>
    </row>
    <row r="31" spans="1:10" x14ac:dyDescent="0.25">
      <c r="A31" s="50"/>
      <c r="B31" s="613" t="s">
        <v>60</v>
      </c>
      <c r="C31" s="613"/>
      <c r="D31" s="613"/>
      <c r="E31" s="613"/>
      <c r="F31" s="613"/>
      <c r="G31" s="612" t="s">
        <v>61</v>
      </c>
      <c r="H31" s="611">
        <f ca="1">+SUM(H27:H30)</f>
        <v>7436</v>
      </c>
      <c r="I31" s="647"/>
      <c r="J31" s="646"/>
    </row>
    <row r="32" spans="1:10" x14ac:dyDescent="0.25">
      <c r="A32" s="50"/>
      <c r="B32" t="s">
        <v>195</v>
      </c>
      <c r="G32" s="609" t="s">
        <v>297</v>
      </c>
      <c r="H32" s="608">
        <f ca="1">+SUM(FTBLANK:PTBLANKE!AJ10)</f>
        <v>4872.08</v>
      </c>
      <c r="I32" s="647"/>
      <c r="J32" s="646"/>
    </row>
    <row r="33" spans="1:10" x14ac:dyDescent="0.25">
      <c r="A33" s="50"/>
      <c r="B33" t="s">
        <v>298</v>
      </c>
      <c r="G33" s="609" t="s">
        <v>299</v>
      </c>
      <c r="H33" s="608">
        <f ca="1">+SUM(FTBLANK:PTBLANKE!AK10)</f>
        <v>73.13000000000001</v>
      </c>
      <c r="I33" s="647"/>
      <c r="J33" s="646"/>
    </row>
    <row r="34" spans="1:10" ht="15.75" customHeight="1" thickBot="1" x14ac:dyDescent="0.3">
      <c r="A34" s="51"/>
      <c r="B34" s="605" t="s">
        <v>300</v>
      </c>
      <c r="C34" s="605"/>
      <c r="D34" s="605"/>
      <c r="E34" s="605"/>
      <c r="F34" s="605"/>
      <c r="G34" s="604" t="s">
        <v>301</v>
      </c>
      <c r="H34" s="650">
        <f ca="1">+H31+H32+H33</f>
        <v>12381.21</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599">
        <f ca="1">+H34</f>
        <v>12381.21</v>
      </c>
      <c r="I37" s="268"/>
    </row>
    <row r="38" spans="1:10" ht="15.7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74"/>
      <c r="H39" s="654"/>
      <c r="I39" s="268"/>
    </row>
    <row r="40" spans="1:10" x14ac:dyDescent="0.25">
      <c r="A40" s="50"/>
      <c r="B40" t="s">
        <v>307</v>
      </c>
      <c r="C40" t="s">
        <v>308</v>
      </c>
      <c r="E40" t="s">
        <v>309</v>
      </c>
      <c r="I40" s="269"/>
    </row>
    <row r="41" spans="1:10" ht="15.75" customHeight="1" thickBot="1" x14ac:dyDescent="0.3">
      <c r="A41" s="51"/>
      <c r="B41" s="24" t="s">
        <v>310</v>
      </c>
      <c r="C41" s="24" t="s">
        <v>210</v>
      </c>
      <c r="D41" s="24"/>
      <c r="E41" s="24" t="s">
        <v>311</v>
      </c>
      <c r="F41" s="966">
        <v>40022997054</v>
      </c>
      <c r="G41" s="915"/>
      <c r="H41" s="915"/>
      <c r="I41" s="52"/>
    </row>
    <row r="42" spans="1:10" ht="17.25" customHeight="1" thickBot="1" x14ac:dyDescent="0.4">
      <c r="A42" s="50"/>
      <c r="E42" s="574"/>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G45" s="970"/>
      <c r="H45" s="913"/>
      <c r="I45" s="269"/>
    </row>
    <row r="46" spans="1:10" x14ac:dyDescent="0.25">
      <c r="A46" s="48"/>
      <c r="B46" s="592" t="s">
        <v>315</v>
      </c>
      <c r="C46" s="591" t="s">
        <v>316</v>
      </c>
      <c r="D46" s="590"/>
      <c r="E46" s="589"/>
      <c r="F46" s="49"/>
      <c r="G46" s="755"/>
      <c r="H46" s="769"/>
      <c r="I46" s="268"/>
    </row>
    <row r="47" spans="1:10" ht="17.25" customHeight="1" thickBot="1" x14ac:dyDescent="0.4">
      <c r="A47" s="51"/>
      <c r="B47" s="24"/>
      <c r="C47" s="586" t="s">
        <v>317</v>
      </c>
      <c r="D47" s="585"/>
      <c r="E47" s="652"/>
      <c r="F47" s="24"/>
      <c r="G47" s="773"/>
      <c r="H47" s="750"/>
      <c r="I47" s="52"/>
    </row>
    <row r="49" spans="2:7" ht="15.75" customHeight="1" thickBot="1" x14ac:dyDescent="0.3">
      <c r="B49" s="749" t="s">
        <v>323</v>
      </c>
    </row>
    <row r="50" spans="2:7" ht="15" customHeight="1" x14ac:dyDescent="0.25">
      <c r="B50" s="960" t="s">
        <v>318</v>
      </c>
      <c r="C50" s="958">
        <f ca="1">+H24+(0.5*H32)+H33</f>
        <v>47995.17</v>
      </c>
      <c r="D50" s="890"/>
      <c r="E50" s="890"/>
      <c r="F50" s="890"/>
      <c r="G50" s="953"/>
    </row>
    <row r="51" spans="2:7" ht="15" customHeight="1" x14ac:dyDescent="0.25">
      <c r="B51" s="961"/>
      <c r="C51" s="876"/>
      <c r="D51" s="876"/>
      <c r="E51" s="876"/>
      <c r="F51" s="876"/>
      <c r="G51" s="913"/>
    </row>
    <row r="52" spans="2:7" ht="15.75" customHeight="1" thickBot="1" x14ac:dyDescent="0.3">
      <c r="B52" s="962"/>
      <c r="C52" s="915"/>
      <c r="D52" s="915"/>
      <c r="E52" s="915"/>
      <c r="F52" s="915"/>
      <c r="G52" s="895"/>
    </row>
  </sheetData>
  <mergeCells count="10">
    <mergeCell ref="C50:G52"/>
    <mergeCell ref="G45:H45"/>
    <mergeCell ref="C9:D9"/>
    <mergeCell ref="B50:B52"/>
    <mergeCell ref="C8:D8"/>
    <mergeCell ref="B1:B3"/>
    <mergeCell ref="C10:D10"/>
    <mergeCell ref="C7:D7"/>
    <mergeCell ref="C5:E5"/>
    <mergeCell ref="F41:H41"/>
  </mergeCells>
  <hyperlinks>
    <hyperlink ref="B49" r:id="rId1" location="##_FS5.pdf" xr:uid="{00000000-0004-0000-3100-000000000000}"/>
  </hyperlinks>
  <pageMargins left="0.7" right="0.7" top="0.75" bottom="0.75" header="0.3" footer="0.3"/>
  <pageSetup paperSize="9" fitToHeight="0" orientation="portrait" r:id="rId2"/>
  <drawing r:id="rId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9">
    <tabColor theme="4" tint="0.59999389629810485"/>
  </sheetPr>
  <dimension ref="A1:R52"/>
  <sheetViews>
    <sheetView workbookViewId="0"/>
  </sheetViews>
  <sheetFormatPr defaultRowHeight="15" x14ac:dyDescent="0.25"/>
  <cols>
    <col min="1" max="1" width="4" customWidth="1"/>
    <col min="2" max="2" width="19.42578125" customWidth="1"/>
    <col min="3" max="3" width="15.28515625" customWidth="1"/>
    <col min="6" max="6" width="3.140625" customWidth="1"/>
    <col min="7" max="7" width="8" customWidth="1"/>
    <col min="8" max="8" width="13.42578125" customWidth="1"/>
    <col min="9" max="9" width="5.7109375" customWidth="1"/>
  </cols>
  <sheetData>
    <row r="1" spans="1:18" ht="13.9" customHeight="1" x14ac:dyDescent="0.25">
      <c r="A1" s="640">
        <f>+H7</f>
        <v>46235</v>
      </c>
      <c r="B1" s="963" t="s">
        <v>273</v>
      </c>
      <c r="C1" s="639" t="s">
        <v>1</v>
      </c>
      <c r="D1" s="639"/>
      <c r="E1" s="639"/>
      <c r="F1" s="639"/>
      <c r="G1" s="639"/>
      <c r="H1" s="639"/>
      <c r="I1" s="638"/>
      <c r="K1" t="s">
        <v>320</v>
      </c>
    </row>
    <row r="2" spans="1:18" ht="14.45" customHeight="1" x14ac:dyDescent="0.25">
      <c r="A2" s="637"/>
      <c r="B2" s="876"/>
      <c r="C2" s="636" t="s">
        <v>274</v>
      </c>
      <c r="D2" s="636"/>
      <c r="E2" s="636"/>
      <c r="F2" s="636"/>
      <c r="G2" s="636"/>
      <c r="H2" s="636"/>
      <c r="I2" s="635"/>
    </row>
    <row r="3" spans="1:18" ht="12" customHeight="1" thickBot="1" x14ac:dyDescent="0.3">
      <c r="A3" s="50"/>
      <c r="B3" s="876"/>
      <c r="C3" s="636"/>
      <c r="D3" s="636"/>
      <c r="E3" s="636"/>
      <c r="F3" s="636"/>
      <c r="G3" s="636"/>
      <c r="H3" s="636"/>
      <c r="I3" s="635"/>
    </row>
    <row r="4" spans="1:18" ht="15.75" customHeight="1" thickBot="1" x14ac:dyDescent="0.3">
      <c r="A4" s="602" t="s">
        <v>3</v>
      </c>
      <c r="B4" s="601" t="s">
        <v>275</v>
      </c>
      <c r="G4" s="48" t="s">
        <v>276</v>
      </c>
      <c r="H4" s="49"/>
      <c r="I4" s="268"/>
    </row>
    <row r="5" spans="1:18" ht="15.75" customHeight="1" thickBot="1" x14ac:dyDescent="0.3">
      <c r="A5" s="25"/>
      <c r="B5" s="276" t="s">
        <v>206</v>
      </c>
      <c r="C5" s="965" t="s">
        <v>277</v>
      </c>
      <c r="D5" s="938"/>
      <c r="E5" s="926"/>
      <c r="G5" s="51" t="s">
        <v>9</v>
      </c>
      <c r="H5" s="634">
        <v>474436</v>
      </c>
      <c r="I5" s="52"/>
    </row>
    <row r="6" spans="1:18" x14ac:dyDescent="0.25">
      <c r="A6" s="50"/>
      <c r="B6" t="s">
        <v>278</v>
      </c>
      <c r="E6" s="269"/>
      <c r="G6" s="48" t="s">
        <v>279</v>
      </c>
      <c r="H6" s="49"/>
      <c r="I6" s="268"/>
    </row>
    <row r="7" spans="1:18" ht="15.75" customHeight="1" thickBot="1" x14ac:dyDescent="0.3">
      <c r="A7" s="50"/>
      <c r="B7" t="s">
        <v>280</v>
      </c>
      <c r="C7" s="959" t="s">
        <v>281</v>
      </c>
      <c r="D7" s="876"/>
      <c r="E7" s="269"/>
      <c r="G7" s="51" t="s">
        <v>13</v>
      </c>
      <c r="H7" s="633">
        <f>+DATA!A10</f>
        <v>46235</v>
      </c>
      <c r="I7" s="52"/>
    </row>
    <row r="8" spans="1:18" x14ac:dyDescent="0.25">
      <c r="A8" s="50"/>
      <c r="B8" t="s">
        <v>282</v>
      </c>
      <c r="C8" s="959" t="s">
        <v>283</v>
      </c>
      <c r="D8" s="876"/>
      <c r="E8" s="269"/>
      <c r="H8" s="632"/>
      <c r="I8" s="269"/>
    </row>
    <row r="9" spans="1:18" x14ac:dyDescent="0.25">
      <c r="A9" s="50"/>
      <c r="B9" t="s">
        <v>284</v>
      </c>
      <c r="C9" s="959" t="s">
        <v>210</v>
      </c>
      <c r="D9" s="876"/>
      <c r="E9" s="269"/>
      <c r="I9" s="269"/>
    </row>
    <row r="10" spans="1:18" ht="15.75" customHeight="1" thickBot="1" x14ac:dyDescent="0.3">
      <c r="A10" s="51"/>
      <c r="B10" s="24" t="s">
        <v>211</v>
      </c>
      <c r="C10" s="964"/>
      <c r="D10" s="915"/>
      <c r="E10" s="52"/>
      <c r="I10" s="269"/>
    </row>
    <row r="11" spans="1:18" ht="15.75" customHeight="1" thickBot="1" x14ac:dyDescent="0.3">
      <c r="A11" s="25"/>
      <c r="B11" s="276" t="s">
        <v>285</v>
      </c>
      <c r="C11" s="630">
        <v>21826685</v>
      </c>
      <c r="D11" s="276"/>
      <c r="E11" s="629"/>
      <c r="I11" s="269"/>
    </row>
    <row r="12" spans="1:18" ht="15.75" customHeight="1" thickBot="1" x14ac:dyDescent="0.3">
      <c r="A12" s="51"/>
      <c r="B12" s="24" t="s">
        <v>286</v>
      </c>
      <c r="C12" s="24"/>
      <c r="D12" s="24"/>
      <c r="E12" s="52"/>
      <c r="F12" s="24"/>
      <c r="G12" s="24"/>
      <c r="H12" s="24"/>
      <c r="I12" s="52"/>
    </row>
    <row r="13" spans="1:18" ht="15.75" customHeight="1" thickBot="1" x14ac:dyDescent="0.3">
      <c r="A13" s="50"/>
      <c r="I13" s="269"/>
    </row>
    <row r="14" spans="1:18" ht="15.75" customHeight="1" thickBot="1" x14ac:dyDescent="0.3">
      <c r="A14" s="602" t="s">
        <v>32</v>
      </c>
      <c r="B14" s="601" t="s">
        <v>287</v>
      </c>
      <c r="I14" s="269"/>
      <c r="N14" s="646"/>
      <c r="O14" s="646"/>
      <c r="P14" s="646"/>
      <c r="Q14" s="646"/>
      <c r="R14" s="646"/>
    </row>
    <row r="15" spans="1:18" x14ac:dyDescent="0.25">
      <c r="A15" s="48"/>
      <c r="B15" s="49" t="s">
        <v>288</v>
      </c>
      <c r="C15" s="49"/>
      <c r="D15" s="49"/>
      <c r="E15" s="49"/>
      <c r="F15" s="49"/>
      <c r="G15" s="49"/>
      <c r="H15" s="626" t="s">
        <v>34</v>
      </c>
      <c r="I15" s="625">
        <f ca="1">+SUM(FTBLANK:PTBLANKE!N89)</f>
        <v>14</v>
      </c>
      <c r="N15" s="646"/>
      <c r="O15" s="646"/>
      <c r="P15" s="646"/>
      <c r="Q15" s="646"/>
      <c r="R15" s="646"/>
    </row>
    <row r="16" spans="1:18" ht="15.75" customHeight="1" thickBot="1" x14ac:dyDescent="0.3">
      <c r="A16" s="51"/>
      <c r="B16" s="24" t="s">
        <v>289</v>
      </c>
      <c r="C16" s="24"/>
      <c r="D16" s="24"/>
      <c r="E16" s="24"/>
      <c r="F16" s="24"/>
      <c r="G16" s="24"/>
      <c r="H16" s="624" t="s">
        <v>290</v>
      </c>
      <c r="I16" s="623">
        <f ca="1">+SUM(FTBLANK:PTBLANKE!N90)</f>
        <v>4</v>
      </c>
      <c r="N16" s="646"/>
      <c r="O16" s="646"/>
      <c r="P16" s="646"/>
      <c r="Q16" s="646"/>
      <c r="R16" s="646"/>
    </row>
    <row r="17" spans="1:10" ht="15.75"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+TRUNC(SUM(FTBLANK:FTBLANKE!Z11),0)</f>
        <v>45486</v>
      </c>
      <c r="I19" s="622"/>
    </row>
    <row r="20" spans="1:10" x14ac:dyDescent="0.25">
      <c r="A20" s="50"/>
      <c r="B20" t="s">
        <v>291</v>
      </c>
      <c r="G20" s="609" t="s">
        <v>292</v>
      </c>
      <c r="H20" s="621">
        <f ca="1">+SUM(FTBLANK:PTBLANKE!AD11)</f>
        <v>0</v>
      </c>
      <c r="I20" s="621"/>
    </row>
    <row r="21" spans="1:10" x14ac:dyDescent="0.25">
      <c r="A21" s="50"/>
      <c r="B21" t="s">
        <v>42</v>
      </c>
      <c r="G21" s="609" t="s">
        <v>43</v>
      </c>
      <c r="H21" s="621">
        <v>0</v>
      </c>
      <c r="I21" s="621"/>
    </row>
    <row r="22" spans="1:10" x14ac:dyDescent="0.25">
      <c r="A22" s="50"/>
      <c r="B22" t="s">
        <v>293</v>
      </c>
      <c r="G22" s="609" t="s">
        <v>45</v>
      </c>
      <c r="H22" s="620">
        <f ca="1">+TRUNC(SUM(PTBLANK:PTBLANKE!Z11),0)</f>
        <v>0</v>
      </c>
      <c r="I22" s="269"/>
    </row>
    <row r="23" spans="1:10" x14ac:dyDescent="0.25">
      <c r="A23" s="50"/>
      <c r="B23" t="s">
        <v>294</v>
      </c>
      <c r="G23" s="609" t="s">
        <v>47</v>
      </c>
      <c r="H23" s="620">
        <v>0</v>
      </c>
      <c r="I23" s="269"/>
    </row>
    <row r="24" spans="1:10" ht="15.75" customHeight="1" thickBot="1" x14ac:dyDescent="0.3">
      <c r="A24" s="51"/>
      <c r="B24" s="605" t="s">
        <v>48</v>
      </c>
      <c r="C24" s="605"/>
      <c r="D24" s="605"/>
      <c r="E24" s="605"/>
      <c r="F24" s="605"/>
      <c r="G24" s="604" t="s">
        <v>49</v>
      </c>
      <c r="H24" s="619">
        <f ca="1">+SUM(H19:H23)</f>
        <v>45486</v>
      </c>
      <c r="I24" s="52"/>
    </row>
    <row r="25" spans="1:10" ht="15.75" customHeight="1" thickBot="1" x14ac:dyDescent="0.3">
      <c r="A25" s="50"/>
      <c r="I25" s="269"/>
    </row>
    <row r="26" spans="1:10" ht="21" customHeight="1" thickBot="1" x14ac:dyDescent="0.3">
      <c r="A26" s="602" t="s">
        <v>50</v>
      </c>
      <c r="B26" s="618" t="s">
        <v>295</v>
      </c>
      <c r="C26" s="592"/>
      <c r="D26" s="601"/>
      <c r="I26" s="269"/>
    </row>
    <row r="27" spans="1:10" ht="28.9" customHeight="1" x14ac:dyDescent="0.25">
      <c r="A27" s="48"/>
      <c r="B27" s="49" t="s">
        <v>296</v>
      </c>
      <c r="C27" s="49"/>
      <c r="D27" s="49"/>
      <c r="E27" s="49"/>
      <c r="F27" s="49"/>
      <c r="G27" s="617" t="s">
        <v>53</v>
      </c>
      <c r="H27" s="616">
        <f ca="1">+TRUNC(SUM(FTBLANK:FTBLANKE!AA11),0)</f>
        <v>7436</v>
      </c>
      <c r="I27" s="648"/>
      <c r="J27" s="646"/>
    </row>
    <row r="28" spans="1:10" ht="28.9" customHeight="1" x14ac:dyDescent="0.25">
      <c r="A28" s="50"/>
      <c r="B28" t="s">
        <v>54</v>
      </c>
      <c r="G28" s="609" t="s">
        <v>55</v>
      </c>
      <c r="H28" s="608">
        <f ca="1">+TRUNC(SUM(FTBLANK:FTBLANKE!AE11),0)</f>
        <v>0</v>
      </c>
      <c r="I28" s="647"/>
      <c r="J28" s="646"/>
    </row>
    <row r="29" spans="1:10" x14ac:dyDescent="0.25">
      <c r="A29" s="50"/>
      <c r="B29" t="s">
        <v>56</v>
      </c>
      <c r="G29" s="609" t="s">
        <v>57</v>
      </c>
      <c r="H29" s="608">
        <f ca="1">+TRUNC(SUM(PTBLANK:PTBLANKE!AA11),0)</f>
        <v>0</v>
      </c>
      <c r="I29" s="647"/>
      <c r="J29" s="646"/>
    </row>
    <row r="30" spans="1:10" x14ac:dyDescent="0.25">
      <c r="A30" s="50"/>
      <c r="B30" t="s">
        <v>58</v>
      </c>
      <c r="G30" s="609" t="s">
        <v>59</v>
      </c>
      <c r="H30" s="614">
        <v>0</v>
      </c>
      <c r="I30" s="647"/>
      <c r="J30" s="646"/>
    </row>
    <row r="31" spans="1:10" ht="15" customHeight="1" x14ac:dyDescent="0.25">
      <c r="A31" s="50"/>
      <c r="B31" s="613" t="s">
        <v>60</v>
      </c>
      <c r="C31" s="613"/>
      <c r="D31" s="613"/>
      <c r="E31" s="613"/>
      <c r="F31" s="613"/>
      <c r="G31" s="612" t="s">
        <v>61</v>
      </c>
      <c r="H31" s="611">
        <f ca="1">+SUM(H27:H30)</f>
        <v>7436</v>
      </c>
      <c r="I31" s="647"/>
      <c r="J31" s="646"/>
    </row>
    <row r="32" spans="1:10" ht="16.149999999999999" customHeight="1" x14ac:dyDescent="0.25">
      <c r="A32" s="50"/>
      <c r="B32" t="s">
        <v>195</v>
      </c>
      <c r="G32" s="609" t="s">
        <v>297</v>
      </c>
      <c r="H32" s="608">
        <f ca="1">+SUM(FTBLANK:PTBLANKE!AJ11)</f>
        <v>6090.0199999999986</v>
      </c>
      <c r="I32" s="647"/>
      <c r="J32" s="646"/>
    </row>
    <row r="33" spans="1:10" x14ac:dyDescent="0.25">
      <c r="A33" s="50"/>
      <c r="B33" t="s">
        <v>298</v>
      </c>
      <c r="G33" s="609" t="s">
        <v>299</v>
      </c>
      <c r="H33" s="608">
        <f ca="1">+SUM(FTBLANK:PTBLANKE!AK11)</f>
        <v>91.419999999999987</v>
      </c>
      <c r="I33" s="647"/>
      <c r="J33" s="646"/>
    </row>
    <row r="34" spans="1:10" ht="15.75" customHeight="1" thickBot="1" x14ac:dyDescent="0.3">
      <c r="A34" s="51"/>
      <c r="B34" s="605" t="s">
        <v>300</v>
      </c>
      <c r="C34" s="605"/>
      <c r="D34" s="605"/>
      <c r="E34" s="605"/>
      <c r="F34" s="605"/>
      <c r="G34" s="604" t="s">
        <v>301</v>
      </c>
      <c r="H34" s="650">
        <f ca="1">+H31+H32+H33</f>
        <v>13617.439999999999</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599">
        <f ca="1">+H34</f>
        <v>13617.439999999999</v>
      </c>
      <c r="I37" s="268"/>
    </row>
    <row r="38" spans="1:10" ht="15.7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74"/>
      <c r="H39" s="654"/>
      <c r="I39" s="268"/>
    </row>
    <row r="40" spans="1:10" x14ac:dyDescent="0.25">
      <c r="A40" s="50"/>
      <c r="B40" t="s">
        <v>307</v>
      </c>
      <c r="C40" t="s">
        <v>308</v>
      </c>
      <c r="E40" t="s">
        <v>309</v>
      </c>
      <c r="I40" s="269"/>
    </row>
    <row r="41" spans="1:10" ht="15.75" customHeight="1" thickBot="1" x14ac:dyDescent="0.3">
      <c r="A41" s="51"/>
      <c r="B41" s="24" t="s">
        <v>310</v>
      </c>
      <c r="C41" s="24" t="s">
        <v>210</v>
      </c>
      <c r="D41" s="24"/>
      <c r="E41" s="24" t="s">
        <v>311</v>
      </c>
      <c r="F41" s="966">
        <v>40022997054</v>
      </c>
      <c r="G41" s="915"/>
      <c r="H41" s="915"/>
      <c r="I41" s="52"/>
    </row>
    <row r="42" spans="1:10" ht="15" customHeight="1" thickBot="1" x14ac:dyDescent="0.3">
      <c r="A42" s="50"/>
      <c r="I42" s="269"/>
    </row>
    <row r="43" spans="1:10" ht="16.149999999999999" customHeight="1"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756"/>
      <c r="H46" s="769"/>
      <c r="I46" s="268"/>
    </row>
    <row r="47" spans="1:10" ht="17.25" customHeight="1" thickBot="1" x14ac:dyDescent="0.4">
      <c r="A47" s="51"/>
      <c r="B47" s="24"/>
      <c r="C47" s="586" t="s">
        <v>317</v>
      </c>
      <c r="D47" s="585"/>
      <c r="E47" s="652"/>
      <c r="F47" s="24"/>
      <c r="G47" s="773"/>
      <c r="H47" s="750"/>
      <c r="I47" s="52"/>
    </row>
    <row r="49" spans="2:7" ht="15.75" customHeight="1" thickBot="1" x14ac:dyDescent="0.3">
      <c r="B49" s="749" t="s">
        <v>323</v>
      </c>
    </row>
    <row r="50" spans="2:7" ht="15" customHeight="1" x14ac:dyDescent="0.25">
      <c r="B50" s="960" t="s">
        <v>318</v>
      </c>
      <c r="C50" s="958">
        <f ca="1">+H24+(0.5*H32)+H33</f>
        <v>48622.43</v>
      </c>
      <c r="D50" s="890"/>
      <c r="E50" s="890"/>
      <c r="F50" s="890"/>
      <c r="G50" s="953"/>
    </row>
    <row r="51" spans="2:7" ht="15" customHeight="1" x14ac:dyDescent="0.25">
      <c r="B51" s="961"/>
      <c r="C51" s="876"/>
      <c r="D51" s="876"/>
      <c r="E51" s="876"/>
      <c r="F51" s="876"/>
      <c r="G51" s="913"/>
    </row>
    <row r="52" spans="2:7" ht="15.75" customHeight="1" thickBot="1" x14ac:dyDescent="0.3">
      <c r="B52" s="962"/>
      <c r="C52" s="915"/>
      <c r="D52" s="915"/>
      <c r="E52" s="915"/>
      <c r="F52" s="915"/>
      <c r="G52" s="895"/>
    </row>
  </sheetData>
  <mergeCells count="9">
    <mergeCell ref="C50:G52"/>
    <mergeCell ref="C9:D9"/>
    <mergeCell ref="B50:B52"/>
    <mergeCell ref="C8:D8"/>
    <mergeCell ref="B1:B3"/>
    <mergeCell ref="C10:D10"/>
    <mergeCell ref="C7:D7"/>
    <mergeCell ref="C5:E5"/>
    <mergeCell ref="F41:H41"/>
  </mergeCells>
  <hyperlinks>
    <hyperlink ref="B49" r:id="rId1" location="##_FS5.pdf" xr:uid="{00000000-0004-0000-3200-000000000000}"/>
  </hyperlinks>
  <pageMargins left="0.7" right="0.7" top="0.75" bottom="0.75" header="0.3" footer="0.3"/>
  <pageSetup paperSize="9" orientation="portrait" r:id="rId2"/>
  <drawing r:id="rId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20">
    <tabColor theme="4" tint="0.59999389629810485"/>
  </sheetPr>
  <dimension ref="A1:AW136"/>
  <sheetViews>
    <sheetView workbookViewId="0"/>
  </sheetViews>
  <sheetFormatPr defaultRowHeight="15" x14ac:dyDescent="0.25"/>
  <cols>
    <col min="1" max="1" width="4" customWidth="1"/>
    <col min="2" max="2" width="19.42578125" customWidth="1"/>
    <col min="3" max="3" width="15.28515625" customWidth="1"/>
    <col min="6" max="6" width="3.140625" customWidth="1"/>
    <col min="7" max="7" width="8" customWidth="1"/>
    <col min="8" max="8" width="13.42578125" customWidth="1"/>
    <col min="9" max="9" width="5.7109375" customWidth="1"/>
  </cols>
  <sheetData>
    <row r="1" spans="1:11" ht="13.9" customHeight="1" x14ac:dyDescent="0.25">
      <c r="A1" s="640">
        <f>+H7</f>
        <v>46266</v>
      </c>
      <c r="B1" s="963" t="s">
        <v>273</v>
      </c>
      <c r="C1" s="639" t="s">
        <v>1</v>
      </c>
      <c r="D1" s="639"/>
      <c r="E1" s="639"/>
      <c r="F1" s="639"/>
      <c r="G1" s="639"/>
      <c r="H1" s="639"/>
      <c r="I1" s="638"/>
      <c r="K1" t="s">
        <v>320</v>
      </c>
    </row>
    <row r="2" spans="1:11" ht="14.45" customHeight="1" x14ac:dyDescent="0.25">
      <c r="A2" s="637"/>
      <c r="B2" s="876"/>
      <c r="C2" s="636" t="s">
        <v>274</v>
      </c>
      <c r="D2" s="636"/>
      <c r="E2" s="636"/>
      <c r="F2" s="636"/>
      <c r="G2" s="636"/>
      <c r="H2" s="636"/>
      <c r="I2" s="635"/>
    </row>
    <row r="3" spans="1:11" ht="12" customHeight="1" thickBot="1" x14ac:dyDescent="0.3">
      <c r="A3" s="50"/>
      <c r="B3" s="876"/>
      <c r="C3" s="636"/>
      <c r="D3" s="636"/>
      <c r="E3" s="636"/>
      <c r="F3" s="636"/>
      <c r="G3" s="636"/>
      <c r="H3" s="636"/>
      <c r="I3" s="635"/>
    </row>
    <row r="4" spans="1:11" ht="15.75" customHeight="1" thickBot="1" x14ac:dyDescent="0.3">
      <c r="A4" s="602" t="s">
        <v>3</v>
      </c>
      <c r="B4" s="601" t="s">
        <v>275</v>
      </c>
      <c r="G4" s="48" t="s">
        <v>276</v>
      </c>
      <c r="H4" s="49"/>
      <c r="I4" s="268"/>
    </row>
    <row r="5" spans="1:11" ht="15.75" customHeight="1" thickBot="1" x14ac:dyDescent="0.3">
      <c r="A5" s="25"/>
      <c r="B5" s="276" t="s">
        <v>206</v>
      </c>
      <c r="C5" s="965" t="s">
        <v>277</v>
      </c>
      <c r="D5" s="938"/>
      <c r="E5" s="926"/>
      <c r="G5" s="51" t="s">
        <v>9</v>
      </c>
      <c r="H5" s="634">
        <v>474436</v>
      </c>
      <c r="I5" s="52"/>
    </row>
    <row r="6" spans="1:11" x14ac:dyDescent="0.25">
      <c r="A6" s="50"/>
      <c r="B6" t="s">
        <v>278</v>
      </c>
      <c r="E6" s="269"/>
      <c r="G6" s="48" t="s">
        <v>279</v>
      </c>
      <c r="H6" s="49"/>
      <c r="I6" s="268"/>
    </row>
    <row r="7" spans="1:11" ht="15.75" customHeight="1" thickBot="1" x14ac:dyDescent="0.3">
      <c r="A7" s="50"/>
      <c r="B7" t="s">
        <v>280</v>
      </c>
      <c r="C7" s="959" t="s">
        <v>281</v>
      </c>
      <c r="D7" s="876"/>
      <c r="E7" s="269"/>
      <c r="G7" s="51" t="s">
        <v>13</v>
      </c>
      <c r="H7" s="633">
        <f>+DATA!A11</f>
        <v>46266</v>
      </c>
      <c r="I7" s="52"/>
    </row>
    <row r="8" spans="1:11" x14ac:dyDescent="0.25">
      <c r="A8" s="50"/>
      <c r="B8" t="s">
        <v>282</v>
      </c>
      <c r="C8" s="959" t="s">
        <v>283</v>
      </c>
      <c r="D8" s="876"/>
      <c r="E8" s="269"/>
      <c r="H8" s="632"/>
      <c r="I8" s="269"/>
    </row>
    <row r="9" spans="1:11" x14ac:dyDescent="0.25">
      <c r="A9" s="50"/>
      <c r="B9" t="s">
        <v>284</v>
      </c>
      <c r="C9" s="959" t="s">
        <v>210</v>
      </c>
      <c r="D9" s="876"/>
      <c r="E9" s="269"/>
      <c r="I9" s="269"/>
    </row>
    <row r="10" spans="1:11" ht="15.75" customHeight="1" thickBot="1" x14ac:dyDescent="0.3">
      <c r="A10" s="51"/>
      <c r="B10" s="24" t="s">
        <v>211</v>
      </c>
      <c r="C10" s="964"/>
      <c r="D10" s="915"/>
      <c r="E10" s="52"/>
      <c r="I10" s="269"/>
    </row>
    <row r="11" spans="1:11" ht="15.75" customHeight="1" thickBot="1" x14ac:dyDescent="0.3">
      <c r="A11" s="25"/>
      <c r="B11" s="276" t="s">
        <v>285</v>
      </c>
      <c r="C11" s="630">
        <v>21826685</v>
      </c>
      <c r="D11" s="276"/>
      <c r="E11" s="629"/>
      <c r="I11" s="269"/>
    </row>
    <row r="12" spans="1:11" ht="15.75" customHeight="1" thickBot="1" x14ac:dyDescent="0.3">
      <c r="A12" s="51"/>
      <c r="B12" s="24" t="s">
        <v>286</v>
      </c>
      <c r="C12" s="24"/>
      <c r="D12" s="24"/>
      <c r="E12" s="52"/>
      <c r="F12" s="24"/>
      <c r="G12" s="24"/>
      <c r="H12" s="24"/>
      <c r="I12" s="52"/>
    </row>
    <row r="13" spans="1:11" ht="15.75" customHeight="1" thickBot="1" x14ac:dyDescent="0.3">
      <c r="A13" s="50"/>
      <c r="G13" s="582"/>
      <c r="I13" s="269"/>
    </row>
    <row r="14" spans="1:11" ht="15.75" customHeight="1" thickBot="1" x14ac:dyDescent="0.3">
      <c r="A14" s="602" t="s">
        <v>32</v>
      </c>
      <c r="B14" s="601" t="s">
        <v>287</v>
      </c>
      <c r="I14" s="269"/>
    </row>
    <row r="15" spans="1:11" x14ac:dyDescent="0.25">
      <c r="A15" s="48"/>
      <c r="B15" s="49" t="s">
        <v>288</v>
      </c>
      <c r="C15" s="49"/>
      <c r="D15" s="49"/>
      <c r="E15" s="49"/>
      <c r="F15" s="49"/>
      <c r="G15" s="49"/>
      <c r="H15" s="626" t="s">
        <v>34</v>
      </c>
      <c r="I15" s="625">
        <f ca="1">+SUM(FTBLANK:PTBLANKE!N99)</f>
        <v>14</v>
      </c>
    </row>
    <row r="16" spans="1:11" ht="15.75" customHeight="1" thickBot="1" x14ac:dyDescent="0.3">
      <c r="A16" s="51"/>
      <c r="B16" s="24" t="s">
        <v>289</v>
      </c>
      <c r="C16" s="24"/>
      <c r="D16" s="24"/>
      <c r="E16" s="24"/>
      <c r="F16" s="24"/>
      <c r="G16" s="24"/>
      <c r="H16" s="624" t="s">
        <v>290</v>
      </c>
      <c r="I16" s="623">
        <f ca="1">+SUM(FTBLANK:PTBLANKE!N100)</f>
        <v>4</v>
      </c>
    </row>
    <row r="17" spans="1:10" ht="15.75"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+TRUNC(SUM(FTBLANK:FTBLANKE!Z12),0)</f>
        <v>47124</v>
      </c>
      <c r="I19" s="622"/>
    </row>
    <row r="20" spans="1:10" x14ac:dyDescent="0.25">
      <c r="A20" s="50"/>
      <c r="B20" t="s">
        <v>291</v>
      </c>
      <c r="G20" s="609" t="s">
        <v>292</v>
      </c>
      <c r="H20" s="621">
        <f ca="1">+SUM(FTBLANK:PTBLANKE!AD12)</f>
        <v>0</v>
      </c>
      <c r="I20" s="621"/>
    </row>
    <row r="21" spans="1:10" x14ac:dyDescent="0.25">
      <c r="A21" s="50"/>
      <c r="B21" t="s">
        <v>42</v>
      </c>
      <c r="G21" s="609" t="s">
        <v>43</v>
      </c>
      <c r="H21" s="621">
        <v>0</v>
      </c>
      <c r="I21" s="621"/>
    </row>
    <row r="22" spans="1:10" x14ac:dyDescent="0.25">
      <c r="A22" s="50"/>
      <c r="B22" t="s">
        <v>293</v>
      </c>
      <c r="G22" s="609" t="s">
        <v>45</v>
      </c>
      <c r="H22" s="620">
        <f ca="1">+TRUNC(SUM(PTBLANK:PTBLANKE!Z12),0)</f>
        <v>0</v>
      </c>
      <c r="I22" s="269"/>
    </row>
    <row r="23" spans="1:10" x14ac:dyDescent="0.25">
      <c r="A23" s="50"/>
      <c r="B23" t="s">
        <v>294</v>
      </c>
      <c r="G23" s="609" t="s">
        <v>47</v>
      </c>
      <c r="H23" s="620">
        <v>0</v>
      </c>
      <c r="I23" s="269"/>
    </row>
    <row r="24" spans="1:10" ht="15.75" customHeight="1" thickBot="1" x14ac:dyDescent="0.3">
      <c r="A24" s="51"/>
      <c r="B24" s="605" t="s">
        <v>48</v>
      </c>
      <c r="C24" s="605"/>
      <c r="D24" s="605"/>
      <c r="E24" s="605"/>
      <c r="F24" s="605"/>
      <c r="G24" s="604" t="s">
        <v>49</v>
      </c>
      <c r="H24" s="619">
        <f ca="1">+SUM(H19:H23)</f>
        <v>47124</v>
      </c>
      <c r="I24" s="52"/>
    </row>
    <row r="25" spans="1:10" ht="15.7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+TRUNC(SUM(FTBLANK:FTBLANKE!AA12),0)</f>
        <v>7829</v>
      </c>
      <c r="I27" s="648"/>
      <c r="J27" s="646"/>
    </row>
    <row r="28" spans="1:10" x14ac:dyDescent="0.25">
      <c r="A28" s="50"/>
      <c r="B28" t="s">
        <v>54</v>
      </c>
      <c r="G28" s="609" t="s">
        <v>55</v>
      </c>
      <c r="H28" s="608">
        <f ca="1">+TRUNC(SUM(FTBLANK:FTBLANKE!AE12),0)</f>
        <v>0</v>
      </c>
      <c r="I28" s="647"/>
      <c r="J28" s="646"/>
    </row>
    <row r="29" spans="1:10" ht="28.15" customHeight="1" x14ac:dyDescent="0.25">
      <c r="A29" s="50"/>
      <c r="B29" t="s">
        <v>56</v>
      </c>
      <c r="G29" s="609" t="s">
        <v>57</v>
      </c>
      <c r="H29" s="608">
        <f ca="1">+TRUNC(SUM(PTBLANK:PTBLANKE!AA12),0)</f>
        <v>0</v>
      </c>
      <c r="I29" s="647"/>
      <c r="J29" s="646"/>
    </row>
    <row r="30" spans="1:10" x14ac:dyDescent="0.25">
      <c r="A30" s="50"/>
      <c r="B30" t="s">
        <v>58</v>
      </c>
      <c r="G30" s="609" t="s">
        <v>59</v>
      </c>
      <c r="H30" s="614">
        <v>0</v>
      </c>
      <c r="I30" s="647"/>
      <c r="J30" s="646"/>
    </row>
    <row r="31" spans="1:10" x14ac:dyDescent="0.25">
      <c r="A31" s="50"/>
      <c r="B31" s="613" t="s">
        <v>60</v>
      </c>
      <c r="C31" s="613"/>
      <c r="D31" s="613"/>
      <c r="E31" s="613"/>
      <c r="F31" s="613"/>
      <c r="G31" s="612" t="s">
        <v>61</v>
      </c>
      <c r="H31" s="611">
        <f ca="1">+SUM(H27:H30)</f>
        <v>7829</v>
      </c>
      <c r="I31" s="647"/>
      <c r="J31" s="646"/>
    </row>
    <row r="32" spans="1:10" ht="15" customHeight="1" x14ac:dyDescent="0.25">
      <c r="A32" s="50"/>
      <c r="B32" t="s">
        <v>195</v>
      </c>
      <c r="G32" s="609" t="s">
        <v>297</v>
      </c>
      <c r="H32" s="608">
        <f ca="1">+SUM(FTBLANK:PTBLANKE!AJ12)</f>
        <v>4872.08</v>
      </c>
      <c r="I32" s="647"/>
      <c r="J32" s="646"/>
    </row>
    <row r="33" spans="1:10" ht="16.149999999999999" customHeight="1" x14ac:dyDescent="0.25">
      <c r="A33" s="50"/>
      <c r="B33" t="s">
        <v>298</v>
      </c>
      <c r="G33" s="609" t="s">
        <v>299</v>
      </c>
      <c r="H33" s="608">
        <f ca="1">+SUM(FTBLANK:PTBLANKE!AK12)</f>
        <v>73.13000000000001</v>
      </c>
      <c r="I33" s="647"/>
      <c r="J33" s="646"/>
    </row>
    <row r="34" spans="1:10" ht="15.75" customHeight="1" thickBot="1" x14ac:dyDescent="0.3">
      <c r="A34" s="51"/>
      <c r="B34" s="605" t="s">
        <v>300</v>
      </c>
      <c r="C34" s="605"/>
      <c r="D34" s="605"/>
      <c r="E34" s="605"/>
      <c r="F34" s="605"/>
      <c r="G34" s="604" t="s">
        <v>301</v>
      </c>
      <c r="H34" s="603">
        <f ca="1">+H31+H32+H33</f>
        <v>12774.21</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599">
        <f ca="1">+H34</f>
        <v>12774.21</v>
      </c>
      <c r="I37" s="268"/>
    </row>
    <row r="38" spans="1:10" ht="16.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74"/>
      <c r="H39" s="654"/>
      <c r="I39" s="268"/>
    </row>
    <row r="40" spans="1:10" x14ac:dyDescent="0.25">
      <c r="A40" s="50"/>
      <c r="B40" t="s">
        <v>307</v>
      </c>
      <c r="C40" t="s">
        <v>308</v>
      </c>
      <c r="E40" t="s">
        <v>309</v>
      </c>
      <c r="I40" s="269"/>
    </row>
    <row r="41" spans="1:10" ht="15.75" customHeight="1" thickBot="1" x14ac:dyDescent="0.3">
      <c r="A41" s="51"/>
      <c r="B41" s="24" t="s">
        <v>310</v>
      </c>
      <c r="C41" s="24" t="s">
        <v>210</v>
      </c>
      <c r="D41" s="24"/>
      <c r="E41" s="24" t="s">
        <v>311</v>
      </c>
      <c r="F41" s="966">
        <v>40022997054</v>
      </c>
      <c r="G41" s="915"/>
      <c r="H41" s="915"/>
      <c r="I41" s="52"/>
    </row>
    <row r="42" spans="1:10" ht="35.25" customHeight="1" thickBot="1" x14ac:dyDescent="0.3">
      <c r="A42" s="50"/>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755"/>
      <c r="H46" s="769"/>
      <c r="I46" s="268"/>
    </row>
    <row r="47" spans="1:10" ht="15.75" customHeight="1" thickBot="1" x14ac:dyDescent="0.3">
      <c r="A47" s="51"/>
      <c r="B47" s="24"/>
      <c r="C47" s="586" t="s">
        <v>317</v>
      </c>
      <c r="D47" s="585"/>
      <c r="E47" s="652"/>
      <c r="F47" s="24"/>
      <c r="G47" s="774"/>
      <c r="H47" s="752"/>
      <c r="I47" s="52"/>
    </row>
    <row r="49" spans="2:49" ht="15.75" customHeight="1" thickBot="1" x14ac:dyDescent="0.3">
      <c r="B49" s="749"/>
    </row>
    <row r="50" spans="2:49" ht="15" customHeight="1" x14ac:dyDescent="0.25">
      <c r="B50" s="960" t="s">
        <v>318</v>
      </c>
      <c r="C50" s="958">
        <f ca="1">+H24+(0.5*H32)+H33</f>
        <v>49633.17</v>
      </c>
      <c r="D50" s="890"/>
      <c r="E50" s="890"/>
      <c r="F50" s="890"/>
      <c r="G50" s="953"/>
    </row>
    <row r="51" spans="2:49" ht="15" customHeight="1" x14ac:dyDescent="0.25">
      <c r="B51" s="961"/>
      <c r="C51" s="876"/>
      <c r="D51" s="876"/>
      <c r="E51" s="876"/>
      <c r="F51" s="876"/>
      <c r="G51" s="913"/>
      <c r="AW51" s="582"/>
    </row>
    <row r="52" spans="2:49" ht="15.75" customHeight="1" thickBot="1" x14ac:dyDescent="0.3">
      <c r="B52" s="962"/>
      <c r="C52" s="915"/>
      <c r="D52" s="915"/>
      <c r="E52" s="915"/>
      <c r="F52" s="915"/>
      <c r="G52" s="895"/>
    </row>
    <row r="136" spans="11:11" x14ac:dyDescent="0.25">
      <c r="K136" s="582"/>
    </row>
  </sheetData>
  <mergeCells count="9">
    <mergeCell ref="C50:G52"/>
    <mergeCell ref="C9:D9"/>
    <mergeCell ref="B50:B52"/>
    <mergeCell ref="C8:D8"/>
    <mergeCell ref="B1:B3"/>
    <mergeCell ref="C10:D10"/>
    <mergeCell ref="C7:D7"/>
    <mergeCell ref="C5:E5"/>
    <mergeCell ref="F41:H41"/>
  </mergeCells>
  <pageMargins left="0.7" right="0.7" top="0.75" bottom="0.75" header="0.3" footer="0.3"/>
  <pageSetup paperSize="9"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1">
    <tabColor theme="4" tint="0.59999389629810485"/>
  </sheetPr>
  <dimension ref="A1:K52"/>
  <sheetViews>
    <sheetView workbookViewId="0"/>
  </sheetViews>
  <sheetFormatPr defaultRowHeight="15" x14ac:dyDescent="0.25"/>
  <cols>
    <col min="1" max="1" width="4" customWidth="1"/>
    <col min="2" max="2" width="19.42578125" customWidth="1"/>
    <col min="3" max="3" width="15.28515625" customWidth="1"/>
    <col min="6" max="6" width="3.140625" customWidth="1"/>
    <col min="7" max="7" width="8" customWidth="1"/>
    <col min="8" max="8" width="14.28515625" bestFit="1" customWidth="1"/>
    <col min="9" max="9" width="24.7109375" customWidth="1"/>
    <col min="16" max="16" width="19.5703125" customWidth="1"/>
    <col min="19" max="19" width="20.28515625" customWidth="1"/>
    <col min="20" max="20" width="18.42578125" customWidth="1"/>
    <col min="40" max="40" width="12.140625" customWidth="1"/>
    <col min="55" max="55" width="12.28515625" customWidth="1"/>
  </cols>
  <sheetData>
    <row r="1" spans="1:11" ht="13.9" customHeight="1" x14ac:dyDescent="0.25">
      <c r="A1" s="640">
        <f>+H7</f>
        <v>46296</v>
      </c>
      <c r="B1" s="963" t="s">
        <v>273</v>
      </c>
      <c r="C1" s="639" t="s">
        <v>1</v>
      </c>
      <c r="D1" s="639"/>
      <c r="E1" s="639"/>
      <c r="F1" s="639"/>
      <c r="G1" s="639"/>
      <c r="H1" s="639"/>
      <c r="I1" s="638"/>
      <c r="K1" t="s">
        <v>320</v>
      </c>
    </row>
    <row r="2" spans="1:11" ht="14.45" customHeight="1" x14ac:dyDescent="0.25">
      <c r="A2" s="637"/>
      <c r="B2" s="876"/>
      <c r="C2" s="636" t="s">
        <v>274</v>
      </c>
      <c r="D2" s="636"/>
      <c r="E2" s="636"/>
      <c r="F2" s="636"/>
      <c r="G2" s="636"/>
      <c r="H2" s="636"/>
      <c r="I2" s="635"/>
    </row>
    <row r="3" spans="1:11" ht="12" customHeight="1" thickBot="1" x14ac:dyDescent="0.3">
      <c r="A3" s="50"/>
      <c r="B3" s="876"/>
      <c r="C3" s="636"/>
      <c r="D3" s="636"/>
      <c r="E3" s="636"/>
      <c r="F3" s="636"/>
      <c r="G3" s="636"/>
      <c r="H3" s="636"/>
      <c r="I3" s="635"/>
    </row>
    <row r="4" spans="1:11" ht="28.15" customHeight="1" thickBot="1" x14ac:dyDescent="0.3">
      <c r="A4" s="602" t="s">
        <v>3</v>
      </c>
      <c r="B4" s="601" t="s">
        <v>275</v>
      </c>
      <c r="G4" s="48" t="s">
        <v>276</v>
      </c>
      <c r="H4" s="49"/>
      <c r="I4" s="268"/>
    </row>
    <row r="5" spans="1:11" ht="16.149999999999999" customHeight="1" thickBot="1" x14ac:dyDescent="0.3">
      <c r="A5" s="25"/>
      <c r="B5" s="276" t="s">
        <v>206</v>
      </c>
      <c r="C5" s="965" t="s">
        <v>277</v>
      </c>
      <c r="D5" s="938"/>
      <c r="E5" s="926"/>
      <c r="G5" s="51" t="s">
        <v>9</v>
      </c>
      <c r="H5" s="634">
        <v>474436</v>
      </c>
      <c r="I5" s="52"/>
    </row>
    <row r="6" spans="1:11" ht="15" customHeight="1" x14ac:dyDescent="0.25">
      <c r="A6" s="50"/>
      <c r="B6" t="s">
        <v>278</v>
      </c>
      <c r="E6" s="269"/>
      <c r="G6" s="48" t="s">
        <v>279</v>
      </c>
      <c r="H6" s="49"/>
      <c r="I6" s="268"/>
    </row>
    <row r="7" spans="1:11" ht="15.75" customHeight="1" thickBot="1" x14ac:dyDescent="0.3">
      <c r="A7" s="50"/>
      <c r="B7" t="s">
        <v>280</v>
      </c>
      <c r="C7" s="959" t="s">
        <v>281</v>
      </c>
      <c r="D7" s="876"/>
      <c r="E7" s="269"/>
      <c r="G7" s="51" t="s">
        <v>13</v>
      </c>
      <c r="H7" s="633">
        <f>+DATA!A12</f>
        <v>46296</v>
      </c>
      <c r="I7" s="52"/>
    </row>
    <row r="8" spans="1:11" ht="21.75" customHeight="1" x14ac:dyDescent="0.25">
      <c r="A8" s="50"/>
      <c r="B8" t="s">
        <v>282</v>
      </c>
      <c r="C8" s="959" t="s">
        <v>283</v>
      </c>
      <c r="D8" s="876"/>
      <c r="E8" s="269"/>
      <c r="H8" s="632"/>
      <c r="I8" s="269"/>
    </row>
    <row r="9" spans="1:11" ht="15.75" customHeight="1" x14ac:dyDescent="0.25">
      <c r="A9" s="50"/>
      <c r="B9" t="s">
        <v>284</v>
      </c>
      <c r="C9" s="959" t="s">
        <v>210</v>
      </c>
      <c r="D9" s="876"/>
      <c r="E9" s="269"/>
      <c r="I9" s="269"/>
    </row>
    <row r="10" spans="1:11" ht="15.75" customHeight="1" thickBot="1" x14ac:dyDescent="0.3">
      <c r="A10" s="51"/>
      <c r="B10" s="24" t="s">
        <v>211</v>
      </c>
      <c r="C10" s="964"/>
      <c r="D10" s="915"/>
      <c r="E10" s="52"/>
      <c r="I10" s="269"/>
    </row>
    <row r="11" spans="1:11" ht="15.75" customHeight="1" thickBot="1" x14ac:dyDescent="0.3">
      <c r="A11" s="25"/>
      <c r="B11" s="276" t="s">
        <v>285</v>
      </c>
      <c r="C11" s="630">
        <v>21826685</v>
      </c>
      <c r="D11" s="276"/>
      <c r="E11" s="629"/>
      <c r="I11" s="269"/>
    </row>
    <row r="12" spans="1:11" ht="15.75" customHeight="1" thickBot="1" x14ac:dyDescent="0.3">
      <c r="A12" s="51"/>
      <c r="B12" s="24" t="s">
        <v>286</v>
      </c>
      <c r="C12" s="24"/>
      <c r="D12" s="24"/>
      <c r="E12" s="52"/>
      <c r="F12" s="24"/>
      <c r="G12" s="24"/>
      <c r="H12" s="24"/>
      <c r="I12" s="52"/>
    </row>
    <row r="13" spans="1:11" ht="15.75" customHeight="1" thickBot="1" x14ac:dyDescent="0.3">
      <c r="A13" s="50"/>
      <c r="I13" s="269"/>
    </row>
    <row r="14" spans="1:11" ht="15.75" customHeight="1" thickBot="1" x14ac:dyDescent="0.3">
      <c r="A14" s="602" t="s">
        <v>32</v>
      </c>
      <c r="B14" s="601" t="s">
        <v>287</v>
      </c>
      <c r="I14" s="269"/>
    </row>
    <row r="15" spans="1:11" x14ac:dyDescent="0.25">
      <c r="A15" s="48"/>
      <c r="B15" s="49" t="s">
        <v>288</v>
      </c>
      <c r="C15" s="49"/>
      <c r="D15" s="49"/>
      <c r="E15" s="49"/>
      <c r="F15" s="49"/>
      <c r="G15" s="49"/>
      <c r="H15" s="626" t="s">
        <v>34</v>
      </c>
      <c r="I15" s="625">
        <f ca="1">+SUM(FTBLANK:PTBLANKE!N109)</f>
        <v>14</v>
      </c>
    </row>
    <row r="16" spans="1:11" ht="15.75" customHeight="1" thickBot="1" x14ac:dyDescent="0.3">
      <c r="A16" s="51"/>
      <c r="B16" s="24" t="s">
        <v>289</v>
      </c>
      <c r="C16" s="24"/>
      <c r="D16" s="24"/>
      <c r="E16" s="24"/>
      <c r="F16" s="24"/>
      <c r="G16" s="24"/>
      <c r="H16" s="624" t="s">
        <v>290</v>
      </c>
      <c r="I16" s="623">
        <f ca="1">+SUM(FTBLANK:PTBLANKE!N110)</f>
        <v>4</v>
      </c>
    </row>
    <row r="17" spans="1:10" ht="15.75"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+TRUNC(SUM(FTBLANK:FTBLANKE!Z13),0)</f>
        <v>45486</v>
      </c>
      <c r="I19" s="622"/>
    </row>
    <row r="20" spans="1:10" x14ac:dyDescent="0.25">
      <c r="A20" s="50"/>
      <c r="B20" t="s">
        <v>291</v>
      </c>
      <c r="G20" s="609" t="s">
        <v>292</v>
      </c>
      <c r="H20" s="621">
        <f ca="1">+SUM(FTBLANK:PTBLANKE!AD13)</f>
        <v>0</v>
      </c>
      <c r="I20" s="621"/>
    </row>
    <row r="21" spans="1:10" x14ac:dyDescent="0.25">
      <c r="A21" s="50"/>
      <c r="B21" t="s">
        <v>42</v>
      </c>
      <c r="G21" s="609" t="s">
        <v>43</v>
      </c>
      <c r="H21" s="621">
        <v>0</v>
      </c>
      <c r="I21" s="621"/>
    </row>
    <row r="22" spans="1:10" x14ac:dyDescent="0.25">
      <c r="A22" s="50"/>
      <c r="B22" t="s">
        <v>293</v>
      </c>
      <c r="G22" s="609" t="s">
        <v>45</v>
      </c>
      <c r="H22" s="620">
        <f ca="1">+TRUNC(SUM(PTBLANK:PTBLANKE!Z13),0)</f>
        <v>0</v>
      </c>
      <c r="I22" s="269"/>
    </row>
    <row r="23" spans="1:10" x14ac:dyDescent="0.25">
      <c r="A23" s="50"/>
      <c r="B23" t="s">
        <v>294</v>
      </c>
      <c r="G23" s="609" t="s">
        <v>47</v>
      </c>
      <c r="H23" s="620">
        <v>0</v>
      </c>
      <c r="I23" s="269"/>
    </row>
    <row r="24" spans="1:10" ht="46.5" customHeight="1" thickBot="1" x14ac:dyDescent="0.3">
      <c r="A24" s="51"/>
      <c r="B24" s="605" t="s">
        <v>48</v>
      </c>
      <c r="C24" s="605"/>
      <c r="D24" s="605"/>
      <c r="E24" s="605"/>
      <c r="F24" s="605"/>
      <c r="G24" s="604" t="s">
        <v>49</v>
      </c>
      <c r="H24" s="619">
        <f ca="1">+SUM(H19:H23)</f>
        <v>45486</v>
      </c>
      <c r="I24" s="52"/>
    </row>
    <row r="25" spans="1:10" ht="14.2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+TRUNC(SUM(FTBLANK:FTBLANKE!AA13),0)</f>
        <v>7436</v>
      </c>
      <c r="I27" s="648"/>
      <c r="J27" s="646"/>
    </row>
    <row r="28" spans="1:10" x14ac:dyDescent="0.25">
      <c r="A28" s="50"/>
      <c r="B28" t="s">
        <v>54</v>
      </c>
      <c r="G28" s="609" t="s">
        <v>55</v>
      </c>
      <c r="H28" s="608">
        <f ca="1">+TRUNC(SUM(FTBLANK:FTBLANKE!AE13),0)</f>
        <v>0</v>
      </c>
      <c r="I28" s="647"/>
      <c r="J28" s="646"/>
    </row>
    <row r="29" spans="1:10" x14ac:dyDescent="0.25">
      <c r="A29" s="50"/>
      <c r="B29" t="s">
        <v>56</v>
      </c>
      <c r="G29" s="609" t="s">
        <v>57</v>
      </c>
      <c r="H29" s="608">
        <f ca="1">+TRUNC(SUM(PTBLANK:PTBLANKE!AA13),0)</f>
        <v>0</v>
      </c>
      <c r="I29" s="647"/>
      <c r="J29" s="646"/>
    </row>
    <row r="30" spans="1:10" x14ac:dyDescent="0.25">
      <c r="A30" s="50"/>
      <c r="B30" t="s">
        <v>58</v>
      </c>
      <c r="G30" s="609" t="s">
        <v>59</v>
      </c>
      <c r="H30" s="614">
        <v>0</v>
      </c>
      <c r="I30" s="647"/>
      <c r="J30" s="646"/>
    </row>
    <row r="31" spans="1:10" ht="21.75" customHeight="1" x14ac:dyDescent="0.25">
      <c r="A31" s="50"/>
      <c r="B31" s="613" t="s">
        <v>60</v>
      </c>
      <c r="C31" s="613"/>
      <c r="D31" s="613"/>
      <c r="E31" s="613"/>
      <c r="F31" s="613"/>
      <c r="G31" s="612" t="s">
        <v>61</v>
      </c>
      <c r="H31" s="611">
        <f ca="1">+SUM(H27:H30)</f>
        <v>7436</v>
      </c>
      <c r="I31" s="647"/>
      <c r="J31" s="646"/>
    </row>
    <row r="32" spans="1:10" ht="15.75" customHeight="1" x14ac:dyDescent="0.25">
      <c r="A32" s="50"/>
      <c r="B32" t="s">
        <v>195</v>
      </c>
      <c r="G32" s="609" t="s">
        <v>297</v>
      </c>
      <c r="H32" s="608">
        <f ca="1">+SUM(FTBLANK:PTBLANKE!AJ13)</f>
        <v>4872.08</v>
      </c>
      <c r="I32" s="647"/>
      <c r="J32" s="646"/>
    </row>
    <row r="33" spans="1:10" x14ac:dyDescent="0.25">
      <c r="A33" s="50"/>
      <c r="B33" t="s">
        <v>298</v>
      </c>
      <c r="G33" s="609" t="s">
        <v>299</v>
      </c>
      <c r="H33" s="608">
        <f ca="1">+SUM(FTBLANK:PTBLANKE!AK13)</f>
        <v>73.13000000000001</v>
      </c>
      <c r="I33" s="647"/>
      <c r="J33" s="646"/>
    </row>
    <row r="34" spans="1:10" ht="15.75" customHeight="1" thickBot="1" x14ac:dyDescent="0.3">
      <c r="A34" s="51"/>
      <c r="B34" s="605" t="s">
        <v>300</v>
      </c>
      <c r="C34" s="605"/>
      <c r="D34" s="605"/>
      <c r="E34" s="605"/>
      <c r="F34" s="605"/>
      <c r="G34" s="604" t="s">
        <v>301</v>
      </c>
      <c r="H34" s="603">
        <f ca="1">+H31+H32+H33</f>
        <v>12381.21</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599">
        <f ca="1">+H34</f>
        <v>12381.21</v>
      </c>
      <c r="I37" s="268"/>
    </row>
    <row r="38" spans="1:10" ht="15.75" customHeight="1" thickBot="1" x14ac:dyDescent="0.3">
      <c r="A38" s="51"/>
      <c r="B38" s="24"/>
      <c r="C38" s="24"/>
      <c r="D38" s="24"/>
      <c r="E38" s="24"/>
      <c r="F38" s="24"/>
      <c r="G38" s="24"/>
      <c r="H38" s="24"/>
      <c r="I38" s="52"/>
    </row>
    <row r="39" spans="1:10" ht="16.5" customHeight="1" x14ac:dyDescent="0.35">
      <c r="A39" s="48"/>
      <c r="B39" s="592" t="s">
        <v>305</v>
      </c>
      <c r="C39" s="49"/>
      <c r="D39" s="49" t="s">
        <v>306</v>
      </c>
      <c r="E39" s="49"/>
      <c r="F39" s="49" t="s">
        <v>64</v>
      </c>
      <c r="G39" s="594"/>
      <c r="H39" s="574"/>
      <c r="I39" s="268"/>
    </row>
    <row r="40" spans="1:10" x14ac:dyDescent="0.25">
      <c r="A40" s="50"/>
      <c r="B40" t="s">
        <v>307</v>
      </c>
      <c r="C40" t="s">
        <v>308</v>
      </c>
      <c r="E40" t="s">
        <v>309</v>
      </c>
      <c r="I40" s="269"/>
    </row>
    <row r="41" spans="1:10" ht="15.75" customHeight="1" thickBot="1" x14ac:dyDescent="0.3">
      <c r="A41" s="51"/>
      <c r="B41" s="24" t="s">
        <v>310</v>
      </c>
      <c r="C41" s="24" t="s">
        <v>210</v>
      </c>
      <c r="D41" s="24"/>
      <c r="E41" s="24" t="s">
        <v>311</v>
      </c>
      <c r="F41" s="966">
        <v>40022997054</v>
      </c>
      <c r="G41" s="915"/>
      <c r="H41" s="915"/>
      <c r="I41" s="52"/>
    </row>
    <row r="42" spans="1:10" ht="15.75" customHeight="1" thickBot="1" x14ac:dyDescent="0.3">
      <c r="A42" s="50"/>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755"/>
      <c r="H46" s="769"/>
      <c r="I46" s="268"/>
    </row>
    <row r="47" spans="1:10" ht="15.75" customHeight="1" thickBot="1" x14ac:dyDescent="0.3">
      <c r="A47" s="51"/>
      <c r="B47" s="24"/>
      <c r="C47" s="586" t="s">
        <v>317</v>
      </c>
      <c r="D47" s="585"/>
      <c r="E47" s="652"/>
      <c r="F47" s="24"/>
      <c r="G47" s="774"/>
      <c r="H47" s="752"/>
      <c r="I47" s="668"/>
    </row>
    <row r="49" spans="2:7" ht="15.75" customHeight="1" thickBot="1" x14ac:dyDescent="0.3">
      <c r="B49" s="749"/>
    </row>
    <row r="50" spans="2:7" ht="15" customHeight="1" x14ac:dyDescent="0.25">
      <c r="B50" s="960" t="s">
        <v>318</v>
      </c>
      <c r="C50" s="958">
        <f ca="1">+H24+(0.5*H32)+H33</f>
        <v>47995.17</v>
      </c>
      <c r="D50" s="890"/>
      <c r="E50" s="890"/>
      <c r="F50" s="890"/>
      <c r="G50" s="953"/>
    </row>
    <row r="51" spans="2:7" ht="15" customHeight="1" x14ac:dyDescent="0.25">
      <c r="B51" s="961"/>
      <c r="C51" s="876"/>
      <c r="D51" s="876"/>
      <c r="E51" s="876"/>
      <c r="F51" s="876"/>
      <c r="G51" s="913"/>
    </row>
    <row r="52" spans="2:7" ht="15.75" customHeight="1" thickBot="1" x14ac:dyDescent="0.3">
      <c r="B52" s="962"/>
      <c r="C52" s="915"/>
      <c r="D52" s="915"/>
      <c r="E52" s="915"/>
      <c r="F52" s="915"/>
      <c r="G52" s="895"/>
    </row>
  </sheetData>
  <mergeCells count="9">
    <mergeCell ref="C50:G52"/>
    <mergeCell ref="C9:D9"/>
    <mergeCell ref="B50:B52"/>
    <mergeCell ref="C8:D8"/>
    <mergeCell ref="B1:B3"/>
    <mergeCell ref="C10:D10"/>
    <mergeCell ref="C7:D7"/>
    <mergeCell ref="C5:E5"/>
    <mergeCell ref="F41:H41"/>
  </mergeCells>
  <pageMargins left="0.7" right="0.7" top="0.75" bottom="0.75" header="0.3" footer="0.3"/>
  <pageSetup paperSize="9" orientation="portrait" r:id="rId1"/>
  <rowBreaks count="1" manualBreakCount="1">
    <brk id="49" max="16383" man="1"/>
  </rowBreaks>
  <colBreaks count="1" manualBreakCount="1">
    <brk id="9" max="1048575" man="1"/>
  </col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2">
    <tabColor theme="4" tint="0.59999389629810485"/>
  </sheetPr>
  <dimension ref="A1:AW52"/>
  <sheetViews>
    <sheetView workbookViewId="0"/>
  </sheetViews>
  <sheetFormatPr defaultRowHeight="15" x14ac:dyDescent="0.25"/>
  <cols>
    <col min="1" max="1" width="4" customWidth="1"/>
    <col min="2" max="2" width="19.42578125" customWidth="1"/>
    <col min="3" max="3" width="15.28515625" customWidth="1"/>
    <col min="6" max="6" width="3.140625" customWidth="1"/>
    <col min="7" max="7" width="8" customWidth="1"/>
    <col min="8" max="8" width="13.42578125" customWidth="1"/>
    <col min="9" max="9" width="5.7109375" customWidth="1"/>
  </cols>
  <sheetData>
    <row r="1" spans="1:11" ht="13.9" customHeight="1" x14ac:dyDescent="0.25">
      <c r="A1" s="640">
        <f>+H7</f>
        <v>46327</v>
      </c>
      <c r="B1" s="963" t="s">
        <v>273</v>
      </c>
      <c r="C1" s="639" t="s">
        <v>1</v>
      </c>
      <c r="D1" s="639"/>
      <c r="E1" s="639"/>
      <c r="F1" s="639"/>
      <c r="G1" s="639"/>
      <c r="H1" s="639"/>
      <c r="I1" s="638"/>
      <c r="K1" t="s">
        <v>320</v>
      </c>
    </row>
    <row r="2" spans="1:11" ht="14.45" customHeight="1" x14ac:dyDescent="0.25">
      <c r="A2" s="637"/>
      <c r="B2" s="876"/>
      <c r="C2" s="636" t="s">
        <v>274</v>
      </c>
      <c r="D2" s="636"/>
      <c r="E2" s="636"/>
      <c r="F2" s="636"/>
      <c r="G2" s="636"/>
      <c r="H2" s="636"/>
      <c r="I2" s="635"/>
    </row>
    <row r="3" spans="1:11" ht="12" customHeight="1" thickBot="1" x14ac:dyDescent="0.3">
      <c r="A3" s="50"/>
      <c r="B3" s="876"/>
      <c r="C3" s="636"/>
      <c r="D3" s="636"/>
      <c r="E3" s="636"/>
      <c r="F3" s="636"/>
      <c r="G3" s="636"/>
      <c r="H3" s="636"/>
      <c r="I3" s="635"/>
    </row>
    <row r="4" spans="1:11" ht="15.75" customHeight="1" thickBot="1" x14ac:dyDescent="0.3">
      <c r="A4" s="602" t="s">
        <v>3</v>
      </c>
      <c r="B4" s="601" t="s">
        <v>275</v>
      </c>
      <c r="G4" s="48" t="s">
        <v>276</v>
      </c>
      <c r="H4" s="49"/>
      <c r="I4" s="268"/>
    </row>
    <row r="5" spans="1:11" ht="15.75" customHeight="1" thickBot="1" x14ac:dyDescent="0.3">
      <c r="A5" s="25"/>
      <c r="B5" s="276" t="s">
        <v>206</v>
      </c>
      <c r="C5" s="965" t="s">
        <v>277</v>
      </c>
      <c r="D5" s="938"/>
      <c r="E5" s="926"/>
      <c r="G5" s="51" t="s">
        <v>9</v>
      </c>
      <c r="H5" s="634">
        <v>474436</v>
      </c>
      <c r="I5" s="52"/>
    </row>
    <row r="6" spans="1:11" x14ac:dyDescent="0.25">
      <c r="A6" s="50"/>
      <c r="B6" t="s">
        <v>278</v>
      </c>
      <c r="E6" s="269"/>
      <c r="G6" s="48" t="s">
        <v>279</v>
      </c>
      <c r="H6" s="49"/>
      <c r="I6" s="268"/>
    </row>
    <row r="7" spans="1:11" ht="15.75" customHeight="1" thickBot="1" x14ac:dyDescent="0.3">
      <c r="A7" s="50"/>
      <c r="B7" t="s">
        <v>280</v>
      </c>
      <c r="C7" s="959" t="s">
        <v>281</v>
      </c>
      <c r="D7" s="876"/>
      <c r="E7" s="269"/>
      <c r="G7" s="51" t="s">
        <v>13</v>
      </c>
      <c r="H7" s="633">
        <f>+DATA!A13</f>
        <v>46327</v>
      </c>
      <c r="I7" s="52"/>
    </row>
    <row r="8" spans="1:11" x14ac:dyDescent="0.25">
      <c r="A8" s="50"/>
      <c r="B8" t="s">
        <v>282</v>
      </c>
      <c r="C8" s="959" t="s">
        <v>283</v>
      </c>
      <c r="D8" s="876"/>
      <c r="E8" s="269"/>
      <c r="H8" s="632"/>
      <c r="I8" s="269"/>
    </row>
    <row r="9" spans="1:11" ht="21.75" customHeight="1" x14ac:dyDescent="0.25">
      <c r="A9" s="50"/>
      <c r="B9" t="s">
        <v>284</v>
      </c>
      <c r="C9" s="959" t="s">
        <v>210</v>
      </c>
      <c r="D9" s="876"/>
      <c r="E9" s="269"/>
      <c r="I9" s="269"/>
    </row>
    <row r="10" spans="1:11" ht="17.25" customHeight="1" thickBot="1" x14ac:dyDescent="0.3">
      <c r="A10" s="51"/>
      <c r="B10" s="24" t="s">
        <v>211</v>
      </c>
      <c r="C10" s="964"/>
      <c r="D10" s="915"/>
      <c r="E10" s="52"/>
      <c r="I10" s="269"/>
    </row>
    <row r="11" spans="1:11" ht="15.75" customHeight="1" thickBot="1" x14ac:dyDescent="0.3">
      <c r="A11" s="25"/>
      <c r="B11" s="276" t="s">
        <v>285</v>
      </c>
      <c r="C11" s="630">
        <v>21826685</v>
      </c>
      <c r="D11" s="276"/>
      <c r="E11" s="629"/>
      <c r="I11" s="269"/>
    </row>
    <row r="12" spans="1:11" ht="15.75" customHeight="1" thickBot="1" x14ac:dyDescent="0.3">
      <c r="A12" s="51"/>
      <c r="B12" s="24" t="s">
        <v>286</v>
      </c>
      <c r="C12" s="24"/>
      <c r="D12" s="24"/>
      <c r="E12" s="52"/>
      <c r="F12" s="24"/>
      <c r="G12" s="24"/>
      <c r="H12" s="24"/>
      <c r="I12" s="52"/>
    </row>
    <row r="13" spans="1:11" ht="15.75" customHeight="1" thickBot="1" x14ac:dyDescent="0.3">
      <c r="A13" s="50"/>
      <c r="I13" s="269"/>
    </row>
    <row r="14" spans="1:11" ht="19.5" customHeight="1" thickBot="1" x14ac:dyDescent="0.3">
      <c r="A14" s="602" t="s">
        <v>32</v>
      </c>
      <c r="B14" s="601" t="s">
        <v>287</v>
      </c>
      <c r="I14" s="269"/>
    </row>
    <row r="15" spans="1:11" ht="15" customHeight="1" x14ac:dyDescent="0.25">
      <c r="A15" s="48"/>
      <c r="B15" s="49" t="s">
        <v>288</v>
      </c>
      <c r="C15" s="49"/>
      <c r="D15" s="49"/>
      <c r="E15" s="49"/>
      <c r="F15" s="49"/>
      <c r="G15" s="49"/>
      <c r="H15" s="626" t="s">
        <v>34</v>
      </c>
      <c r="I15" s="625">
        <f ca="1">+SUM(FTBLANK:PTBLANKE!N119)</f>
        <v>14</v>
      </c>
    </row>
    <row r="16" spans="1:11" ht="15.75" customHeight="1" thickBot="1" x14ac:dyDescent="0.3">
      <c r="A16" s="51"/>
      <c r="B16" s="24" t="s">
        <v>289</v>
      </c>
      <c r="C16" s="24"/>
      <c r="D16" s="24"/>
      <c r="E16" s="24"/>
      <c r="F16" s="24"/>
      <c r="G16" s="24"/>
      <c r="H16" s="624" t="s">
        <v>290</v>
      </c>
      <c r="I16" s="623">
        <f ca="1">+SUM(FTBLANK:PTBLANKE!N120)</f>
        <v>4</v>
      </c>
    </row>
    <row r="17" spans="1:10" ht="15.75"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+TRUNC(SUM(FTBLANK:FTBLANKE!Z14),0)</f>
        <v>45486</v>
      </c>
      <c r="I19" s="622"/>
    </row>
    <row r="20" spans="1:10" x14ac:dyDescent="0.25">
      <c r="A20" s="50"/>
      <c r="B20" t="s">
        <v>291</v>
      </c>
      <c r="G20" s="609" t="s">
        <v>292</v>
      </c>
      <c r="H20" s="621">
        <f ca="1">+SUM(FTBLANK:PTBLANKE!AD14)</f>
        <v>0</v>
      </c>
      <c r="I20" s="621"/>
    </row>
    <row r="21" spans="1:10" ht="21.75" customHeight="1" x14ac:dyDescent="0.25">
      <c r="A21" s="50"/>
      <c r="B21" t="s">
        <v>42</v>
      </c>
      <c r="G21" s="609" t="s">
        <v>43</v>
      </c>
      <c r="H21" s="621">
        <v>0</v>
      </c>
      <c r="I21" s="621"/>
    </row>
    <row r="22" spans="1:10" ht="17.25" customHeight="1" x14ac:dyDescent="0.25">
      <c r="A22" s="50"/>
      <c r="B22" t="s">
        <v>293</v>
      </c>
      <c r="G22" s="609" t="s">
        <v>45</v>
      </c>
      <c r="H22" s="620">
        <f ca="1">+TRUNC(SUM(PTBLANK:PTBLANKE!Z14),0)</f>
        <v>0</v>
      </c>
      <c r="I22" s="269"/>
    </row>
    <row r="23" spans="1:10" x14ac:dyDescent="0.25">
      <c r="A23" s="50"/>
      <c r="B23" t="s">
        <v>294</v>
      </c>
      <c r="G23" s="609" t="s">
        <v>47</v>
      </c>
      <c r="H23" s="620">
        <v>0</v>
      </c>
      <c r="I23" s="269"/>
    </row>
    <row r="24" spans="1:10" ht="15.75" customHeight="1" thickBot="1" x14ac:dyDescent="0.3">
      <c r="A24" s="51"/>
      <c r="B24" s="605" t="s">
        <v>48</v>
      </c>
      <c r="C24" s="605"/>
      <c r="D24" s="605"/>
      <c r="E24" s="605"/>
      <c r="F24" s="605"/>
      <c r="G24" s="604" t="s">
        <v>49</v>
      </c>
      <c r="H24" s="619">
        <f ca="1">+SUM(H19:H23)</f>
        <v>45486</v>
      </c>
      <c r="I24" s="52"/>
    </row>
    <row r="25" spans="1:10" ht="15.7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+TRUNC(SUM(FTBLANK:FTBLANKE!AA14),0)</f>
        <v>7436</v>
      </c>
      <c r="I27" s="648"/>
      <c r="J27" s="646"/>
    </row>
    <row r="28" spans="1:10" x14ac:dyDescent="0.25">
      <c r="A28" s="50"/>
      <c r="B28" t="s">
        <v>54</v>
      </c>
      <c r="G28" s="609" t="s">
        <v>55</v>
      </c>
      <c r="H28" s="608">
        <f ca="1">+TRUNC(SUM(FTBLANK:FTBLANKE!AE14),0)</f>
        <v>0</v>
      </c>
      <c r="I28" s="647"/>
      <c r="J28" s="646"/>
    </row>
    <row r="29" spans="1:10" x14ac:dyDescent="0.25">
      <c r="A29" s="50"/>
      <c r="B29" t="s">
        <v>56</v>
      </c>
      <c r="G29" s="609" t="s">
        <v>57</v>
      </c>
      <c r="H29" s="608">
        <f ca="1">+TRUNC(SUM(PTBLANK:PTBLANKE!AA14),0)</f>
        <v>0</v>
      </c>
      <c r="I29" s="647"/>
      <c r="J29" s="646"/>
    </row>
    <row r="30" spans="1:10" x14ac:dyDescent="0.25">
      <c r="A30" s="50"/>
      <c r="B30" t="s">
        <v>58</v>
      </c>
      <c r="G30" s="609" t="s">
        <v>59</v>
      </c>
      <c r="H30" s="614">
        <v>0</v>
      </c>
      <c r="I30" s="647"/>
      <c r="J30" s="646"/>
    </row>
    <row r="31" spans="1:10" x14ac:dyDescent="0.25">
      <c r="A31" s="50"/>
      <c r="B31" s="613" t="s">
        <v>60</v>
      </c>
      <c r="C31" s="613"/>
      <c r="D31" s="613"/>
      <c r="E31" s="613"/>
      <c r="F31" s="613"/>
      <c r="G31" s="612" t="s">
        <v>61</v>
      </c>
      <c r="H31" s="611">
        <f ca="1">+SUM(H27:H30)</f>
        <v>7436</v>
      </c>
      <c r="I31" s="647"/>
      <c r="J31" s="646"/>
    </row>
    <row r="32" spans="1:10" ht="21.75" customHeight="1" x14ac:dyDescent="0.25">
      <c r="A32" s="50"/>
      <c r="B32" t="s">
        <v>195</v>
      </c>
      <c r="G32" s="609" t="s">
        <v>297</v>
      </c>
      <c r="H32" s="608">
        <f ca="1">+SUM(FTBLANK:PTBLANKE!AJ14)</f>
        <v>6090.0199999999986</v>
      </c>
      <c r="I32" s="647"/>
      <c r="J32" s="646"/>
    </row>
    <row r="33" spans="1:49" ht="15.75" customHeight="1" x14ac:dyDescent="0.25">
      <c r="A33" s="50"/>
      <c r="B33" t="s">
        <v>298</v>
      </c>
      <c r="G33" s="609" t="s">
        <v>299</v>
      </c>
      <c r="H33" s="608">
        <f ca="1">+SUM(FTBLANK:PTBLANKE!AK14)</f>
        <v>91.419999999999987</v>
      </c>
      <c r="I33" s="647"/>
      <c r="J33" s="646"/>
    </row>
    <row r="34" spans="1:49" ht="15.75" customHeight="1" thickBot="1" x14ac:dyDescent="0.3">
      <c r="A34" s="51"/>
      <c r="B34" s="605" t="s">
        <v>300</v>
      </c>
      <c r="C34" s="605"/>
      <c r="D34" s="605"/>
      <c r="E34" s="605"/>
      <c r="F34" s="605"/>
      <c r="G34" s="604" t="s">
        <v>301</v>
      </c>
      <c r="H34" s="650">
        <f ca="1">+H31+H32+H33</f>
        <v>13617.439999999999</v>
      </c>
      <c r="I34" s="52"/>
    </row>
    <row r="35" spans="1:49" ht="15.75" customHeight="1" thickBot="1" x14ac:dyDescent="0.3">
      <c r="A35" s="50"/>
      <c r="I35" s="269"/>
    </row>
    <row r="36" spans="1:49" ht="15.75" customHeight="1" thickBot="1" x14ac:dyDescent="0.3">
      <c r="A36" s="602" t="s">
        <v>192</v>
      </c>
      <c r="B36" s="601" t="s">
        <v>302</v>
      </c>
      <c r="I36" s="269"/>
    </row>
    <row r="37" spans="1:49" x14ac:dyDescent="0.25">
      <c r="A37" s="48"/>
      <c r="B37" s="49" t="s">
        <v>303</v>
      </c>
      <c r="C37" s="600"/>
      <c r="D37" s="49" t="s">
        <v>304</v>
      </c>
      <c r="E37" s="49"/>
      <c r="F37" s="49" t="s">
        <v>62</v>
      </c>
      <c r="G37" s="49"/>
      <c r="H37" s="599">
        <f ca="1">+H34</f>
        <v>13617.439999999999</v>
      </c>
      <c r="I37" s="268"/>
    </row>
    <row r="38" spans="1:49" ht="15.75" customHeight="1" thickBot="1" x14ac:dyDescent="0.3">
      <c r="A38" s="51"/>
      <c r="B38" s="24"/>
      <c r="C38" s="24"/>
      <c r="D38" s="24"/>
      <c r="E38" s="24"/>
      <c r="F38" s="24"/>
      <c r="G38" s="24"/>
      <c r="H38" s="24"/>
      <c r="I38" s="52"/>
      <c r="AS38" s="582"/>
      <c r="AT38" s="582"/>
      <c r="AU38" s="582"/>
      <c r="AV38" s="582"/>
      <c r="AW38" s="582"/>
    </row>
    <row r="39" spans="1:49" x14ac:dyDescent="0.25">
      <c r="A39" s="48"/>
      <c r="B39" s="592" t="s">
        <v>305</v>
      </c>
      <c r="C39" s="49"/>
      <c r="D39" s="49" t="s">
        <v>306</v>
      </c>
      <c r="E39" s="49"/>
      <c r="F39" s="49" t="s">
        <v>64</v>
      </c>
      <c r="G39" s="594"/>
      <c r="H39" s="654"/>
      <c r="I39" s="268"/>
    </row>
    <row r="40" spans="1:49" x14ac:dyDescent="0.25">
      <c r="A40" s="50"/>
      <c r="B40" t="s">
        <v>307</v>
      </c>
      <c r="C40" t="s">
        <v>308</v>
      </c>
      <c r="E40" t="s">
        <v>309</v>
      </c>
      <c r="I40" s="269"/>
    </row>
    <row r="41" spans="1:49" ht="15.75" customHeight="1" thickBot="1" x14ac:dyDescent="0.3">
      <c r="A41" s="51"/>
      <c r="B41" s="24" t="s">
        <v>310</v>
      </c>
      <c r="C41" s="24" t="s">
        <v>210</v>
      </c>
      <c r="D41" s="24"/>
      <c r="E41" s="24" t="s">
        <v>311</v>
      </c>
      <c r="F41" s="966">
        <v>40022997054</v>
      </c>
      <c r="G41" s="915"/>
      <c r="H41" s="915"/>
      <c r="I41" s="52"/>
    </row>
    <row r="42" spans="1:49" ht="15.75" customHeight="1" thickBot="1" x14ac:dyDescent="0.3">
      <c r="A42" s="50"/>
      <c r="I42" s="269"/>
    </row>
    <row r="43" spans="1:49" x14ac:dyDescent="0.25">
      <c r="A43" s="48"/>
      <c r="B43" s="592" t="s">
        <v>312</v>
      </c>
      <c r="C43" s="49"/>
      <c r="D43" s="49"/>
      <c r="E43" s="49"/>
      <c r="F43" s="594"/>
      <c r="G43" s="594"/>
      <c r="H43" s="594"/>
      <c r="I43" s="268"/>
    </row>
    <row r="44" spans="1:49" ht="15.75" customHeight="1" thickBot="1" x14ac:dyDescent="0.3">
      <c r="A44" s="51"/>
      <c r="B44" s="24" t="s">
        <v>313</v>
      </c>
      <c r="C44" s="24" t="s">
        <v>16</v>
      </c>
      <c r="D44" s="24"/>
      <c r="E44" s="24" t="s">
        <v>314</v>
      </c>
      <c r="F44" s="593"/>
      <c r="G44" s="593"/>
      <c r="H44" s="593"/>
      <c r="I44" s="52"/>
    </row>
    <row r="45" spans="1:49" ht="15.75" customHeight="1" thickBot="1" x14ac:dyDescent="0.3">
      <c r="A45" s="50"/>
      <c r="I45" s="269"/>
    </row>
    <row r="46" spans="1:49" x14ac:dyDescent="0.25">
      <c r="A46" s="48"/>
      <c r="B46" s="592" t="s">
        <v>315</v>
      </c>
      <c r="C46" s="591" t="s">
        <v>316</v>
      </c>
      <c r="D46" s="590"/>
      <c r="E46" s="589"/>
      <c r="F46" s="49"/>
      <c r="G46" s="755"/>
      <c r="H46" s="769"/>
      <c r="I46" s="268"/>
    </row>
    <row r="47" spans="1:49" ht="15.75" customHeight="1" thickBot="1" x14ac:dyDescent="0.3">
      <c r="A47" s="51"/>
      <c r="B47" s="24"/>
      <c r="C47" s="586" t="s">
        <v>317</v>
      </c>
      <c r="D47" s="585"/>
      <c r="E47" s="652"/>
      <c r="F47" s="24"/>
      <c r="G47" s="774"/>
      <c r="H47" s="752"/>
      <c r="I47" s="52"/>
    </row>
    <row r="49" spans="2:9" ht="15.75" customHeight="1" thickBot="1" x14ac:dyDescent="0.3">
      <c r="B49" s="751"/>
      <c r="C49" s="610"/>
      <c r="D49" s="610"/>
      <c r="E49" s="610"/>
      <c r="F49" s="610"/>
      <c r="G49" s="610"/>
      <c r="H49" s="610"/>
      <c r="I49" s="610"/>
    </row>
    <row r="50" spans="2:9" ht="15" customHeight="1" x14ac:dyDescent="0.25">
      <c r="B50" s="971" t="s">
        <v>318</v>
      </c>
      <c r="C50" s="958">
        <f ca="1">+H24+(0.5*H32)+H33</f>
        <v>48622.43</v>
      </c>
      <c r="D50" s="890"/>
      <c r="E50" s="890"/>
      <c r="F50" s="890"/>
      <c r="G50" s="953"/>
      <c r="H50" s="610"/>
      <c r="I50" s="610"/>
    </row>
    <row r="51" spans="2:9" ht="15" customHeight="1" x14ac:dyDescent="0.25">
      <c r="B51" s="961"/>
      <c r="C51" s="876"/>
      <c r="D51" s="876"/>
      <c r="E51" s="876"/>
      <c r="F51" s="876"/>
      <c r="G51" s="913"/>
      <c r="H51" s="610"/>
      <c r="I51" s="610"/>
    </row>
    <row r="52" spans="2:9" ht="15.75" customHeight="1" thickBot="1" x14ac:dyDescent="0.3">
      <c r="B52" s="962"/>
      <c r="C52" s="915"/>
      <c r="D52" s="915"/>
      <c r="E52" s="915"/>
      <c r="F52" s="915"/>
      <c r="G52" s="895"/>
    </row>
  </sheetData>
  <mergeCells count="9">
    <mergeCell ref="C50:G52"/>
    <mergeCell ref="C9:D9"/>
    <mergeCell ref="B50:B52"/>
    <mergeCell ref="C8:D8"/>
    <mergeCell ref="B1:B3"/>
    <mergeCell ref="C10:D10"/>
    <mergeCell ref="C7:D7"/>
    <mergeCell ref="C5:E5"/>
    <mergeCell ref="F41:H41"/>
  </mergeCells>
  <pageMargins left="0.7" right="0.7" top="0.75" bottom="0.75" header="0.3" footer="0.3"/>
  <pageSetup paperSize="9"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24">
    <tabColor theme="4" tint="0.59999389629810485"/>
  </sheetPr>
  <dimension ref="A1:K52"/>
  <sheetViews>
    <sheetView workbookViewId="0"/>
  </sheetViews>
  <sheetFormatPr defaultRowHeight="15" x14ac:dyDescent="0.25"/>
  <cols>
    <col min="1" max="1" width="4" customWidth="1"/>
    <col min="2" max="2" width="19.42578125" customWidth="1"/>
    <col min="3" max="3" width="15.28515625" customWidth="1"/>
    <col min="6" max="6" width="3.140625" customWidth="1"/>
    <col min="7" max="7" width="8" customWidth="1"/>
    <col min="8" max="8" width="13.42578125" customWidth="1"/>
    <col min="9" max="9" width="5.7109375" customWidth="1"/>
  </cols>
  <sheetData>
    <row r="1" spans="1:11" ht="13.9" customHeight="1" x14ac:dyDescent="0.25">
      <c r="A1" s="640">
        <f>+H7</f>
        <v>46357</v>
      </c>
      <c r="B1" s="963" t="s">
        <v>273</v>
      </c>
      <c r="C1" s="639" t="s">
        <v>1</v>
      </c>
      <c r="D1" s="639"/>
      <c r="E1" s="639"/>
      <c r="F1" s="639"/>
      <c r="G1" s="639"/>
      <c r="H1" s="639"/>
      <c r="I1" s="638"/>
      <c r="K1" t="s">
        <v>320</v>
      </c>
    </row>
    <row r="2" spans="1:11" ht="14.45" customHeight="1" x14ac:dyDescent="0.25">
      <c r="A2" s="637"/>
      <c r="B2" s="876"/>
      <c r="C2" s="636" t="s">
        <v>274</v>
      </c>
      <c r="D2" s="636"/>
      <c r="E2" s="636"/>
      <c r="F2" s="636"/>
      <c r="G2" s="636"/>
      <c r="H2" s="636"/>
      <c r="I2" s="635"/>
    </row>
    <row r="3" spans="1:11" ht="12" customHeight="1" thickBot="1" x14ac:dyDescent="0.3">
      <c r="A3" s="50"/>
      <c r="B3" s="876"/>
      <c r="C3" s="636"/>
      <c r="D3" s="636"/>
      <c r="E3" s="636"/>
      <c r="F3" s="636"/>
      <c r="G3" s="636"/>
      <c r="H3" s="636"/>
      <c r="I3" s="635"/>
    </row>
    <row r="4" spans="1:11" ht="29.45" customHeight="1" thickBot="1" x14ac:dyDescent="0.3">
      <c r="A4" s="602" t="s">
        <v>3</v>
      </c>
      <c r="B4" s="601" t="s">
        <v>275</v>
      </c>
      <c r="G4" s="48" t="s">
        <v>276</v>
      </c>
      <c r="H4" s="49"/>
      <c r="I4" s="268"/>
    </row>
    <row r="5" spans="1:11" ht="15.75" customHeight="1" thickBot="1" x14ac:dyDescent="0.3">
      <c r="A5" s="25"/>
      <c r="B5" s="276" t="s">
        <v>206</v>
      </c>
      <c r="C5" s="965" t="s">
        <v>277</v>
      </c>
      <c r="D5" s="938"/>
      <c r="E5" s="926"/>
      <c r="G5" s="51" t="s">
        <v>9</v>
      </c>
      <c r="H5" s="634">
        <v>4744146</v>
      </c>
      <c r="I5" s="52"/>
    </row>
    <row r="6" spans="1:11" x14ac:dyDescent="0.25">
      <c r="A6" s="50"/>
      <c r="B6" t="s">
        <v>278</v>
      </c>
      <c r="E6" s="269"/>
      <c r="G6" s="48" t="s">
        <v>279</v>
      </c>
      <c r="H6" s="49"/>
      <c r="I6" s="268"/>
    </row>
    <row r="7" spans="1:11" ht="15.75" customHeight="1" thickBot="1" x14ac:dyDescent="0.3">
      <c r="A7" s="50"/>
      <c r="B7" t="s">
        <v>280</v>
      </c>
      <c r="C7" s="959" t="s">
        <v>281</v>
      </c>
      <c r="D7" s="876"/>
      <c r="E7" s="269"/>
      <c r="G7" s="51" t="s">
        <v>13</v>
      </c>
      <c r="H7" s="633">
        <f>+DATA!A14</f>
        <v>46357</v>
      </c>
      <c r="I7" s="52"/>
    </row>
    <row r="8" spans="1:11" x14ac:dyDescent="0.25">
      <c r="A8" s="50"/>
      <c r="B8" t="s">
        <v>282</v>
      </c>
      <c r="C8" s="959" t="s">
        <v>283</v>
      </c>
      <c r="D8" s="876"/>
      <c r="E8" s="269"/>
      <c r="H8" s="632"/>
      <c r="I8" s="269"/>
    </row>
    <row r="9" spans="1:11" x14ac:dyDescent="0.25">
      <c r="A9" s="50"/>
      <c r="B9" t="s">
        <v>284</v>
      </c>
      <c r="C9" s="959" t="s">
        <v>210</v>
      </c>
      <c r="D9" s="876"/>
      <c r="E9" s="269"/>
      <c r="I9" s="269"/>
    </row>
    <row r="10" spans="1:11" ht="15.75" customHeight="1" thickBot="1" x14ac:dyDescent="0.3">
      <c r="A10" s="51"/>
      <c r="B10" s="24" t="s">
        <v>211</v>
      </c>
      <c r="C10" s="964"/>
      <c r="D10" s="915"/>
      <c r="E10" s="52"/>
      <c r="I10" s="269"/>
    </row>
    <row r="11" spans="1:11" ht="15.75" customHeight="1" thickBot="1" x14ac:dyDescent="0.3">
      <c r="A11" s="25"/>
      <c r="B11" s="276" t="s">
        <v>285</v>
      </c>
      <c r="C11" s="630">
        <v>21826685</v>
      </c>
      <c r="D11" s="276"/>
      <c r="E11" s="629"/>
      <c r="I11" s="269"/>
    </row>
    <row r="12" spans="1:11" ht="15.75" customHeight="1" thickBot="1" x14ac:dyDescent="0.3">
      <c r="A12" s="51"/>
      <c r="B12" s="24" t="s">
        <v>286</v>
      </c>
      <c r="C12" s="24"/>
      <c r="D12" s="24"/>
      <c r="E12" s="52"/>
      <c r="F12" s="24"/>
      <c r="G12" s="24"/>
      <c r="H12" s="24"/>
      <c r="I12" s="52"/>
    </row>
    <row r="13" spans="1:11" ht="15.75" customHeight="1" thickBot="1" x14ac:dyDescent="0.3">
      <c r="A13" s="50"/>
      <c r="I13" s="269"/>
    </row>
    <row r="14" spans="1:11" ht="15.75" customHeight="1" thickBot="1" x14ac:dyDescent="0.3">
      <c r="A14" s="602" t="s">
        <v>32</v>
      </c>
      <c r="B14" s="601" t="s">
        <v>287</v>
      </c>
      <c r="I14" s="269"/>
    </row>
    <row r="15" spans="1:11" x14ac:dyDescent="0.25">
      <c r="A15" s="48"/>
      <c r="B15" s="49" t="s">
        <v>288</v>
      </c>
      <c r="C15" s="49"/>
      <c r="D15" s="49"/>
      <c r="E15" s="49"/>
      <c r="F15" s="49"/>
      <c r="G15" s="49"/>
      <c r="H15" s="626" t="s">
        <v>34</v>
      </c>
      <c r="I15" s="625">
        <f ca="1">+SUM(FTBLANK:PTBLANKE!N129)</f>
        <v>14</v>
      </c>
    </row>
    <row r="16" spans="1:11" ht="15.75" customHeight="1" thickBot="1" x14ac:dyDescent="0.3">
      <c r="A16" s="51"/>
      <c r="B16" s="24" t="s">
        <v>289</v>
      </c>
      <c r="C16" s="24"/>
      <c r="D16" s="24"/>
      <c r="E16" s="24"/>
      <c r="F16" s="24"/>
      <c r="G16" s="24"/>
      <c r="H16" s="624" t="s">
        <v>290</v>
      </c>
      <c r="I16" s="623">
        <f>+SUM(FTBLANK:PTBLANKE!N130)</f>
        <v>0</v>
      </c>
    </row>
    <row r="17" spans="1:10" ht="15.75" customHeight="1" thickBot="1" x14ac:dyDescent="0.3">
      <c r="A17" s="50"/>
      <c r="I17" s="269"/>
    </row>
    <row r="18" spans="1:10" ht="15.75" customHeight="1" thickBot="1" x14ac:dyDescent="0.3">
      <c r="A18" s="602" t="s">
        <v>35</v>
      </c>
      <c r="B18" s="601" t="s">
        <v>36</v>
      </c>
      <c r="I18" s="269"/>
    </row>
    <row r="19" spans="1:10" x14ac:dyDescent="0.25">
      <c r="A19" s="48"/>
      <c r="B19" s="49" t="s">
        <v>38</v>
      </c>
      <c r="C19" s="49"/>
      <c r="D19" s="49"/>
      <c r="E19" s="49"/>
      <c r="F19" s="49"/>
      <c r="G19" s="617" t="s">
        <v>39</v>
      </c>
      <c r="H19" s="622">
        <f ca="1">+TRUNC(SUM(FTBLANK:FTBLANKE!Z15),0)</f>
        <v>47313</v>
      </c>
      <c r="I19" s="622"/>
    </row>
    <row r="20" spans="1:10" x14ac:dyDescent="0.25">
      <c r="A20" s="50"/>
      <c r="B20" t="s">
        <v>291</v>
      </c>
      <c r="G20" s="609" t="s">
        <v>292</v>
      </c>
      <c r="H20" s="621">
        <f ca="1">+SUM(FTBLANK:PTBLANKE!AD15)</f>
        <v>0</v>
      </c>
      <c r="I20" s="621"/>
    </row>
    <row r="21" spans="1:10" x14ac:dyDescent="0.25">
      <c r="A21" s="50"/>
      <c r="B21" t="s">
        <v>42</v>
      </c>
      <c r="G21" s="609" t="s">
        <v>43</v>
      </c>
      <c r="H21" s="621">
        <v>0</v>
      </c>
      <c r="I21" s="621"/>
    </row>
    <row r="22" spans="1:10" x14ac:dyDescent="0.25">
      <c r="A22" s="50"/>
      <c r="B22" t="s">
        <v>293</v>
      </c>
      <c r="G22" s="609" t="s">
        <v>45</v>
      </c>
      <c r="H22" s="620">
        <f ca="1">+TRUNC(SUM(PTBLANK:PTBLANKE!Z15),0)</f>
        <v>0</v>
      </c>
      <c r="I22" s="269"/>
    </row>
    <row r="23" spans="1:10" x14ac:dyDescent="0.25">
      <c r="A23" s="50"/>
      <c r="B23" t="s">
        <v>294</v>
      </c>
      <c r="G23" s="609" t="s">
        <v>324</v>
      </c>
      <c r="H23" s="620">
        <v>0</v>
      </c>
      <c r="I23" s="269"/>
    </row>
    <row r="24" spans="1:10" ht="15.75" customHeight="1" thickBot="1" x14ac:dyDescent="0.3">
      <c r="A24" s="51"/>
      <c r="B24" s="605" t="s">
        <v>48</v>
      </c>
      <c r="C24" s="605"/>
      <c r="D24" s="605"/>
      <c r="E24" s="605"/>
      <c r="F24" s="605"/>
      <c r="G24" s="604" t="s">
        <v>49</v>
      </c>
      <c r="H24" s="619">
        <f ca="1">+SUM(H19:H23)</f>
        <v>47313</v>
      </c>
      <c r="I24" s="52"/>
    </row>
    <row r="25" spans="1:10" ht="15.75" customHeight="1" thickBot="1" x14ac:dyDescent="0.3">
      <c r="A25" s="50"/>
      <c r="I25" s="269"/>
    </row>
    <row r="26" spans="1:10" ht="15.75" customHeight="1" thickBot="1" x14ac:dyDescent="0.3">
      <c r="A26" s="602" t="s">
        <v>50</v>
      </c>
      <c r="B26" s="618" t="s">
        <v>295</v>
      </c>
      <c r="C26" s="592"/>
      <c r="D26" s="601"/>
      <c r="I26" s="269"/>
    </row>
    <row r="27" spans="1:10" x14ac:dyDescent="0.25">
      <c r="A27" s="48"/>
      <c r="B27" s="49" t="s">
        <v>296</v>
      </c>
      <c r="C27" s="49"/>
      <c r="D27" s="49"/>
      <c r="E27" s="49"/>
      <c r="F27" s="49"/>
      <c r="G27" s="617" t="s">
        <v>53</v>
      </c>
      <c r="H27" s="616">
        <f ca="1">+TRUNC(SUM(FTBLANK:FTBLANKE!AA15),0)</f>
        <v>7876</v>
      </c>
      <c r="I27" s="648"/>
      <c r="J27" s="646"/>
    </row>
    <row r="28" spans="1:10" x14ac:dyDescent="0.25">
      <c r="A28" s="50"/>
      <c r="B28" t="s">
        <v>54</v>
      </c>
      <c r="G28" s="609" t="s">
        <v>55</v>
      </c>
      <c r="H28" s="608">
        <f ca="1">+TRUNC(SUM(FTBLANK:FTBLANKE!AE15),0)</f>
        <v>0</v>
      </c>
      <c r="I28" s="647"/>
      <c r="J28" s="646"/>
    </row>
    <row r="29" spans="1:10" x14ac:dyDescent="0.25">
      <c r="A29" s="50"/>
      <c r="B29" t="s">
        <v>56</v>
      </c>
      <c r="G29" s="609" t="s">
        <v>57</v>
      </c>
      <c r="H29" s="608">
        <f ca="1">+TRUNC(SUM(PTBLANK:PTBLANKE!AA15),0)</f>
        <v>0</v>
      </c>
      <c r="I29" s="647"/>
      <c r="J29" s="646"/>
    </row>
    <row r="30" spans="1:10" x14ac:dyDescent="0.25">
      <c r="A30" s="50"/>
      <c r="B30" t="s">
        <v>58</v>
      </c>
      <c r="G30" s="609" t="s">
        <v>325</v>
      </c>
      <c r="H30" s="614">
        <v>0</v>
      </c>
      <c r="I30" s="647"/>
      <c r="J30" s="646"/>
    </row>
    <row r="31" spans="1:10" x14ac:dyDescent="0.25">
      <c r="A31" s="50"/>
      <c r="B31" s="613" t="s">
        <v>60</v>
      </c>
      <c r="C31" s="613"/>
      <c r="D31" s="613"/>
      <c r="E31" s="613"/>
      <c r="F31" s="613"/>
      <c r="G31" s="612" t="s">
        <v>61</v>
      </c>
      <c r="H31" s="611">
        <f ca="1">+SUM(H27:H30)</f>
        <v>7876</v>
      </c>
      <c r="I31" s="647"/>
      <c r="J31" s="646"/>
    </row>
    <row r="32" spans="1:10" x14ac:dyDescent="0.25">
      <c r="A32" s="50"/>
      <c r="B32" t="s">
        <v>195</v>
      </c>
      <c r="G32" s="609" t="s">
        <v>297</v>
      </c>
      <c r="H32" s="608">
        <f ca="1">+SUM(FTBLANK:PTBLANKE!AJ15)</f>
        <v>4872.08</v>
      </c>
      <c r="I32" s="647"/>
      <c r="J32" s="646"/>
    </row>
    <row r="33" spans="1:10" x14ac:dyDescent="0.25">
      <c r="A33" s="50"/>
      <c r="B33" t="s">
        <v>298</v>
      </c>
      <c r="G33" s="609" t="s">
        <v>299</v>
      </c>
      <c r="H33" s="608">
        <f ca="1">+SUM(FTBLANK:PTBLANKE!AK15)</f>
        <v>73.13000000000001</v>
      </c>
      <c r="I33" s="647"/>
      <c r="J33" s="646"/>
    </row>
    <row r="34" spans="1:10" ht="15.75" customHeight="1" thickBot="1" x14ac:dyDescent="0.3">
      <c r="A34" s="51"/>
      <c r="B34" s="605" t="s">
        <v>300</v>
      </c>
      <c r="C34" s="605"/>
      <c r="D34" s="605"/>
      <c r="E34" s="605"/>
      <c r="F34" s="605"/>
      <c r="G34" s="604" t="s">
        <v>301</v>
      </c>
      <c r="H34" s="603">
        <f ca="1">+H31+H32+H33</f>
        <v>12821.21</v>
      </c>
      <c r="I34" s="52"/>
    </row>
    <row r="35" spans="1:10" ht="15.75" customHeight="1" thickBot="1" x14ac:dyDescent="0.3">
      <c r="A35" s="50"/>
      <c r="I35" s="269"/>
    </row>
    <row r="36" spans="1:10" ht="15.75" customHeight="1" thickBot="1" x14ac:dyDescent="0.3">
      <c r="A36" s="602" t="s">
        <v>192</v>
      </c>
      <c r="B36" s="601" t="s">
        <v>302</v>
      </c>
      <c r="I36" s="269"/>
    </row>
    <row r="37" spans="1:10" x14ac:dyDescent="0.25">
      <c r="A37" s="48"/>
      <c r="B37" s="49" t="s">
        <v>303</v>
      </c>
      <c r="C37" s="600"/>
      <c r="D37" s="49" t="s">
        <v>304</v>
      </c>
      <c r="E37" s="49"/>
      <c r="F37" s="49" t="s">
        <v>62</v>
      </c>
      <c r="G37" s="49"/>
      <c r="H37" s="599">
        <f ca="1">+H34</f>
        <v>12821.21</v>
      </c>
      <c r="I37" s="268"/>
    </row>
    <row r="38" spans="1:10" ht="15.75" customHeight="1" thickBot="1" x14ac:dyDescent="0.3">
      <c r="A38" s="51"/>
      <c r="B38" s="24"/>
      <c r="C38" s="24"/>
      <c r="D38" s="24"/>
      <c r="E38" s="24"/>
      <c r="F38" s="24"/>
      <c r="G38" s="24"/>
      <c r="H38" s="24"/>
      <c r="I38" s="52"/>
    </row>
    <row r="39" spans="1:10" x14ac:dyDescent="0.25">
      <c r="A39" s="48"/>
      <c r="B39" s="592" t="s">
        <v>305</v>
      </c>
      <c r="C39" s="49"/>
      <c r="D39" s="49" t="s">
        <v>306</v>
      </c>
      <c r="E39" s="49"/>
      <c r="F39" s="49" t="s">
        <v>64</v>
      </c>
      <c r="G39" s="594"/>
      <c r="H39" s="669"/>
      <c r="I39" s="268"/>
    </row>
    <row r="40" spans="1:10" x14ac:dyDescent="0.25">
      <c r="A40" s="50"/>
      <c r="B40" t="s">
        <v>307</v>
      </c>
      <c r="C40" t="s">
        <v>308</v>
      </c>
      <c r="E40" t="s">
        <v>309</v>
      </c>
      <c r="I40" s="269"/>
    </row>
    <row r="41" spans="1:10" ht="15.75" customHeight="1" thickBot="1" x14ac:dyDescent="0.3">
      <c r="A41" s="51"/>
      <c r="B41" s="24" t="s">
        <v>310</v>
      </c>
      <c r="C41" s="24" t="s">
        <v>210</v>
      </c>
      <c r="D41" s="24"/>
      <c r="E41" s="24" t="s">
        <v>326</v>
      </c>
      <c r="F41" s="966">
        <v>40022997054</v>
      </c>
      <c r="G41" s="915"/>
      <c r="H41" s="915"/>
      <c r="I41" s="52"/>
    </row>
    <row r="42" spans="1:10" ht="15.75" customHeight="1" thickBot="1" x14ac:dyDescent="0.3">
      <c r="A42" s="50"/>
      <c r="I42" s="269"/>
    </row>
    <row r="43" spans="1:10" x14ac:dyDescent="0.25">
      <c r="A43" s="48"/>
      <c r="B43" s="592" t="s">
        <v>312</v>
      </c>
      <c r="C43" s="49"/>
      <c r="D43" s="49"/>
      <c r="E43" s="49"/>
      <c r="F43" s="594"/>
      <c r="G43" s="594"/>
      <c r="H43" s="594"/>
      <c r="I43" s="268"/>
    </row>
    <row r="44" spans="1:10" ht="15.75" customHeight="1" thickBot="1" x14ac:dyDescent="0.3">
      <c r="A44" s="51"/>
      <c r="B44" s="24" t="s">
        <v>313</v>
      </c>
      <c r="C44" s="24" t="s">
        <v>16</v>
      </c>
      <c r="D44" s="24"/>
      <c r="E44" s="24" t="s">
        <v>314</v>
      </c>
      <c r="F44" s="593"/>
      <c r="G44" s="593"/>
      <c r="H44" s="593"/>
      <c r="I44" s="52"/>
    </row>
    <row r="45" spans="1:10" ht="15.75" customHeight="1" thickBot="1" x14ac:dyDescent="0.3">
      <c r="A45" s="50"/>
      <c r="I45" s="269"/>
    </row>
    <row r="46" spans="1:10" x14ac:dyDescent="0.25">
      <c r="A46" s="48"/>
      <c r="B46" s="592" t="s">
        <v>315</v>
      </c>
      <c r="C46" s="591" t="s">
        <v>316</v>
      </c>
      <c r="D46" s="590"/>
      <c r="E46" s="589"/>
      <c r="F46" s="49"/>
      <c r="G46" s="755"/>
      <c r="H46" s="769"/>
      <c r="I46" s="268"/>
    </row>
    <row r="47" spans="1:10" ht="15.75" customHeight="1" thickBot="1" x14ac:dyDescent="0.3">
      <c r="A47" s="51"/>
      <c r="B47" s="24"/>
      <c r="C47" s="586" t="s">
        <v>317</v>
      </c>
      <c r="D47" s="585"/>
      <c r="E47" s="652"/>
      <c r="F47" s="24"/>
      <c r="G47" s="774"/>
      <c r="H47" s="752"/>
      <c r="I47" s="52"/>
    </row>
    <row r="49" spans="2:7" ht="15.75" customHeight="1" thickBot="1" x14ac:dyDescent="0.3">
      <c r="B49" s="749"/>
    </row>
    <row r="50" spans="2:7" ht="15" customHeight="1" x14ac:dyDescent="0.25">
      <c r="B50" s="960" t="s">
        <v>318</v>
      </c>
      <c r="C50" s="958">
        <f ca="1">+H24+(0.5*H32)+H33</f>
        <v>49822.17</v>
      </c>
      <c r="D50" s="890"/>
      <c r="E50" s="890"/>
      <c r="F50" s="890"/>
      <c r="G50" s="953"/>
    </row>
    <row r="51" spans="2:7" ht="15" customHeight="1" x14ac:dyDescent="0.25">
      <c r="B51" s="961"/>
      <c r="C51" s="876"/>
      <c r="D51" s="876"/>
      <c r="E51" s="876"/>
      <c r="F51" s="876"/>
      <c r="G51" s="913"/>
    </row>
    <row r="52" spans="2:7" ht="15.75" customHeight="1" thickBot="1" x14ac:dyDescent="0.3">
      <c r="B52" s="962"/>
      <c r="C52" s="915"/>
      <c r="D52" s="915"/>
      <c r="E52" s="915"/>
      <c r="F52" s="915"/>
      <c r="G52" s="895"/>
    </row>
  </sheetData>
  <mergeCells count="9">
    <mergeCell ref="C50:G52"/>
    <mergeCell ref="C9:D9"/>
    <mergeCell ref="B50:B52"/>
    <mergeCell ref="C8:D8"/>
    <mergeCell ref="B1:B3"/>
    <mergeCell ref="C10:D10"/>
    <mergeCell ref="C7:D7"/>
    <mergeCell ref="C5:E5"/>
    <mergeCell ref="F41:H41"/>
  </mergeCells>
  <pageMargins left="0.7" right="0.7" top="0.75" bottom="0.75" header="0.3" footer="0.3"/>
  <pageSetup paperSize="9" orientation="portrait" r:id="rId1"/>
  <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1"/>
  <dimension ref="A1:AJ82"/>
  <sheetViews>
    <sheetView workbookViewId="0"/>
  </sheetViews>
  <sheetFormatPr defaultRowHeight="15" x14ac:dyDescent="0.25"/>
  <cols>
    <col min="2" max="2" width="14.85546875" customWidth="1"/>
    <col min="3" max="3" width="16" customWidth="1"/>
    <col min="4" max="4" width="9.28515625" bestFit="1" customWidth="1"/>
    <col min="5" max="5" width="12.85546875" customWidth="1"/>
    <col min="6" max="6" width="30.5703125" customWidth="1"/>
    <col min="7" max="7" width="13.85546875" customWidth="1"/>
    <col min="8" max="8" width="12.42578125" customWidth="1"/>
    <col min="10" max="10" width="14.42578125" customWidth="1"/>
    <col min="13" max="13" width="10.5703125" customWidth="1"/>
    <col min="18" max="18" width="10.140625" style="44" customWidth="1"/>
    <col min="19" max="19" width="11.140625" customWidth="1"/>
  </cols>
  <sheetData>
    <row r="1" spans="1:36" ht="15" customHeight="1" thickBot="1" x14ac:dyDescent="0.3">
      <c r="A1" s="484" t="s">
        <v>327</v>
      </c>
      <c r="B1" s="478" t="s">
        <v>328</v>
      </c>
      <c r="C1" s="487" t="s">
        <v>329</v>
      </c>
      <c r="D1" s="488" t="s">
        <v>330</v>
      </c>
      <c r="E1" s="489" t="s">
        <v>331</v>
      </c>
      <c r="F1" s="467" t="s">
        <v>332</v>
      </c>
      <c r="G1" s="488" t="s">
        <v>333</v>
      </c>
      <c r="H1" s="512" t="s">
        <v>334</v>
      </c>
      <c r="I1" s="467" t="s">
        <v>335</v>
      </c>
      <c r="J1" s="512" t="s">
        <v>336</v>
      </c>
      <c r="K1" s="517" t="s">
        <v>337</v>
      </c>
      <c r="L1" s="489" t="s">
        <v>338</v>
      </c>
      <c r="M1" s="488" t="s">
        <v>339</v>
      </c>
      <c r="N1" s="467" t="s">
        <v>340</v>
      </c>
      <c r="O1" s="519" t="s">
        <v>341</v>
      </c>
      <c r="P1" s="504" t="s">
        <v>342</v>
      </c>
      <c r="Q1" s="517" t="s">
        <v>337</v>
      </c>
      <c r="R1" s="520" t="s">
        <v>343</v>
      </c>
      <c r="S1" s="73" t="s">
        <v>344</v>
      </c>
      <c r="T1" s="73" t="s">
        <v>345</v>
      </c>
      <c r="U1" s="528" t="s">
        <v>346</v>
      </c>
      <c r="V1" s="528" t="s">
        <v>347</v>
      </c>
      <c r="W1" s="528" t="s">
        <v>348</v>
      </c>
      <c r="X1" s="529" t="s">
        <v>349</v>
      </c>
      <c r="Y1" s="529" t="s">
        <v>350</v>
      </c>
      <c r="Z1" s="530" t="s">
        <v>351</v>
      </c>
      <c r="AA1" s="530" t="s">
        <v>352</v>
      </c>
      <c r="AB1" s="526">
        <f>+A2</f>
        <v>46023</v>
      </c>
      <c r="AC1" s="128" t="s">
        <v>353</v>
      </c>
      <c r="AD1" s="129" t="s">
        <v>354</v>
      </c>
      <c r="AE1" s="130" t="s">
        <v>355</v>
      </c>
      <c r="AF1" s="131" t="s">
        <v>356</v>
      </c>
      <c r="AG1" s="131" t="s">
        <v>357</v>
      </c>
      <c r="AH1" s="131" t="s">
        <v>358</v>
      </c>
      <c r="AI1" s="131" t="s">
        <v>359</v>
      </c>
      <c r="AJ1" s="132" t="s">
        <v>215</v>
      </c>
    </row>
    <row r="2" spans="1:36" ht="15" customHeight="1" x14ac:dyDescent="0.25">
      <c r="A2" s="485">
        <v>46023</v>
      </c>
      <c r="B2" s="479"/>
      <c r="C2" s="487"/>
      <c r="D2" s="490"/>
      <c r="E2" s="491"/>
      <c r="F2" s="468"/>
      <c r="G2" s="490"/>
      <c r="H2" s="513"/>
      <c r="I2" s="468"/>
      <c r="J2" s="513"/>
      <c r="K2" s="518"/>
      <c r="L2" s="491"/>
      <c r="M2" s="490"/>
      <c r="N2" s="521" t="s">
        <v>360</v>
      </c>
      <c r="O2" s="521" t="s">
        <v>361</v>
      </c>
      <c r="P2" s="169"/>
      <c r="Q2" s="506"/>
      <c r="R2" s="168"/>
      <c r="S2" s="73"/>
      <c r="U2" s="528">
        <v>15</v>
      </c>
      <c r="V2" s="528">
        <v>8</v>
      </c>
      <c r="W2" s="528">
        <v>25</v>
      </c>
      <c r="AB2" s="527">
        <f>+AB1</f>
        <v>46023</v>
      </c>
      <c r="AC2" s="133">
        <v>2003001</v>
      </c>
      <c r="AD2" s="134" t="s">
        <v>362</v>
      </c>
      <c r="AE2" s="135" t="s">
        <v>363</v>
      </c>
      <c r="AF2" s="134"/>
      <c r="AG2" s="134"/>
      <c r="AH2" s="134"/>
      <c r="AI2" s="134"/>
      <c r="AJ2" s="136"/>
    </row>
    <row r="3" spans="1:36" ht="15" customHeight="1" thickBot="1" x14ac:dyDescent="0.3">
      <c r="A3" s="486">
        <f>+A2</f>
        <v>46023</v>
      </c>
      <c r="B3" s="480" t="s">
        <v>364</v>
      </c>
      <c r="C3" s="492">
        <v>2</v>
      </c>
      <c r="D3" s="493" t="s">
        <v>365</v>
      </c>
      <c r="E3" s="469" t="s">
        <v>24</v>
      </c>
      <c r="F3" s="469" t="s">
        <v>366</v>
      </c>
      <c r="G3" s="493" t="s">
        <v>367</v>
      </c>
      <c r="H3" s="482" t="s">
        <v>368</v>
      </c>
      <c r="I3" s="469" t="s">
        <v>369</v>
      </c>
      <c r="J3" s="516" t="s">
        <v>362</v>
      </c>
      <c r="K3" s="497"/>
      <c r="L3" s="469" t="s">
        <v>370</v>
      </c>
      <c r="M3" s="493">
        <v>1</v>
      </c>
      <c r="N3" s="495" t="s">
        <v>371</v>
      </c>
      <c r="O3" s="522" t="s">
        <v>372</v>
      </c>
      <c r="P3" s="523">
        <v>0</v>
      </c>
      <c r="Q3" s="511"/>
      <c r="R3" s="482" t="s">
        <v>373</v>
      </c>
      <c r="S3" s="524"/>
      <c r="U3" s="580" t="s">
        <v>374</v>
      </c>
      <c r="V3" s="580" t="s">
        <v>375</v>
      </c>
      <c r="W3" s="580" t="s">
        <v>376</v>
      </c>
      <c r="X3" s="580">
        <f>192+24</f>
        <v>216</v>
      </c>
      <c r="Y3" s="581">
        <f>+X3/12</f>
        <v>18</v>
      </c>
      <c r="Z3" s="580">
        <f>20*8</f>
        <v>160</v>
      </c>
      <c r="AA3" s="506">
        <f>+Z3/12</f>
        <v>13.333333333333334</v>
      </c>
      <c r="AB3" s="527">
        <f>+AB2+31</f>
        <v>46054</v>
      </c>
      <c r="AC3" s="137">
        <v>2003002</v>
      </c>
      <c r="AD3" s="138" t="s">
        <v>377</v>
      </c>
      <c r="AE3" s="139" t="s">
        <v>378</v>
      </c>
      <c r="AF3" s="138"/>
      <c r="AG3" s="138"/>
      <c r="AH3" s="138"/>
      <c r="AI3" s="138"/>
      <c r="AJ3" s="140"/>
    </row>
    <row r="4" spans="1:36" ht="15" customHeight="1" thickBot="1" x14ac:dyDescent="0.3">
      <c r="A4" s="486">
        <f>+A3+31</f>
        <v>46054</v>
      </c>
      <c r="B4" s="480" t="s">
        <v>379</v>
      </c>
      <c r="C4" s="492">
        <v>2</v>
      </c>
      <c r="D4" s="493" t="s">
        <v>380</v>
      </c>
      <c r="E4" s="469" t="s">
        <v>26</v>
      </c>
      <c r="F4" s="469" t="s">
        <v>381</v>
      </c>
      <c r="G4" s="507" t="s">
        <v>382</v>
      </c>
      <c r="H4" s="482" t="s">
        <v>383</v>
      </c>
      <c r="I4" s="469" t="s">
        <v>384</v>
      </c>
      <c r="J4" s="516" t="s">
        <v>385</v>
      </c>
      <c r="K4" s="497"/>
      <c r="L4" s="469" t="s">
        <v>386</v>
      </c>
      <c r="M4" s="482">
        <v>2</v>
      </c>
      <c r="N4" s="511"/>
      <c r="O4" s="511"/>
      <c r="P4" s="523">
        <v>0.05</v>
      </c>
      <c r="Q4" s="511"/>
      <c r="R4" s="482" t="s">
        <v>387</v>
      </c>
      <c r="S4" s="524"/>
      <c r="U4" s="580" t="s">
        <v>388</v>
      </c>
      <c r="V4" s="580" t="s">
        <v>389</v>
      </c>
      <c r="W4" s="580" t="s">
        <v>390</v>
      </c>
      <c r="X4" s="167"/>
      <c r="Y4" s="167"/>
      <c r="Z4" s="167"/>
      <c r="AA4" s="167"/>
      <c r="AB4" s="527">
        <f>+AB3+29</f>
        <v>46083</v>
      </c>
      <c r="AC4" s="54">
        <v>2003003</v>
      </c>
      <c r="AD4" s="73" t="s">
        <v>391</v>
      </c>
      <c r="AE4" s="141" t="s">
        <v>392</v>
      </c>
      <c r="AF4" s="15"/>
      <c r="AG4" s="15"/>
      <c r="AH4" s="15"/>
      <c r="AI4" s="15"/>
      <c r="AJ4" s="142"/>
    </row>
    <row r="5" spans="1:36" ht="15" customHeight="1" x14ac:dyDescent="0.25">
      <c r="A5" s="486">
        <f>+A4+28</f>
        <v>46082</v>
      </c>
      <c r="B5" s="480" t="s">
        <v>393</v>
      </c>
      <c r="C5" s="492">
        <v>2</v>
      </c>
      <c r="D5" s="493" t="s">
        <v>394</v>
      </c>
      <c r="E5" s="494" t="s">
        <v>395</v>
      </c>
      <c r="F5" s="470" t="s">
        <v>396</v>
      </c>
      <c r="G5" s="497"/>
      <c r="H5" s="482" t="s">
        <v>397</v>
      </c>
      <c r="I5" s="469" t="s">
        <v>398</v>
      </c>
      <c r="J5" s="516" t="s">
        <v>399</v>
      </c>
      <c r="K5" s="497"/>
      <c r="L5" s="469" t="s">
        <v>400</v>
      </c>
      <c r="M5" s="482">
        <v>3</v>
      </c>
      <c r="N5" s="511"/>
      <c r="O5" s="511"/>
      <c r="P5" s="523">
        <v>7.0000000000000007E-2</v>
      </c>
      <c r="Q5" s="511"/>
      <c r="R5" s="482" t="s">
        <v>401</v>
      </c>
      <c r="S5" s="524"/>
      <c r="U5" s="785" t="s">
        <v>402</v>
      </c>
      <c r="V5" s="580" t="s">
        <v>403</v>
      </c>
      <c r="W5" s="580" t="s">
        <v>404</v>
      </c>
      <c r="X5" s="167"/>
      <c r="Y5" s="167"/>
      <c r="Z5" s="167"/>
      <c r="AA5" s="167"/>
      <c r="AB5" s="527">
        <f>+AB4+31</f>
        <v>46114</v>
      </c>
      <c r="AC5" s="143">
        <v>2008001</v>
      </c>
      <c r="AD5" s="144" t="s">
        <v>385</v>
      </c>
      <c r="AE5" s="145" t="s">
        <v>405</v>
      </c>
      <c r="AF5" s="144"/>
      <c r="AG5" s="144"/>
      <c r="AH5" s="144"/>
      <c r="AI5" s="144"/>
      <c r="AJ5" s="146"/>
    </row>
    <row r="6" spans="1:36" ht="15" customHeight="1" x14ac:dyDescent="0.25">
      <c r="A6" s="486">
        <f>+A5+31</f>
        <v>46113</v>
      </c>
      <c r="B6" s="480" t="s">
        <v>406</v>
      </c>
      <c r="C6" s="492">
        <v>2</v>
      </c>
      <c r="D6" s="493" t="s">
        <v>407</v>
      </c>
      <c r="E6" s="494" t="s">
        <v>408</v>
      </c>
      <c r="F6" s="470" t="s">
        <v>409</v>
      </c>
      <c r="G6" s="497"/>
      <c r="H6" s="482" t="s">
        <v>410</v>
      </c>
      <c r="I6" s="469" t="s">
        <v>411</v>
      </c>
      <c r="J6" s="482" t="s">
        <v>412</v>
      </c>
      <c r="K6" s="497"/>
      <c r="L6" s="469" t="s">
        <v>413</v>
      </c>
      <c r="M6" s="482">
        <v>4</v>
      </c>
      <c r="N6" s="511"/>
      <c r="O6" s="511"/>
      <c r="P6" s="523">
        <v>0.18</v>
      </c>
      <c r="Q6" s="511"/>
      <c r="R6" s="482" t="s">
        <v>414</v>
      </c>
      <c r="S6" s="524"/>
      <c r="U6" s="785" t="s">
        <v>415</v>
      </c>
      <c r="V6" s="580" t="s">
        <v>416</v>
      </c>
      <c r="W6" s="580" t="s">
        <v>417</v>
      </c>
      <c r="X6" s="167"/>
      <c r="Y6" s="167"/>
      <c r="Z6" s="167"/>
      <c r="AA6" s="167"/>
      <c r="AB6" s="527">
        <f>+AB5+30</f>
        <v>46144</v>
      </c>
      <c r="AC6" s="147">
        <v>2020001</v>
      </c>
      <c r="AD6" s="148" t="s">
        <v>412</v>
      </c>
      <c r="AE6" s="149" t="s">
        <v>412</v>
      </c>
      <c r="AF6" s="149"/>
      <c r="AG6" s="149"/>
      <c r="AH6" s="149"/>
      <c r="AI6" s="149"/>
      <c r="AJ6" s="150"/>
    </row>
    <row r="7" spans="1:36" ht="15" customHeight="1" thickBot="1" x14ac:dyDescent="0.3">
      <c r="A7" s="486">
        <f>+A6+30</f>
        <v>46143</v>
      </c>
      <c r="B7" s="480" t="s">
        <v>418</v>
      </c>
      <c r="C7" s="492">
        <v>2</v>
      </c>
      <c r="D7" s="493" t="s">
        <v>419</v>
      </c>
      <c r="E7" s="495"/>
      <c r="F7" s="471" t="s">
        <v>420</v>
      </c>
      <c r="G7" s="497"/>
      <c r="H7" s="482" t="s">
        <v>421</v>
      </c>
      <c r="I7" s="469" t="s">
        <v>422</v>
      </c>
      <c r="J7" s="516" t="s">
        <v>423</v>
      </c>
      <c r="K7" s="497"/>
      <c r="L7" s="469" t="s">
        <v>424</v>
      </c>
      <c r="M7" s="482">
        <v>5</v>
      </c>
      <c r="N7" s="511"/>
      <c r="O7" s="511"/>
      <c r="P7" s="525" t="s">
        <v>425</v>
      </c>
      <c r="Q7" s="511"/>
      <c r="R7" s="482" t="s">
        <v>426</v>
      </c>
      <c r="S7" s="524"/>
      <c r="U7" s="785" t="s">
        <v>427</v>
      </c>
      <c r="V7" s="580" t="s">
        <v>428</v>
      </c>
      <c r="W7" s="580" t="s">
        <v>429</v>
      </c>
      <c r="X7" s="167"/>
      <c r="Y7" s="167"/>
      <c r="Z7" s="167"/>
      <c r="AA7" s="167"/>
      <c r="AB7" s="527">
        <f>+AB6+31</f>
        <v>46175</v>
      </c>
      <c r="AC7" s="151">
        <v>2022001</v>
      </c>
      <c r="AD7" s="152" t="s">
        <v>423</v>
      </c>
      <c r="AE7" s="153"/>
      <c r="AF7" s="152"/>
      <c r="AG7" s="152"/>
      <c r="AH7" s="152"/>
      <c r="AI7" s="152"/>
      <c r="AJ7" s="154"/>
    </row>
    <row r="8" spans="1:36" ht="15" customHeight="1" x14ac:dyDescent="0.25">
      <c r="A8" s="486">
        <f>+A7+31</f>
        <v>46174</v>
      </c>
      <c r="B8" s="480" t="s">
        <v>430</v>
      </c>
      <c r="C8" s="492">
        <v>2</v>
      </c>
      <c r="D8" s="496" t="s">
        <v>431</v>
      </c>
      <c r="E8" s="497"/>
      <c r="F8" s="471" t="s">
        <v>432</v>
      </c>
      <c r="G8" s="508" t="s">
        <v>433</v>
      </c>
      <c r="H8" s="482" t="s">
        <v>434</v>
      </c>
      <c r="I8" s="469" t="s">
        <v>435</v>
      </c>
      <c r="J8" s="516"/>
      <c r="K8" s="497"/>
      <c r="L8" s="469" t="s">
        <v>436</v>
      </c>
      <c r="M8" s="482">
        <v>6</v>
      </c>
      <c r="N8" s="511"/>
      <c r="O8" s="511"/>
      <c r="P8" s="511"/>
      <c r="Q8" s="511"/>
      <c r="R8" s="482" t="s">
        <v>426</v>
      </c>
      <c r="S8" s="524"/>
      <c r="U8" s="785" t="s">
        <v>437</v>
      </c>
      <c r="V8" s="580" t="s">
        <v>438</v>
      </c>
      <c r="W8" s="580" t="s">
        <v>439</v>
      </c>
      <c r="X8" s="167"/>
      <c r="Y8" s="167"/>
      <c r="Z8" s="167"/>
      <c r="AA8" s="167"/>
      <c r="AB8" s="527">
        <f>+AB7+30</f>
        <v>46205</v>
      </c>
      <c r="AC8" s="155">
        <v>2022002</v>
      </c>
      <c r="AD8" s="156" t="s">
        <v>399</v>
      </c>
      <c r="AE8" s="157" t="s">
        <v>440</v>
      </c>
      <c r="AF8" s="156"/>
      <c r="AG8" s="156"/>
      <c r="AH8" s="156"/>
      <c r="AI8" s="156"/>
      <c r="AJ8" s="158"/>
    </row>
    <row r="9" spans="1:36" ht="15" customHeight="1" x14ac:dyDescent="0.25">
      <c r="A9" s="486">
        <f>+A8+30</f>
        <v>46204</v>
      </c>
      <c r="B9" s="480"/>
      <c r="C9" s="492"/>
      <c r="D9" s="482" t="s">
        <v>441</v>
      </c>
      <c r="E9" s="497"/>
      <c r="F9" s="471" t="s">
        <v>442</v>
      </c>
      <c r="G9" s="509" t="s">
        <v>443</v>
      </c>
      <c r="H9" s="482" t="s">
        <v>444</v>
      </c>
      <c r="I9" s="469" t="s">
        <v>445</v>
      </c>
      <c r="J9" s="482" t="s">
        <v>446</v>
      </c>
      <c r="K9" s="497"/>
      <c r="L9" s="469" t="s">
        <v>447</v>
      </c>
      <c r="M9" s="482">
        <v>7</v>
      </c>
      <c r="N9" s="511"/>
      <c r="O9" s="511"/>
      <c r="P9" s="511"/>
      <c r="Q9" s="511"/>
      <c r="R9" s="482" t="s">
        <v>426</v>
      </c>
      <c r="S9" s="524"/>
      <c r="U9" s="785" t="s">
        <v>448</v>
      </c>
      <c r="V9" s="580" t="s">
        <v>449</v>
      </c>
      <c r="W9" s="580" t="s">
        <v>450</v>
      </c>
      <c r="X9" s="167"/>
      <c r="Y9" s="167"/>
      <c r="Z9" s="167"/>
      <c r="AA9" s="167"/>
      <c r="AB9" s="527">
        <f>+AB8+31</f>
        <v>46236</v>
      </c>
      <c r="AC9" s="159"/>
      <c r="AD9" s="23"/>
      <c r="AE9" s="23"/>
      <c r="AF9" s="15"/>
      <c r="AG9" s="15"/>
      <c r="AH9" s="15"/>
      <c r="AI9" s="15"/>
      <c r="AJ9" s="142"/>
    </row>
    <row r="10" spans="1:36" ht="15" customHeight="1" thickBot="1" x14ac:dyDescent="0.3">
      <c r="A10" s="486">
        <f>+A9+31</f>
        <v>46235</v>
      </c>
      <c r="B10" s="480" t="s">
        <v>365</v>
      </c>
      <c r="C10" s="492">
        <v>1</v>
      </c>
      <c r="D10" s="496" t="s">
        <v>451</v>
      </c>
      <c r="E10" s="497"/>
      <c r="F10" s="471" t="s">
        <v>452</v>
      </c>
      <c r="G10" s="510" t="s">
        <v>453</v>
      </c>
      <c r="H10" s="482" t="s">
        <v>454</v>
      </c>
      <c r="I10" s="469" t="s">
        <v>455</v>
      </c>
      <c r="J10" s="482" t="s">
        <v>456</v>
      </c>
      <c r="K10" s="497"/>
      <c r="L10" s="469"/>
      <c r="M10" s="482">
        <v>8</v>
      </c>
      <c r="N10" s="511"/>
      <c r="O10" s="511"/>
      <c r="P10" s="511"/>
      <c r="Q10" s="511"/>
      <c r="R10" s="482" t="s">
        <v>426</v>
      </c>
      <c r="S10" s="511"/>
      <c r="U10" s="167"/>
      <c r="V10" s="580" t="s">
        <v>457</v>
      </c>
      <c r="W10" s="580" t="s">
        <v>458</v>
      </c>
      <c r="X10" s="167"/>
      <c r="Y10" s="167"/>
      <c r="Z10" s="167"/>
      <c r="AA10" s="167"/>
      <c r="AB10" s="527">
        <f>+AB9+31</f>
        <v>46267</v>
      </c>
      <c r="AC10" s="160"/>
      <c r="AD10" s="161"/>
      <c r="AE10" s="15"/>
      <c r="AF10" s="15"/>
      <c r="AG10" s="15"/>
      <c r="AH10" s="15"/>
      <c r="AI10" s="15"/>
      <c r="AJ10" s="142"/>
    </row>
    <row r="11" spans="1:36" ht="15" customHeight="1" thickBot="1" x14ac:dyDescent="0.3">
      <c r="A11" s="486">
        <f>+A10+31</f>
        <v>46266</v>
      </c>
      <c r="B11" s="480" t="s">
        <v>459</v>
      </c>
      <c r="C11" s="492">
        <v>1</v>
      </c>
      <c r="D11" s="498"/>
      <c r="E11" s="497"/>
      <c r="F11" s="471" t="s">
        <v>460</v>
      </c>
      <c r="G11" s="497"/>
      <c r="H11" s="482" t="s">
        <v>461</v>
      </c>
      <c r="I11" s="469" t="s">
        <v>462</v>
      </c>
      <c r="J11" s="482" t="s">
        <v>386</v>
      </c>
      <c r="K11" s="497"/>
      <c r="L11" s="469"/>
      <c r="M11" s="482">
        <v>9</v>
      </c>
      <c r="N11" s="511"/>
      <c r="O11" s="511"/>
      <c r="P11" s="511"/>
      <c r="Q11" s="511"/>
      <c r="R11" s="482" t="s">
        <v>426</v>
      </c>
      <c r="S11" s="511"/>
      <c r="U11" s="167"/>
      <c r="V11" s="580" t="s">
        <v>463</v>
      </c>
      <c r="W11" s="580" t="s">
        <v>464</v>
      </c>
      <c r="X11" s="167"/>
      <c r="Y11" s="167"/>
      <c r="Z11" s="167"/>
      <c r="AA11" s="167"/>
      <c r="AB11" s="527">
        <f>+AB10+30</f>
        <v>46297</v>
      </c>
      <c r="AC11" s="160"/>
      <c r="AD11" s="161"/>
      <c r="AE11" s="15"/>
      <c r="AF11" s="15"/>
      <c r="AG11" s="15"/>
      <c r="AH11" s="15"/>
      <c r="AI11" s="15"/>
      <c r="AJ11" s="142"/>
    </row>
    <row r="12" spans="1:36" ht="15" customHeight="1" thickBot="1" x14ac:dyDescent="0.3">
      <c r="A12" s="486">
        <f>+A11+30</f>
        <v>46296</v>
      </c>
      <c r="B12" s="480" t="s">
        <v>465</v>
      </c>
      <c r="C12" s="499">
        <v>1</v>
      </c>
      <c r="D12" s="497"/>
      <c r="E12" s="497"/>
      <c r="F12" s="471" t="s">
        <v>466</v>
      </c>
      <c r="G12" s="497"/>
      <c r="H12" s="482" t="s">
        <v>467</v>
      </c>
      <c r="I12" s="469"/>
      <c r="J12" s="482" t="s">
        <v>370</v>
      </c>
      <c r="K12" s="497"/>
      <c r="L12" s="495"/>
      <c r="M12" s="498">
        <v>10</v>
      </c>
      <c r="N12" s="511"/>
      <c r="O12" s="511"/>
      <c r="P12" s="511"/>
      <c r="Q12" s="511"/>
      <c r="R12" s="482" t="s">
        <v>426</v>
      </c>
      <c r="S12" s="511"/>
      <c r="U12" s="167"/>
      <c r="V12" s="580" t="s">
        <v>468</v>
      </c>
      <c r="W12" s="167"/>
      <c r="X12" s="167"/>
      <c r="Y12" s="167"/>
      <c r="Z12" s="167"/>
      <c r="AA12" s="167"/>
      <c r="AB12" s="527">
        <f>+AB11+31</f>
        <v>46328</v>
      </c>
      <c r="AC12" s="160"/>
      <c r="AD12" s="161"/>
      <c r="AE12" s="15"/>
      <c r="AF12" s="15"/>
      <c r="AG12" s="15"/>
      <c r="AH12" s="15"/>
      <c r="AI12" s="15"/>
      <c r="AJ12" s="142"/>
    </row>
    <row r="13" spans="1:36" ht="15" customHeight="1" x14ac:dyDescent="0.25">
      <c r="A13" s="486">
        <f>+A12+31</f>
        <v>46327</v>
      </c>
      <c r="B13" s="480" t="s">
        <v>469</v>
      </c>
      <c r="C13" s="492">
        <v>1</v>
      </c>
      <c r="D13" s="497"/>
      <c r="E13" s="497"/>
      <c r="F13" s="471" t="s">
        <v>470</v>
      </c>
      <c r="G13" s="497"/>
      <c r="H13" s="482" t="s">
        <v>471</v>
      </c>
      <c r="I13" s="469"/>
      <c r="J13" s="482" t="s">
        <v>426</v>
      </c>
      <c r="K13" s="166"/>
      <c r="L13" s="166"/>
      <c r="U13" s="167"/>
      <c r="V13" s="580" t="s">
        <v>472</v>
      </c>
      <c r="W13" s="167"/>
      <c r="X13" s="167"/>
      <c r="Y13" s="167"/>
      <c r="Z13" s="167"/>
      <c r="AA13" s="167"/>
      <c r="AB13" s="527">
        <f>+AB12+30</f>
        <v>46358</v>
      </c>
      <c r="AC13" s="160"/>
      <c r="AD13" s="161"/>
      <c r="AE13" s="15"/>
      <c r="AF13" s="15"/>
      <c r="AG13" s="15"/>
      <c r="AH13" s="15"/>
      <c r="AI13" s="15"/>
      <c r="AJ13" s="142"/>
    </row>
    <row r="14" spans="1:36" ht="15" customHeight="1" x14ac:dyDescent="0.25">
      <c r="A14" s="486">
        <f>+A13+30</f>
        <v>46357</v>
      </c>
      <c r="B14" s="481"/>
      <c r="C14" s="492"/>
      <c r="D14" s="500"/>
      <c r="E14" s="497"/>
      <c r="F14" s="471" t="s">
        <v>473</v>
      </c>
      <c r="G14" s="497"/>
      <c r="H14" s="482" t="s">
        <v>474</v>
      </c>
      <c r="I14" s="469"/>
      <c r="J14" s="516" t="s">
        <v>475</v>
      </c>
      <c r="K14" s="166"/>
      <c r="L14" s="166"/>
      <c r="U14" s="167"/>
      <c r="V14" s="580" t="s">
        <v>476</v>
      </c>
      <c r="W14" s="167"/>
      <c r="X14" s="167"/>
      <c r="Y14" s="167"/>
      <c r="Z14" s="167"/>
      <c r="AA14" s="167"/>
      <c r="AC14" s="160"/>
      <c r="AD14" s="161"/>
      <c r="AE14" s="15"/>
      <c r="AF14" s="15"/>
      <c r="AG14" s="15"/>
      <c r="AH14" s="15"/>
      <c r="AI14" s="15"/>
      <c r="AJ14" s="142"/>
    </row>
    <row r="15" spans="1:36" ht="15" customHeight="1" x14ac:dyDescent="0.25">
      <c r="A15" s="166"/>
      <c r="B15" s="471" t="s">
        <v>477</v>
      </c>
      <c r="C15" s="492">
        <v>2</v>
      </c>
      <c r="D15" s="497"/>
      <c r="E15" s="497"/>
      <c r="F15" s="471" t="s">
        <v>478</v>
      </c>
      <c r="G15" s="497"/>
      <c r="H15" s="482" t="s">
        <v>479</v>
      </c>
      <c r="I15" s="469"/>
      <c r="J15" s="516" t="s">
        <v>391</v>
      </c>
      <c r="K15" s="166"/>
      <c r="L15" s="166"/>
      <c r="U15" s="167"/>
      <c r="V15" s="580" t="s">
        <v>480</v>
      </c>
      <c r="W15" s="167"/>
      <c r="X15" s="167"/>
      <c r="Y15" s="167"/>
      <c r="Z15" s="167"/>
      <c r="AA15" s="167"/>
      <c r="AC15" s="160"/>
      <c r="AD15" s="15"/>
      <c r="AE15" s="161"/>
      <c r="AF15" s="15"/>
      <c r="AG15" s="15"/>
      <c r="AH15" s="15"/>
      <c r="AI15" s="15"/>
      <c r="AJ15" s="142"/>
    </row>
    <row r="16" spans="1:36" ht="15" customHeight="1" thickBot="1" x14ac:dyDescent="0.3">
      <c r="A16" s="166"/>
      <c r="B16" s="482" t="s">
        <v>481</v>
      </c>
      <c r="C16" s="492">
        <v>2</v>
      </c>
      <c r="D16" s="497"/>
      <c r="E16" s="497"/>
      <c r="F16" s="471" t="s">
        <v>482</v>
      </c>
      <c r="G16" s="497"/>
      <c r="H16" s="482"/>
      <c r="I16" s="469"/>
      <c r="J16" s="482" t="s">
        <v>483</v>
      </c>
      <c r="K16" s="166"/>
      <c r="L16" s="166"/>
      <c r="AC16" s="160"/>
      <c r="AD16" s="15"/>
      <c r="AE16" s="161"/>
      <c r="AF16" s="15"/>
      <c r="AG16" s="15"/>
      <c r="AH16" s="15"/>
      <c r="AI16" s="15"/>
      <c r="AJ16" s="142"/>
    </row>
    <row r="17" spans="1:36" ht="15" customHeight="1" x14ac:dyDescent="0.25">
      <c r="A17" s="166"/>
      <c r="B17" s="482"/>
      <c r="C17" s="501" t="s">
        <v>484</v>
      </c>
      <c r="D17" s="497"/>
      <c r="E17" s="497"/>
      <c r="F17" s="471" t="s">
        <v>485</v>
      </c>
      <c r="G17" s="497"/>
      <c r="H17" s="482"/>
      <c r="I17" s="469"/>
      <c r="J17" s="471" t="s">
        <v>486</v>
      </c>
      <c r="K17" s="166"/>
      <c r="L17" s="166"/>
      <c r="AC17" s="160"/>
      <c r="AD17" s="15"/>
      <c r="AE17" s="161"/>
      <c r="AF17" s="15"/>
      <c r="AG17" s="15"/>
      <c r="AH17" s="15"/>
      <c r="AI17" s="15"/>
      <c r="AJ17" s="142"/>
    </row>
    <row r="18" spans="1:36" ht="15" customHeight="1" thickBot="1" x14ac:dyDescent="0.3">
      <c r="A18" s="166"/>
      <c r="B18" s="471"/>
      <c r="C18" s="480" t="s">
        <v>365</v>
      </c>
      <c r="D18" s="497"/>
      <c r="E18" s="497"/>
      <c r="F18" s="471" t="s">
        <v>487</v>
      </c>
      <c r="G18" s="497"/>
      <c r="H18" s="482" t="s">
        <v>369</v>
      </c>
      <c r="I18" s="469"/>
      <c r="J18" s="471"/>
      <c r="K18" s="166"/>
      <c r="L18" s="166"/>
      <c r="AC18" s="160"/>
      <c r="AD18" s="15"/>
      <c r="AE18" s="161"/>
      <c r="AF18" s="15"/>
      <c r="AG18" s="15"/>
      <c r="AH18" s="15"/>
      <c r="AI18" s="15"/>
      <c r="AJ18" s="142"/>
    </row>
    <row r="19" spans="1:36" ht="15" customHeight="1" x14ac:dyDescent="0.25">
      <c r="A19" s="166"/>
      <c r="B19" s="471"/>
      <c r="C19" s="480" t="s">
        <v>488</v>
      </c>
      <c r="D19" s="497"/>
      <c r="E19" s="497"/>
      <c r="F19" s="469" t="s">
        <v>489</v>
      </c>
      <c r="G19" s="504" t="s">
        <v>490</v>
      </c>
      <c r="H19" s="481" t="s">
        <v>384</v>
      </c>
      <c r="I19" s="469"/>
      <c r="J19" s="471"/>
      <c r="K19" s="166"/>
      <c r="L19" s="166"/>
      <c r="AC19" s="160"/>
      <c r="AD19" s="15"/>
      <c r="AE19" s="161"/>
      <c r="AF19" s="15"/>
      <c r="AG19" s="15"/>
      <c r="AH19" s="15"/>
      <c r="AI19" s="15"/>
      <c r="AJ19" s="142"/>
    </row>
    <row r="20" spans="1:36" ht="15" customHeight="1" thickBot="1" x14ac:dyDescent="0.3">
      <c r="B20" s="483"/>
      <c r="C20" s="502"/>
      <c r="D20" s="497"/>
      <c r="E20" s="497"/>
      <c r="F20" s="469" t="s">
        <v>426</v>
      </c>
      <c r="G20" s="169"/>
      <c r="H20" s="481" t="s">
        <v>398</v>
      </c>
      <c r="I20" s="495"/>
      <c r="J20" s="483"/>
      <c r="X20" s="580" t="s">
        <v>374</v>
      </c>
      <c r="AC20" s="160"/>
      <c r="AD20" s="15"/>
      <c r="AE20" s="161"/>
      <c r="AF20" s="15"/>
      <c r="AG20" s="15"/>
      <c r="AH20" s="15"/>
      <c r="AI20" s="15"/>
      <c r="AJ20" s="142"/>
    </row>
    <row r="21" spans="1:36" ht="15" customHeight="1" thickBot="1" x14ac:dyDescent="0.3">
      <c r="E21" s="504" t="s">
        <v>157</v>
      </c>
      <c r="F21" s="472" t="s">
        <v>491</v>
      </c>
      <c r="G21" s="169" t="s">
        <v>492</v>
      </c>
      <c r="H21" s="514" t="s">
        <v>411</v>
      </c>
      <c r="I21" s="170"/>
      <c r="J21" s="170"/>
      <c r="X21" s="580" t="s">
        <v>388</v>
      </c>
      <c r="AC21" s="160"/>
      <c r="AD21" s="15"/>
      <c r="AE21" s="161"/>
      <c r="AF21" s="15"/>
      <c r="AG21" s="15"/>
      <c r="AH21" s="15"/>
      <c r="AI21" s="15"/>
      <c r="AJ21" s="142"/>
    </row>
    <row r="22" spans="1:36" ht="15" customHeight="1" thickBot="1" x14ac:dyDescent="0.3">
      <c r="E22" s="476"/>
      <c r="F22" s="472" t="s">
        <v>493</v>
      </c>
      <c r="G22" s="169" t="s">
        <v>494</v>
      </c>
      <c r="H22" s="481" t="s">
        <v>435</v>
      </c>
      <c r="I22" s="170"/>
      <c r="J22" s="170"/>
      <c r="X22" s="580" t="s">
        <v>495</v>
      </c>
      <c r="AC22" s="162"/>
      <c r="AD22" s="163"/>
      <c r="AE22" s="164"/>
      <c r="AF22" s="163"/>
      <c r="AG22" s="163"/>
      <c r="AH22" s="163"/>
      <c r="AI22" s="163"/>
      <c r="AJ22" s="165"/>
    </row>
    <row r="23" spans="1:36" ht="30" customHeight="1" thickBot="1" x14ac:dyDescent="0.3">
      <c r="E23" s="169" t="s">
        <v>496</v>
      </c>
      <c r="F23" s="473"/>
      <c r="G23" s="505" t="s">
        <v>497</v>
      </c>
      <c r="H23" s="481" t="s">
        <v>422</v>
      </c>
      <c r="X23" s="580" t="s">
        <v>498</v>
      </c>
    </row>
    <row r="24" spans="1:36" x14ac:dyDescent="0.25">
      <c r="E24" s="169" t="s">
        <v>499</v>
      </c>
      <c r="F24" s="474"/>
      <c r="G24" s="511"/>
      <c r="H24" s="515"/>
      <c r="X24" s="580" t="s">
        <v>427</v>
      </c>
    </row>
    <row r="25" spans="1:36" x14ac:dyDescent="0.25">
      <c r="E25" s="169" t="s">
        <v>500</v>
      </c>
      <c r="F25" s="474"/>
      <c r="G25" s="511"/>
      <c r="H25" s="515"/>
      <c r="X25" s="580" t="s">
        <v>501</v>
      </c>
    </row>
    <row r="26" spans="1:36" x14ac:dyDescent="0.25">
      <c r="E26" s="169" t="s">
        <v>502</v>
      </c>
      <c r="F26" s="475"/>
      <c r="H26" s="476"/>
      <c r="X26" s="580" t="s">
        <v>503</v>
      </c>
    </row>
    <row r="27" spans="1:36" ht="15.75" customHeight="1" thickBot="1" x14ac:dyDescent="0.3">
      <c r="E27" s="505" t="s">
        <v>504</v>
      </c>
      <c r="F27" s="475"/>
      <c r="H27" s="476"/>
    </row>
    <row r="28" spans="1:36" x14ac:dyDescent="0.25">
      <c r="E28" s="506"/>
      <c r="F28" s="476"/>
      <c r="H28" s="476"/>
    </row>
    <row r="29" spans="1:36" ht="29.25" customHeight="1" thickBot="1" x14ac:dyDescent="0.3">
      <c r="E29" s="506"/>
      <c r="F29" s="477"/>
      <c r="H29" s="477"/>
      <c r="L29" t="s">
        <v>505</v>
      </c>
      <c r="M29" s="181" t="s">
        <v>506</v>
      </c>
      <c r="N29" s="182"/>
      <c r="O29" s="182"/>
      <c r="P29" s="182"/>
      <c r="Q29" s="182"/>
      <c r="R29" s="183"/>
    </row>
    <row r="31" spans="1:36" ht="16.5" customHeight="1" x14ac:dyDescent="0.25"/>
    <row r="33" spans="1:27" ht="21.75" customHeight="1" x14ac:dyDescent="0.25"/>
    <row r="34" spans="1:27" ht="15.75" customHeight="1" thickBot="1" x14ac:dyDescent="0.3"/>
    <row r="35" spans="1:27" ht="16.5" customHeight="1" thickTop="1" thickBot="1" x14ac:dyDescent="0.3">
      <c r="A35" s="563">
        <v>2025</v>
      </c>
      <c r="B35" s="564" t="s">
        <v>507</v>
      </c>
      <c r="D35" s="557" t="s">
        <v>508</v>
      </c>
      <c r="E35" s="559" t="s">
        <v>509</v>
      </c>
      <c r="F35" s="560">
        <v>135.1</v>
      </c>
      <c r="G35" s="559" t="s">
        <v>510</v>
      </c>
      <c r="H35" s="560">
        <v>135.1</v>
      </c>
      <c r="I35" s="559"/>
      <c r="J35" s="560" t="s">
        <v>511</v>
      </c>
    </row>
    <row r="36" spans="1:27" ht="31.5" customHeight="1" thickTop="1" thickBot="1" x14ac:dyDescent="0.3">
      <c r="A36" s="561" t="s">
        <v>512</v>
      </c>
      <c r="B36" s="565">
        <v>5.24</v>
      </c>
      <c r="D36" s="558" t="s">
        <v>507</v>
      </c>
      <c r="E36" s="559" t="s">
        <v>388</v>
      </c>
      <c r="F36" s="560">
        <v>121.16</v>
      </c>
      <c r="G36" s="559" t="s">
        <v>513</v>
      </c>
      <c r="H36" s="560">
        <v>121.16</v>
      </c>
      <c r="I36" s="559"/>
      <c r="J36" s="560" t="s">
        <v>514</v>
      </c>
    </row>
    <row r="37" spans="1:27" ht="31.5" customHeight="1" thickTop="1" thickBot="1" x14ac:dyDescent="0.3">
      <c r="A37" s="562" t="s">
        <v>515</v>
      </c>
      <c r="B37" s="566">
        <f>+B36/40</f>
        <v>0.13100000000000001</v>
      </c>
      <c r="E37" s="64"/>
      <c r="F37" s="65"/>
    </row>
    <row r="38" spans="1:27" ht="53.25" customHeight="1" x14ac:dyDescent="0.25">
      <c r="A38" s="555" t="s">
        <v>516</v>
      </c>
      <c r="B38" s="556"/>
      <c r="C38" s="556"/>
      <c r="D38" s="556"/>
      <c r="E38" s="556"/>
      <c r="F38" s="556"/>
      <c r="G38" s="552">
        <v>2025</v>
      </c>
      <c r="H38" s="61"/>
      <c r="L38" s="550" t="s">
        <v>517</v>
      </c>
      <c r="M38" s="551"/>
      <c r="N38" s="551"/>
      <c r="O38" s="552">
        <v>2026</v>
      </c>
    </row>
    <row r="39" spans="1:27" ht="24" customHeight="1" thickBot="1" x14ac:dyDescent="0.3">
      <c r="A39" s="59" t="s">
        <v>518</v>
      </c>
      <c r="B39" s="41" t="s">
        <v>203</v>
      </c>
      <c r="C39" s="41" t="s">
        <v>204</v>
      </c>
      <c r="D39" s="41" t="s">
        <v>519</v>
      </c>
      <c r="E39" s="41" t="s">
        <v>520</v>
      </c>
      <c r="F39" s="41" t="s">
        <v>202</v>
      </c>
      <c r="G39" s="60" t="s">
        <v>521</v>
      </c>
      <c r="H39" s="549" t="s">
        <v>507</v>
      </c>
      <c r="L39" s="531" t="s">
        <v>522</v>
      </c>
      <c r="M39" s="532"/>
      <c r="N39" s="532"/>
      <c r="O39" s="549" t="s">
        <v>523</v>
      </c>
      <c r="R39" s="179"/>
    </row>
    <row r="40" spans="1:27" ht="52.5" customHeight="1" thickTop="1" x14ac:dyDescent="0.25">
      <c r="A40" s="59" t="s">
        <v>524</v>
      </c>
      <c r="B40" s="172">
        <v>0.1</v>
      </c>
      <c r="C40" s="172">
        <v>229.44</v>
      </c>
      <c r="D40" s="172">
        <v>6.62</v>
      </c>
      <c r="E40" s="172">
        <v>6.62</v>
      </c>
      <c r="F40" s="172">
        <v>13.24</v>
      </c>
      <c r="G40" s="172">
        <v>0.2</v>
      </c>
      <c r="H40" s="533" t="s">
        <v>525</v>
      </c>
      <c r="I40" s="534"/>
      <c r="L40" s="42" t="s">
        <v>526</v>
      </c>
      <c r="M40" s="43" t="s">
        <v>527</v>
      </c>
      <c r="N40" s="43" t="s">
        <v>528</v>
      </c>
      <c r="O40" s="553" t="s">
        <v>529</v>
      </c>
      <c r="P40" s="568" t="s">
        <v>530</v>
      </c>
      <c r="Q40" s="567" t="s">
        <v>531</v>
      </c>
      <c r="R40" s="568" t="s">
        <v>532</v>
      </c>
      <c r="S40" s="567" t="s">
        <v>533</v>
      </c>
    </row>
    <row r="41" spans="1:27" ht="30.75" customHeight="1" thickBot="1" x14ac:dyDescent="0.3">
      <c r="A41" s="59" t="s">
        <v>534</v>
      </c>
      <c r="B41" s="172">
        <v>0.1</v>
      </c>
      <c r="C41" s="172">
        <v>229.44</v>
      </c>
      <c r="D41" s="176">
        <v>22.94</v>
      </c>
      <c r="E41" s="172">
        <v>22.94</v>
      </c>
      <c r="F41" s="172">
        <v>45.88</v>
      </c>
      <c r="G41" s="172">
        <v>0.69</v>
      </c>
      <c r="H41" s="533" t="s">
        <v>535</v>
      </c>
      <c r="I41" s="534"/>
      <c r="L41" s="531" t="s">
        <v>536</v>
      </c>
      <c r="M41" s="532"/>
      <c r="N41" s="532"/>
      <c r="O41" s="126"/>
      <c r="P41" s="569">
        <v>0.1</v>
      </c>
      <c r="Q41" s="554">
        <v>10000</v>
      </c>
      <c r="R41" s="569">
        <v>0.15</v>
      </c>
      <c r="S41" s="554">
        <v>10000</v>
      </c>
    </row>
    <row r="42" spans="1:27" ht="21.75" customHeight="1" thickTop="1" x14ac:dyDescent="0.25">
      <c r="A42" s="173" t="s">
        <v>537</v>
      </c>
      <c r="B42" s="174"/>
      <c r="C42" s="174"/>
      <c r="D42" s="174"/>
      <c r="E42" s="174"/>
      <c r="F42" s="174"/>
      <c r="G42" s="175"/>
      <c r="H42" s="119"/>
      <c r="J42" t="s">
        <v>538</v>
      </c>
      <c r="K42">
        <v>1</v>
      </c>
      <c r="L42" s="36">
        <v>0</v>
      </c>
      <c r="M42" s="40">
        <v>12000</v>
      </c>
      <c r="N42" s="38">
        <v>0</v>
      </c>
      <c r="O42" s="39">
        <v>0</v>
      </c>
    </row>
    <row r="43" spans="1:27" ht="16.5" customHeight="1" x14ac:dyDescent="0.25">
      <c r="A43" s="120" t="s">
        <v>539</v>
      </c>
      <c r="B43" s="121"/>
      <c r="C43" s="121"/>
      <c r="D43" s="121"/>
      <c r="E43" s="121"/>
      <c r="F43" s="121"/>
      <c r="G43" s="122"/>
      <c r="H43" s="119"/>
      <c r="J43" t="s">
        <v>540</v>
      </c>
      <c r="K43">
        <v>2</v>
      </c>
      <c r="L43" s="40">
        <v>12001</v>
      </c>
      <c r="M43" s="40">
        <v>16000</v>
      </c>
      <c r="N43" s="38">
        <v>0.15</v>
      </c>
      <c r="O43" s="37">
        <v>1800</v>
      </c>
      <c r="X43" s="780"/>
      <c r="Y43" s="780"/>
      <c r="Z43" s="78"/>
      <c r="AA43" s="780"/>
    </row>
    <row r="44" spans="1:27" ht="16.5" customHeight="1" x14ac:dyDescent="0.25">
      <c r="A44" s="59"/>
      <c r="B44" s="535" t="s">
        <v>541</v>
      </c>
      <c r="C44" s="536"/>
      <c r="D44" s="536"/>
      <c r="E44" s="536"/>
      <c r="F44" s="536"/>
      <c r="G44" s="537"/>
      <c r="H44" s="119"/>
      <c r="J44" t="s">
        <v>542</v>
      </c>
      <c r="K44">
        <v>3</v>
      </c>
      <c r="L44" s="40">
        <v>16001</v>
      </c>
      <c r="M44" s="40">
        <v>19999</v>
      </c>
      <c r="N44" s="38">
        <v>0.25</v>
      </c>
      <c r="O44" s="37">
        <v>3400</v>
      </c>
      <c r="X44" s="780"/>
      <c r="Y44" s="780"/>
      <c r="Z44" s="78"/>
      <c r="AA44" s="780"/>
    </row>
    <row r="45" spans="1:27" ht="17.25" customHeight="1" x14ac:dyDescent="0.25">
      <c r="A45" s="59" t="s">
        <v>543</v>
      </c>
      <c r="B45" s="172">
        <v>229.45</v>
      </c>
      <c r="C45" s="172">
        <v>490.38</v>
      </c>
      <c r="D45" s="172">
        <v>0.1</v>
      </c>
      <c r="E45" s="172">
        <v>0.1</v>
      </c>
      <c r="F45" s="172" t="s">
        <v>544</v>
      </c>
      <c r="G45" s="178">
        <v>3.0000000000000001E-3</v>
      </c>
      <c r="H45" s="533" t="s">
        <v>545</v>
      </c>
      <c r="I45" s="534"/>
      <c r="J45" t="s">
        <v>546</v>
      </c>
      <c r="K45">
        <v>4</v>
      </c>
      <c r="L45" s="40">
        <v>20000</v>
      </c>
      <c r="M45" s="40">
        <v>60000</v>
      </c>
      <c r="N45" s="38">
        <v>0.25</v>
      </c>
      <c r="O45" s="37">
        <v>3400</v>
      </c>
    </row>
    <row r="46" spans="1:27" ht="15.75" customHeight="1" x14ac:dyDescent="0.25">
      <c r="A46" s="59" t="s">
        <v>547</v>
      </c>
      <c r="B46" s="172">
        <v>490.39</v>
      </c>
      <c r="C46" s="172" t="s">
        <v>544</v>
      </c>
      <c r="D46" s="172">
        <v>49.04</v>
      </c>
      <c r="E46" s="172">
        <v>49.04</v>
      </c>
      <c r="F46" s="172">
        <v>98.08</v>
      </c>
      <c r="G46" s="172">
        <v>1.47</v>
      </c>
      <c r="H46" s="533" t="s">
        <v>548</v>
      </c>
      <c r="I46" s="534"/>
      <c r="J46" t="s">
        <v>549</v>
      </c>
      <c r="K46">
        <v>5</v>
      </c>
      <c r="L46" s="40">
        <v>60001</v>
      </c>
      <c r="M46" s="36">
        <v>150000</v>
      </c>
      <c r="N46" s="38">
        <v>0.35</v>
      </c>
      <c r="O46" s="37">
        <v>9400</v>
      </c>
      <c r="Y46" s="780"/>
      <c r="Z46" s="78"/>
    </row>
    <row r="47" spans="1:27" ht="16.5" customHeight="1" x14ac:dyDescent="0.25">
      <c r="A47" s="120" t="s">
        <v>550</v>
      </c>
      <c r="B47" s="121"/>
      <c r="C47" s="121"/>
      <c r="D47" s="121"/>
      <c r="E47" s="121"/>
      <c r="F47" s="121"/>
      <c r="G47" s="122"/>
      <c r="H47" s="119"/>
      <c r="L47" s="531" t="s">
        <v>551</v>
      </c>
      <c r="M47" s="532"/>
      <c r="N47" s="532"/>
      <c r="O47" s="127"/>
      <c r="X47" s="780"/>
      <c r="Y47" s="780"/>
      <c r="Z47" s="78"/>
      <c r="AA47" s="780"/>
    </row>
    <row r="48" spans="1:27" ht="16.5" customHeight="1" x14ac:dyDescent="0.25">
      <c r="A48" s="59"/>
      <c r="B48" s="123" t="s">
        <v>552</v>
      </c>
      <c r="C48" s="124"/>
      <c r="D48" s="124"/>
      <c r="E48" s="124"/>
      <c r="F48" s="124"/>
      <c r="G48" s="125"/>
      <c r="H48" s="58"/>
      <c r="J48" t="s">
        <v>553</v>
      </c>
      <c r="K48">
        <v>1</v>
      </c>
      <c r="L48" s="36">
        <v>0</v>
      </c>
      <c r="M48" s="40">
        <v>15000</v>
      </c>
      <c r="N48" s="38">
        <v>0</v>
      </c>
      <c r="O48" s="39">
        <v>0</v>
      </c>
      <c r="X48" s="780"/>
      <c r="Y48" s="780"/>
      <c r="Z48" s="78"/>
      <c r="AA48" s="780"/>
    </row>
    <row r="49" spans="1:27" ht="16.5" customHeight="1" x14ac:dyDescent="0.25">
      <c r="A49" s="59" t="s">
        <v>554</v>
      </c>
      <c r="B49" s="172">
        <v>229.45</v>
      </c>
      <c r="C49" s="172">
        <v>559.29999999999995</v>
      </c>
      <c r="D49" s="177">
        <v>0.1</v>
      </c>
      <c r="E49" s="177">
        <v>0.1</v>
      </c>
      <c r="F49" s="171" t="s">
        <v>544</v>
      </c>
      <c r="G49" s="178">
        <v>3.0000000000000001E-3</v>
      </c>
      <c r="H49" s="57"/>
      <c r="J49" t="s">
        <v>555</v>
      </c>
      <c r="K49">
        <v>2</v>
      </c>
      <c r="L49" s="40">
        <v>15001</v>
      </c>
      <c r="M49" s="40">
        <v>23000</v>
      </c>
      <c r="N49" s="38">
        <v>0.15</v>
      </c>
      <c r="O49" s="37">
        <v>2250</v>
      </c>
      <c r="X49" s="780"/>
      <c r="Z49" s="78"/>
      <c r="AA49" s="780"/>
    </row>
    <row r="50" spans="1:27" ht="17.25" customHeight="1" x14ac:dyDescent="0.25">
      <c r="A50" s="59" t="s">
        <v>547</v>
      </c>
      <c r="B50" s="172">
        <v>559.30999999999995</v>
      </c>
      <c r="C50" s="172" t="s">
        <v>544</v>
      </c>
      <c r="D50" s="172">
        <v>55.93</v>
      </c>
      <c r="E50" s="172">
        <v>55.93</v>
      </c>
      <c r="F50" s="172">
        <v>111.86</v>
      </c>
      <c r="G50" s="172">
        <v>1.68</v>
      </c>
      <c r="H50" s="57"/>
      <c r="J50" t="s">
        <v>556</v>
      </c>
      <c r="K50">
        <v>3</v>
      </c>
      <c r="L50" s="40">
        <v>23001</v>
      </c>
      <c r="M50" s="40">
        <v>28700</v>
      </c>
      <c r="N50" s="38">
        <v>0.25</v>
      </c>
      <c r="O50" s="37">
        <v>4550</v>
      </c>
    </row>
    <row r="51" spans="1:27" ht="16.5" customHeight="1" x14ac:dyDescent="0.25">
      <c r="A51" s="120" t="s">
        <v>550</v>
      </c>
      <c r="B51" s="121"/>
      <c r="C51" s="121"/>
      <c r="D51" s="121"/>
      <c r="E51" s="121"/>
      <c r="F51" s="121"/>
      <c r="G51" s="122"/>
      <c r="H51" s="57"/>
      <c r="J51" t="s">
        <v>557</v>
      </c>
      <c r="K51">
        <v>4</v>
      </c>
      <c r="L51" s="40">
        <v>28701</v>
      </c>
      <c r="M51" s="40">
        <v>60000</v>
      </c>
      <c r="N51" s="38">
        <v>0.25</v>
      </c>
      <c r="O51" s="37">
        <v>4550</v>
      </c>
    </row>
    <row r="52" spans="1:27" ht="30" customHeight="1" x14ac:dyDescent="0.25">
      <c r="A52" s="59" t="s">
        <v>558</v>
      </c>
      <c r="B52" s="171" t="s">
        <v>544</v>
      </c>
      <c r="C52" s="171" t="s">
        <v>544</v>
      </c>
      <c r="D52" s="171" t="s">
        <v>559</v>
      </c>
      <c r="E52" s="171" t="s">
        <v>559</v>
      </c>
      <c r="F52" s="171" t="s">
        <v>544</v>
      </c>
      <c r="G52" s="171" t="s">
        <v>560</v>
      </c>
      <c r="H52" s="533" t="s">
        <v>561</v>
      </c>
      <c r="I52" s="534"/>
      <c r="J52" t="s">
        <v>562</v>
      </c>
      <c r="K52">
        <v>5</v>
      </c>
      <c r="L52" s="40">
        <v>60001</v>
      </c>
      <c r="M52" s="36">
        <v>150000</v>
      </c>
      <c r="N52" s="38">
        <v>0.35</v>
      </c>
      <c r="O52" s="37">
        <v>10550</v>
      </c>
      <c r="Y52" s="780"/>
      <c r="Z52" s="78"/>
    </row>
    <row r="53" spans="1:27" ht="16.5" customHeight="1" x14ac:dyDescent="0.25">
      <c r="A53" s="59" t="s">
        <v>563</v>
      </c>
      <c r="B53" s="171" t="s">
        <v>544</v>
      </c>
      <c r="C53" s="171" t="s">
        <v>544</v>
      </c>
      <c r="D53" s="171" t="s">
        <v>564</v>
      </c>
      <c r="E53" s="171" t="s">
        <v>564</v>
      </c>
      <c r="F53" s="171" t="s">
        <v>544</v>
      </c>
      <c r="G53" s="171" t="s">
        <v>565</v>
      </c>
      <c r="H53" s="57"/>
      <c r="L53" s="531" t="s">
        <v>566</v>
      </c>
      <c r="M53" s="532"/>
      <c r="N53" s="532"/>
      <c r="O53" s="127"/>
      <c r="X53" s="780"/>
      <c r="Y53" s="780"/>
      <c r="Z53" s="78"/>
      <c r="AA53" s="780"/>
    </row>
    <row r="54" spans="1:27" ht="16.5" customHeight="1" x14ac:dyDescent="0.25">
      <c r="A54" s="541" t="s">
        <v>567</v>
      </c>
      <c r="B54" s="542"/>
      <c r="C54" s="542"/>
      <c r="D54" s="542"/>
      <c r="E54" s="542"/>
      <c r="F54" s="542"/>
      <c r="G54" s="543"/>
      <c r="J54" t="s">
        <v>568</v>
      </c>
      <c r="K54">
        <v>1</v>
      </c>
      <c r="L54" s="36">
        <v>0</v>
      </c>
      <c r="M54" s="40">
        <v>17500</v>
      </c>
      <c r="N54" s="38">
        <v>0</v>
      </c>
      <c r="O54" s="39">
        <v>0</v>
      </c>
      <c r="X54" s="780"/>
      <c r="Y54" s="780"/>
      <c r="Z54" s="78"/>
      <c r="AA54" s="780"/>
    </row>
    <row r="55" spans="1:27" ht="25.5" customHeight="1" thickBot="1" x14ac:dyDescent="0.3">
      <c r="A55" s="538" t="s">
        <v>569</v>
      </c>
      <c r="B55" s="539"/>
      <c r="C55" s="539"/>
      <c r="D55" s="539"/>
      <c r="E55" s="539"/>
      <c r="F55" s="539"/>
      <c r="G55" s="540"/>
      <c r="J55" t="s">
        <v>570</v>
      </c>
      <c r="K55">
        <v>2</v>
      </c>
      <c r="L55" s="40">
        <v>17501</v>
      </c>
      <c r="M55" s="40">
        <v>26500</v>
      </c>
      <c r="N55" s="38">
        <v>0.15</v>
      </c>
      <c r="O55" s="37">
        <v>2625</v>
      </c>
      <c r="X55" s="780"/>
      <c r="Z55" s="78"/>
      <c r="AA55" s="780"/>
    </row>
    <row r="56" spans="1:27" ht="27.75" customHeight="1" x14ac:dyDescent="0.25">
      <c r="J56" t="s">
        <v>571</v>
      </c>
      <c r="K56">
        <v>3</v>
      </c>
      <c r="L56" s="40">
        <v>26501</v>
      </c>
      <c r="M56" s="40">
        <v>60000</v>
      </c>
      <c r="N56" s="38">
        <v>0.25</v>
      </c>
      <c r="O56" s="37">
        <v>5275</v>
      </c>
    </row>
    <row r="57" spans="1:27" ht="21" customHeight="1" x14ac:dyDescent="0.25">
      <c r="J57" t="s">
        <v>572</v>
      </c>
      <c r="K57">
        <v>4</v>
      </c>
      <c r="L57" s="40">
        <v>60001</v>
      </c>
      <c r="M57" s="36">
        <v>150000</v>
      </c>
      <c r="N57" s="38">
        <v>0.35</v>
      </c>
      <c r="O57" s="37">
        <v>11275</v>
      </c>
      <c r="Y57" s="780"/>
      <c r="Z57" s="78"/>
    </row>
    <row r="58" spans="1:27" ht="21" customHeight="1" x14ac:dyDescent="0.25">
      <c r="J58" t="s">
        <v>573</v>
      </c>
      <c r="K58">
        <v>5</v>
      </c>
      <c r="L58" s="781"/>
      <c r="M58" s="782"/>
      <c r="N58" s="783"/>
      <c r="O58" s="784"/>
      <c r="Y58" s="780"/>
      <c r="Z58" s="78"/>
    </row>
    <row r="59" spans="1:27" ht="29.25" customHeight="1" x14ac:dyDescent="0.25">
      <c r="L59" s="531" t="s">
        <v>574</v>
      </c>
      <c r="M59" s="532"/>
      <c r="N59" s="532"/>
      <c r="O59" s="127"/>
      <c r="X59" s="780"/>
      <c r="Y59" s="780"/>
      <c r="Z59" s="78"/>
      <c r="AA59" s="780"/>
    </row>
    <row r="60" spans="1:27" ht="21.75" customHeight="1" x14ac:dyDescent="0.25">
      <c r="J60" t="s">
        <v>575</v>
      </c>
      <c r="K60">
        <v>1</v>
      </c>
      <c r="L60" s="36">
        <v>0</v>
      </c>
      <c r="M60" s="40">
        <v>22500</v>
      </c>
      <c r="N60" s="38">
        <v>0</v>
      </c>
      <c r="O60" s="39">
        <v>0</v>
      </c>
      <c r="X60" s="780"/>
      <c r="Y60" s="780"/>
      <c r="Z60" s="78"/>
      <c r="AA60" s="780"/>
    </row>
    <row r="61" spans="1:27" x14ac:dyDescent="0.25">
      <c r="J61" t="s">
        <v>576</v>
      </c>
      <c r="K61">
        <v>2</v>
      </c>
      <c r="L61" s="36">
        <v>22501</v>
      </c>
      <c r="M61" s="40">
        <v>32000</v>
      </c>
      <c r="N61" s="38">
        <v>0.15</v>
      </c>
      <c r="O61" s="39">
        <v>3375</v>
      </c>
      <c r="P61" s="118"/>
      <c r="Q61" s="118"/>
      <c r="R61" s="118"/>
      <c r="X61" s="780"/>
      <c r="Z61" s="78"/>
      <c r="AA61" s="780"/>
    </row>
    <row r="62" spans="1:27" x14ac:dyDescent="0.25">
      <c r="J62" t="s">
        <v>577</v>
      </c>
      <c r="K62">
        <v>3</v>
      </c>
      <c r="L62" s="40">
        <v>32001</v>
      </c>
      <c r="M62" s="40">
        <v>60000</v>
      </c>
      <c r="N62" s="38">
        <v>0.25</v>
      </c>
      <c r="O62" s="37">
        <v>6575</v>
      </c>
      <c r="P62" s="449"/>
      <c r="Q62" s="449"/>
      <c r="R62" s="503"/>
      <c r="S62" s="449"/>
      <c r="X62" s="780"/>
      <c r="Z62" s="78"/>
      <c r="AA62" s="780"/>
    </row>
    <row r="63" spans="1:27" x14ac:dyDescent="0.25">
      <c r="J63" t="s">
        <v>578</v>
      </c>
      <c r="K63">
        <v>4</v>
      </c>
      <c r="L63" s="40">
        <v>60001</v>
      </c>
      <c r="M63" s="36">
        <v>150000</v>
      </c>
      <c r="N63" s="38">
        <v>0.35</v>
      </c>
      <c r="O63" s="37">
        <v>12575</v>
      </c>
      <c r="X63" s="780"/>
      <c r="Z63" s="78"/>
      <c r="AA63" s="780"/>
    </row>
    <row r="64" spans="1:27" x14ac:dyDescent="0.25">
      <c r="J64" t="s">
        <v>579</v>
      </c>
      <c r="K64">
        <v>5</v>
      </c>
      <c r="L64" s="781"/>
      <c r="M64" s="782"/>
      <c r="N64" s="783"/>
      <c r="O64" s="784"/>
      <c r="X64" s="780"/>
      <c r="Z64" s="78"/>
      <c r="AA64" s="780"/>
    </row>
    <row r="65" spans="10:27" x14ac:dyDescent="0.25">
      <c r="L65" s="531" t="s">
        <v>580</v>
      </c>
      <c r="M65" s="532"/>
      <c r="N65" s="532"/>
      <c r="O65" s="127"/>
      <c r="X65" s="780"/>
      <c r="Z65" s="78"/>
      <c r="AA65" s="780"/>
    </row>
    <row r="66" spans="10:27" x14ac:dyDescent="0.25">
      <c r="J66" t="s">
        <v>581</v>
      </c>
      <c r="K66">
        <v>1</v>
      </c>
      <c r="L66" s="36">
        <v>0</v>
      </c>
      <c r="M66" s="40">
        <v>13000</v>
      </c>
      <c r="N66" s="38">
        <v>0</v>
      </c>
      <c r="O66" s="39">
        <v>0</v>
      </c>
      <c r="X66" s="780"/>
      <c r="Z66" s="78"/>
      <c r="AA66" s="780"/>
    </row>
    <row r="67" spans="10:27" x14ac:dyDescent="0.25">
      <c r="J67" t="s">
        <v>582</v>
      </c>
      <c r="K67">
        <v>2</v>
      </c>
      <c r="L67" s="40">
        <v>13001</v>
      </c>
      <c r="M67" s="40">
        <v>17500</v>
      </c>
      <c r="N67" s="38">
        <v>0.15</v>
      </c>
      <c r="O67" s="37">
        <v>1950</v>
      </c>
      <c r="X67" s="780"/>
      <c r="Z67" s="78"/>
      <c r="AA67" s="780"/>
    </row>
    <row r="68" spans="10:27" x14ac:dyDescent="0.25">
      <c r="J68" t="s">
        <v>583</v>
      </c>
      <c r="K68">
        <v>3</v>
      </c>
      <c r="L68" s="40">
        <v>17501</v>
      </c>
      <c r="M68" s="40">
        <v>60000</v>
      </c>
      <c r="N68" s="38">
        <v>0.25</v>
      </c>
      <c r="O68" s="37">
        <v>3700</v>
      </c>
      <c r="X68" s="780"/>
      <c r="Z68" s="78"/>
      <c r="AA68" s="780"/>
    </row>
    <row r="69" spans="10:27" x14ac:dyDescent="0.25">
      <c r="J69" t="s">
        <v>584</v>
      </c>
      <c r="K69">
        <v>4</v>
      </c>
      <c r="L69" s="40">
        <v>60001</v>
      </c>
      <c r="M69" s="40">
        <v>150000</v>
      </c>
      <c r="N69" s="38">
        <v>0.35</v>
      </c>
      <c r="O69" s="37">
        <v>9700</v>
      </c>
      <c r="X69" s="780"/>
      <c r="Z69" s="78"/>
      <c r="AA69" s="780"/>
    </row>
    <row r="70" spans="10:27" x14ac:dyDescent="0.25">
      <c r="J70" t="s">
        <v>585</v>
      </c>
      <c r="K70">
        <v>5</v>
      </c>
      <c r="L70" s="40"/>
      <c r="M70" s="36"/>
      <c r="N70" s="38"/>
      <c r="O70" s="37"/>
      <c r="X70" s="780"/>
      <c r="Z70" s="78"/>
      <c r="AA70" s="780"/>
    </row>
    <row r="71" spans="10:27" x14ac:dyDescent="0.25">
      <c r="L71" s="531" t="s">
        <v>586</v>
      </c>
      <c r="M71" s="532"/>
      <c r="N71" s="532"/>
      <c r="O71" s="127"/>
      <c r="X71" s="780"/>
      <c r="Z71" s="78"/>
      <c r="AA71" s="780"/>
    </row>
    <row r="72" spans="10:27" x14ac:dyDescent="0.25">
      <c r="J72" t="s">
        <v>587</v>
      </c>
      <c r="K72">
        <v>1</v>
      </c>
      <c r="L72" s="36">
        <v>0</v>
      </c>
      <c r="M72" s="40">
        <v>14500</v>
      </c>
      <c r="N72" s="38">
        <v>0</v>
      </c>
      <c r="O72" s="39">
        <v>0</v>
      </c>
      <c r="X72" s="780"/>
      <c r="Z72" s="78"/>
      <c r="AA72" s="780"/>
    </row>
    <row r="73" spans="10:27" x14ac:dyDescent="0.25">
      <c r="J73" t="s">
        <v>588</v>
      </c>
      <c r="K73">
        <v>2</v>
      </c>
      <c r="L73" s="40">
        <v>14501</v>
      </c>
      <c r="M73" s="40">
        <v>21000</v>
      </c>
      <c r="N73" s="38">
        <v>0.15</v>
      </c>
      <c r="O73" s="37">
        <v>2175</v>
      </c>
      <c r="X73" s="780"/>
      <c r="Z73" s="78"/>
      <c r="AA73" s="780"/>
    </row>
    <row r="74" spans="10:27" x14ac:dyDescent="0.25">
      <c r="J74" t="s">
        <v>589</v>
      </c>
      <c r="K74">
        <v>3</v>
      </c>
      <c r="L74" s="40">
        <v>21001</v>
      </c>
      <c r="M74" s="40">
        <v>60000</v>
      </c>
      <c r="N74" s="38">
        <v>0.25</v>
      </c>
      <c r="O74" s="37">
        <v>4275</v>
      </c>
      <c r="X74" s="780"/>
      <c r="Z74" s="78"/>
      <c r="AA74" s="780"/>
    </row>
    <row r="75" spans="10:27" x14ac:dyDescent="0.25">
      <c r="J75" t="s">
        <v>590</v>
      </c>
      <c r="K75">
        <v>4</v>
      </c>
      <c r="L75" s="40">
        <v>60001</v>
      </c>
      <c r="M75" s="36">
        <v>150000</v>
      </c>
      <c r="N75" s="38">
        <v>0.35</v>
      </c>
      <c r="O75" s="37">
        <v>10275</v>
      </c>
      <c r="X75" s="780"/>
      <c r="Z75" s="78"/>
      <c r="AA75" s="780"/>
    </row>
    <row r="76" spans="10:27" x14ac:dyDescent="0.25">
      <c r="J76" t="s">
        <v>591</v>
      </c>
      <c r="K76">
        <v>5</v>
      </c>
      <c r="L76" s="531"/>
      <c r="M76" s="532"/>
      <c r="N76" s="532"/>
      <c r="O76" s="127"/>
      <c r="X76" s="780"/>
      <c r="Z76" s="78"/>
      <c r="AA76" s="780"/>
    </row>
    <row r="77" spans="10:27" x14ac:dyDescent="0.25">
      <c r="L77" s="531" t="s">
        <v>592</v>
      </c>
      <c r="M77" s="532"/>
      <c r="N77" s="532"/>
      <c r="O77" s="127"/>
      <c r="X77" s="780"/>
      <c r="Z77" s="78"/>
      <c r="AA77" s="780"/>
    </row>
    <row r="78" spans="10:27" x14ac:dyDescent="0.25">
      <c r="J78" t="s">
        <v>593</v>
      </c>
      <c r="K78">
        <v>1</v>
      </c>
      <c r="L78" s="40">
        <v>0</v>
      </c>
      <c r="M78" s="40">
        <v>18500</v>
      </c>
      <c r="N78" s="38">
        <v>0</v>
      </c>
      <c r="O78" s="37">
        <v>0</v>
      </c>
      <c r="X78" s="780"/>
      <c r="Z78" s="78"/>
      <c r="AA78" s="780"/>
    </row>
    <row r="79" spans="10:27" x14ac:dyDescent="0.25">
      <c r="J79" t="s">
        <v>594</v>
      </c>
      <c r="K79">
        <v>2</v>
      </c>
      <c r="L79" s="40">
        <v>18501</v>
      </c>
      <c r="M79" s="40">
        <v>25500</v>
      </c>
      <c r="N79" s="38">
        <v>0.15</v>
      </c>
      <c r="O79" s="37">
        <v>2775</v>
      </c>
      <c r="X79" s="780"/>
      <c r="Z79" s="78"/>
      <c r="AA79" s="780"/>
    </row>
    <row r="80" spans="10:27" x14ac:dyDescent="0.25">
      <c r="J80" t="s">
        <v>595</v>
      </c>
      <c r="K80">
        <v>3</v>
      </c>
      <c r="L80" s="40">
        <v>25501</v>
      </c>
      <c r="M80" s="36">
        <v>60000</v>
      </c>
      <c r="N80" s="38">
        <v>0.25</v>
      </c>
      <c r="O80" s="37">
        <v>5325</v>
      </c>
      <c r="X80" s="780"/>
      <c r="Z80" s="78"/>
      <c r="AA80" s="780"/>
    </row>
    <row r="81" spans="10:15" x14ac:dyDescent="0.25">
      <c r="J81" t="s">
        <v>596</v>
      </c>
      <c r="K81">
        <v>4</v>
      </c>
      <c r="L81" s="531">
        <v>60001</v>
      </c>
      <c r="M81" s="532">
        <v>150000</v>
      </c>
      <c r="N81" s="532">
        <v>0.35</v>
      </c>
      <c r="O81" s="127">
        <v>11325</v>
      </c>
    </row>
    <row r="82" spans="10:15" x14ac:dyDescent="0.25">
      <c r="J82" t="s">
        <v>597</v>
      </c>
      <c r="K82">
        <v>5</v>
      </c>
      <c r="L82" s="36"/>
      <c r="M82" s="40"/>
      <c r="N82" s="38"/>
      <c r="O82" s="39"/>
    </row>
  </sheetData>
  <pageMargins left="0.7" right="0.7" top="0.75" bottom="0.75" header="0.3" footer="0.3"/>
  <pageSetup paperSize="9" orientation="portrait" r:id="rId1"/>
  <drawing r:id="rId2"/>
  <legacyDrawing r:id="rId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5">
    <tabColor theme="8" tint="0.39997558519241921"/>
  </sheetPr>
  <dimension ref="A1:AB26"/>
  <sheetViews>
    <sheetView workbookViewId="0"/>
  </sheetViews>
  <sheetFormatPr defaultRowHeight="15" x14ac:dyDescent="0.25"/>
  <cols>
    <col min="2" max="2" width="21.85546875" customWidth="1"/>
    <col min="3" max="3" width="10.7109375" style="670" bestFit="1" customWidth="1"/>
    <col min="8" max="9" width="10.7109375" bestFit="1" customWidth="1"/>
    <col min="10" max="11" width="12" bestFit="1" customWidth="1"/>
    <col min="12" max="12" width="9.28515625" bestFit="1" customWidth="1"/>
    <col min="13" max="13" width="11.85546875" customWidth="1"/>
    <col min="14" max="18" width="9.28515625" bestFit="1" customWidth="1"/>
    <col min="19" max="19" width="11" bestFit="1" customWidth="1"/>
    <col min="20" max="20" width="9.28515625" bestFit="1" customWidth="1"/>
    <col min="21" max="21" width="13.42578125" customWidth="1"/>
    <col min="22" max="23" width="9.28515625" bestFit="1" customWidth="1"/>
    <col min="25" max="25" width="11" bestFit="1" customWidth="1"/>
    <col min="26" max="26" width="9.28515625" bestFit="1" customWidth="1"/>
    <col min="27" max="27" width="9.5703125" bestFit="1" customWidth="1"/>
    <col min="28" max="28" width="10.7109375" bestFit="1" customWidth="1"/>
  </cols>
  <sheetData>
    <row r="1" spans="1:28" ht="51.75" customHeight="1" thickBot="1" x14ac:dyDescent="0.3">
      <c r="A1" t="s">
        <v>89</v>
      </c>
      <c r="B1" t="s">
        <v>598</v>
      </c>
      <c r="C1" s="680" t="s">
        <v>599</v>
      </c>
      <c r="D1" s="679" t="s">
        <v>135</v>
      </c>
      <c r="E1" s="678" t="s">
        <v>600</v>
      </c>
      <c r="F1" s="682" t="s">
        <v>601</v>
      </c>
      <c r="G1" s="679" t="s">
        <v>602</v>
      </c>
      <c r="H1" s="674" t="s">
        <v>603</v>
      </c>
      <c r="I1" s="674" t="s">
        <v>604</v>
      </c>
      <c r="J1" s="674" t="s">
        <v>605</v>
      </c>
      <c r="K1" s="674" t="s">
        <v>606</v>
      </c>
      <c r="L1" s="674" t="s">
        <v>154</v>
      </c>
      <c r="M1" s="674" t="s">
        <v>607</v>
      </c>
      <c r="N1" s="674" t="s">
        <v>608</v>
      </c>
      <c r="O1" s="674" t="s">
        <v>609</v>
      </c>
      <c r="P1" s="674" t="s">
        <v>610</v>
      </c>
      <c r="Q1" s="674" t="s">
        <v>611</v>
      </c>
      <c r="R1" s="674" t="s">
        <v>612</v>
      </c>
      <c r="S1" s="682" t="s">
        <v>613</v>
      </c>
      <c r="T1" s="682" t="s">
        <v>614</v>
      </c>
      <c r="U1" s="682" t="s">
        <v>615</v>
      </c>
      <c r="V1" s="682" t="s">
        <v>616</v>
      </c>
      <c r="W1" s="682" t="s">
        <v>617</v>
      </c>
      <c r="X1" s="682" t="s">
        <v>618</v>
      </c>
      <c r="Y1" s="682" t="s">
        <v>71</v>
      </c>
      <c r="Z1" s="682" t="s">
        <v>619</v>
      </c>
      <c r="AA1" s="674" t="s">
        <v>620</v>
      </c>
      <c r="AB1" s="674" t="s">
        <v>29</v>
      </c>
    </row>
    <row r="2" spans="1:28" ht="20.25" customHeight="1" thickTop="1" thickBot="1" x14ac:dyDescent="0.3">
      <c r="A2">
        <v>17</v>
      </c>
      <c r="B2" s="673" t="str">
        <f t="shared" ref="B2:B24" si="0">INDEX(sheetnames,A2)</f>
        <v>MAcero_Garzon</v>
      </c>
      <c r="C2" s="670">
        <f t="shared" ref="C2:C26" ca="1" si="1">INDIRECT("'"&amp;$B2&amp;"'!k3")</f>
        <v>0</v>
      </c>
      <c r="D2" s="670">
        <f t="shared" ref="D2:D24" ca="1" si="2">INDIRECT("'"&amp;$B2&amp;"'!c4")</f>
        <v>0</v>
      </c>
      <c r="E2" s="670">
        <f t="shared" ref="E2:E24" ca="1" si="3">INDIRECT("'"&amp;$B2&amp;"'!i5")</f>
        <v>0</v>
      </c>
      <c r="F2" s="670" t="str">
        <f t="shared" ref="F2:F24" ca="1" si="4">INDIRECT("'"&amp;$B2&amp;"'!i7")</f>
        <v>469971A</v>
      </c>
      <c r="G2" s="670">
        <f t="shared" ref="G2:G24" ca="1" si="5">INDIRECT("'"&amp;$B2&amp;"'!i9")</f>
        <v>0</v>
      </c>
      <c r="H2" s="338">
        <f t="shared" ref="H2:H24" ca="1" si="6">INDIRECT("'"&amp;$B2&amp;"'!f12")</f>
        <v>0</v>
      </c>
      <c r="I2" s="338">
        <f t="shared" ref="I2:I24" ca="1" si="7">INDIRECT("'"&amp;$B2&amp;"'!i12")</f>
        <v>0</v>
      </c>
      <c r="J2" s="77">
        <f t="shared" ref="J2:J24" ca="1" si="8">INDIRECT("'"&amp;$B2&amp;"'!h15")</f>
        <v>0</v>
      </c>
      <c r="K2" s="77" t="str">
        <f t="shared" ref="K2:K24" ca="1" si="9">INDIRECT("'"&amp;$B2&amp;"'!h16")</f>
        <v>€</v>
      </c>
      <c r="L2" s="77">
        <f t="shared" ref="L2:L24" ca="1" si="10">INDIRECT("'"&amp;$B2&amp;"'!h17")</f>
        <v>21314</v>
      </c>
      <c r="M2" s="77">
        <f t="shared" ref="M2:M24" ca="1" si="11">INDIRECT("'"&amp;$B2&amp;"'!h18")</f>
        <v>0</v>
      </c>
      <c r="N2" s="77">
        <f t="shared" ref="N2:N24" ca="1" si="12">INDIRECT("'"&amp;$B2&amp;"'!k18")</f>
        <v>0</v>
      </c>
      <c r="O2" s="77" t="str">
        <f t="shared" ref="O2:O24" ca="1" si="13">INDIRECT("'"&amp;$B2&amp;"'!k19")</f>
        <v>Breakdown of fringe Benefits</v>
      </c>
      <c r="P2" s="77">
        <f t="shared" ref="P2:P24" ca="1" si="14">INDIRECT("'"&amp;$B2&amp;"'!k20")</f>
        <v>0</v>
      </c>
      <c r="Q2" s="77">
        <f t="shared" ref="Q2:Q24" ca="1" si="15">INDIRECT("'"&amp;$B2&amp;"'!h20")</f>
        <v>0</v>
      </c>
      <c r="R2" s="77">
        <f t="shared" ref="R2:R24" ca="1" si="16">INDIRECT("'"&amp;$B2&amp;"'!k22")</f>
        <v>0</v>
      </c>
      <c r="S2" s="77">
        <f t="shared" ref="S2:S24" ca="1" si="17">INDIRECT("'"&amp;$B2&amp;"'!h25")</f>
        <v>0</v>
      </c>
      <c r="T2" s="77">
        <f t="shared" ref="T2:T24" ca="1" si="18">INDIRECT("'"&amp;$B2&amp;"'!h26")</f>
        <v>0</v>
      </c>
      <c r="U2" s="77">
        <f t="shared" ref="U2:U24" ca="1" si="19">INDIRECT("'"&amp;$B2&amp;"'!h27")</f>
        <v>1926</v>
      </c>
      <c r="V2" s="77">
        <f t="shared" ref="V2:V24" ca="1" si="20">INDIRECT("'"&amp;$B2&amp;"'!h28")</f>
        <v>0</v>
      </c>
      <c r="W2" s="77">
        <f t="shared" ref="W2:W24" ca="1" si="21">INDIRECT("'"&amp;$B2&amp;"'!l26")</f>
        <v>0</v>
      </c>
      <c r="X2" s="681">
        <f t="shared" ref="X2:X24" ca="1" si="22">INDIRECT("'"&amp;$B2&amp;"'!k16")</f>
        <v>0</v>
      </c>
      <c r="Y2" s="77">
        <f t="shared" ref="Y2:Y24" ca="1" si="23">INDIRECT("'"&amp;$B2&amp;"'!h39")</f>
        <v>0</v>
      </c>
      <c r="Z2" s="77">
        <f t="shared" ref="Z2:Z24" ca="1" si="24">INDIRECT("'"&amp;$B2&amp;"'!i39")</f>
        <v>0</v>
      </c>
      <c r="AA2" s="631">
        <f t="shared" ref="AA2:AA24" ca="1" si="25">INDIRECT("'"&amp;$B2&amp;"'!i44")</f>
        <v>0</v>
      </c>
      <c r="AB2" s="338">
        <f t="shared" ref="AB2:AB24" ca="1" si="26">INDIRECT("'"&amp;$B2&amp;"'!i49")</f>
        <v>0</v>
      </c>
    </row>
    <row r="3" spans="1:28" ht="19.5" customHeight="1" thickBot="1" x14ac:dyDescent="0.3">
      <c r="A3">
        <v>18</v>
      </c>
      <c r="B3" s="673" t="str">
        <f t="shared" si="0"/>
        <v>DIV5</v>
      </c>
      <c r="C3" s="670">
        <f t="shared" ca="1" si="1"/>
        <v>0</v>
      </c>
      <c r="D3" s="670">
        <f t="shared" ca="1" si="2"/>
        <v>0</v>
      </c>
      <c r="E3" s="670">
        <f t="shared" ca="1" si="3"/>
        <v>0</v>
      </c>
      <c r="F3" s="670">
        <f t="shared" ca="1" si="4"/>
        <v>0</v>
      </c>
      <c r="G3" s="670">
        <f t="shared" ca="1" si="5"/>
        <v>0</v>
      </c>
      <c r="H3" s="338">
        <f t="shared" ca="1" si="6"/>
        <v>0</v>
      </c>
      <c r="I3" s="338">
        <f t="shared" ca="1" si="7"/>
        <v>0</v>
      </c>
      <c r="J3" s="77">
        <f t="shared" ca="1" si="8"/>
        <v>0</v>
      </c>
      <c r="K3" s="77">
        <f t="shared" ca="1" si="9"/>
        <v>0</v>
      </c>
      <c r="L3" s="77">
        <f t="shared" ca="1" si="10"/>
        <v>0</v>
      </c>
      <c r="M3" s="77">
        <f t="shared" ca="1" si="11"/>
        <v>0</v>
      </c>
      <c r="N3" s="77">
        <f t="shared" ca="1" si="12"/>
        <v>0</v>
      </c>
      <c r="O3" s="77">
        <f t="shared" ca="1" si="13"/>
        <v>0</v>
      </c>
      <c r="P3" s="77">
        <f t="shared" ca="1" si="14"/>
        <v>0</v>
      </c>
      <c r="Q3" s="77">
        <f t="shared" ca="1" si="15"/>
        <v>0</v>
      </c>
      <c r="R3" s="77">
        <f t="shared" ca="1" si="16"/>
        <v>0</v>
      </c>
      <c r="S3" s="77">
        <f t="shared" ca="1" si="17"/>
        <v>0</v>
      </c>
      <c r="T3" s="77">
        <f t="shared" ca="1" si="18"/>
        <v>0</v>
      </c>
      <c r="U3" s="77">
        <f t="shared" ca="1" si="19"/>
        <v>0</v>
      </c>
      <c r="V3" s="77">
        <f t="shared" ca="1" si="20"/>
        <v>0</v>
      </c>
      <c r="W3" s="77">
        <f t="shared" ca="1" si="21"/>
        <v>0</v>
      </c>
      <c r="X3" s="681">
        <f t="shared" ca="1" si="22"/>
        <v>0</v>
      </c>
      <c r="Y3" s="77">
        <f t="shared" ca="1" si="23"/>
        <v>0</v>
      </c>
      <c r="Z3" s="77">
        <f t="shared" ca="1" si="24"/>
        <v>0</v>
      </c>
      <c r="AA3" s="631">
        <f t="shared" ca="1" si="25"/>
        <v>0</v>
      </c>
      <c r="AB3" s="338">
        <f t="shared" ca="1" si="26"/>
        <v>0</v>
      </c>
    </row>
    <row r="4" spans="1:28" ht="19.5" customHeight="1" thickBot="1" x14ac:dyDescent="0.3">
      <c r="A4">
        <v>19</v>
      </c>
      <c r="B4" s="673" t="str">
        <f t="shared" si="0"/>
        <v>RSreejith</v>
      </c>
      <c r="C4" s="670">
        <f t="shared" ca="1" si="1"/>
        <v>0</v>
      </c>
      <c r="D4" s="670">
        <f t="shared" ca="1" si="2"/>
        <v>0</v>
      </c>
      <c r="E4" s="670">
        <f t="shared" ca="1" si="3"/>
        <v>0</v>
      </c>
      <c r="F4" s="670" t="str">
        <f t="shared" ca="1" si="4"/>
        <v>335048A</v>
      </c>
      <c r="G4" s="670" t="str">
        <f t="shared" ca="1" si="5"/>
        <v>A72592177</v>
      </c>
      <c r="H4" s="338">
        <f t="shared" ca="1" si="6"/>
        <v>0</v>
      </c>
      <c r="I4" s="338">
        <f t="shared" ca="1" si="7"/>
        <v>0</v>
      </c>
      <c r="J4" s="77">
        <f t="shared" ca="1" si="8"/>
        <v>0</v>
      </c>
      <c r="K4" s="77" t="str">
        <f t="shared" ca="1" si="9"/>
        <v>€</v>
      </c>
      <c r="L4" s="77">
        <f t="shared" ca="1" si="10"/>
        <v>15615</v>
      </c>
      <c r="M4" s="77">
        <f t="shared" ca="1" si="11"/>
        <v>0</v>
      </c>
      <c r="N4" s="77">
        <f t="shared" ca="1" si="12"/>
        <v>0</v>
      </c>
      <c r="O4" s="77" t="str">
        <f t="shared" ca="1" si="13"/>
        <v>Breakdown of fringe Benefits</v>
      </c>
      <c r="P4" s="77">
        <f t="shared" ca="1" si="14"/>
        <v>0</v>
      </c>
      <c r="Q4" s="77">
        <f t="shared" ca="1" si="15"/>
        <v>0</v>
      </c>
      <c r="R4" s="77">
        <f t="shared" ca="1" si="16"/>
        <v>0</v>
      </c>
      <c r="S4" s="77">
        <f t="shared" ca="1" si="17"/>
        <v>0</v>
      </c>
      <c r="T4" s="77">
        <f t="shared" ca="1" si="18"/>
        <v>0</v>
      </c>
      <c r="U4" s="77">
        <f t="shared" ca="1" si="19"/>
        <v>0</v>
      </c>
      <c r="V4" s="77">
        <f t="shared" ca="1" si="20"/>
        <v>0</v>
      </c>
      <c r="W4" s="77">
        <f t="shared" ca="1" si="21"/>
        <v>0</v>
      </c>
      <c r="X4" s="681">
        <f t="shared" ca="1" si="22"/>
        <v>0</v>
      </c>
      <c r="Y4" s="77">
        <f t="shared" ca="1" si="23"/>
        <v>0</v>
      </c>
      <c r="Z4" s="77">
        <f t="shared" ca="1" si="24"/>
        <v>0</v>
      </c>
      <c r="AA4" s="631">
        <f t="shared" ca="1" si="25"/>
        <v>0</v>
      </c>
      <c r="AB4" s="338">
        <f t="shared" ca="1" si="26"/>
        <v>0</v>
      </c>
    </row>
    <row r="5" spans="1:28" ht="19.5" customHeight="1" thickBot="1" x14ac:dyDescent="0.3">
      <c r="A5">
        <v>20</v>
      </c>
      <c r="B5" s="673" t="str">
        <f t="shared" si="0"/>
        <v>AKunnamkudath</v>
      </c>
      <c r="C5" s="670">
        <f t="shared" ca="1" si="1"/>
        <v>0</v>
      </c>
      <c r="D5" s="670">
        <f t="shared" ca="1" si="2"/>
        <v>0</v>
      </c>
      <c r="E5" s="670">
        <f t="shared" ca="1" si="3"/>
        <v>0</v>
      </c>
      <c r="F5" s="670" t="str">
        <f t="shared" ca="1" si="4"/>
        <v>453147A</v>
      </c>
      <c r="G5" s="670">
        <f t="shared" ca="1" si="5"/>
        <v>0</v>
      </c>
      <c r="H5" s="338">
        <f t="shared" ca="1" si="6"/>
        <v>0</v>
      </c>
      <c r="I5" s="338">
        <f t="shared" ca="1" si="7"/>
        <v>0</v>
      </c>
      <c r="J5" s="77">
        <f t="shared" ca="1" si="8"/>
        <v>0</v>
      </c>
      <c r="K5" s="77" t="str">
        <f t="shared" ca="1" si="9"/>
        <v>€</v>
      </c>
      <c r="L5" s="77">
        <f t="shared" ca="1" si="10"/>
        <v>18651</v>
      </c>
      <c r="M5" s="77">
        <f t="shared" ca="1" si="11"/>
        <v>0</v>
      </c>
      <c r="N5" s="77">
        <f t="shared" ca="1" si="12"/>
        <v>0</v>
      </c>
      <c r="O5" s="77" t="str">
        <f t="shared" ca="1" si="13"/>
        <v>Breakdown of fringe Benefits</v>
      </c>
      <c r="P5" s="77">
        <f t="shared" ca="1" si="14"/>
        <v>0</v>
      </c>
      <c r="Q5" s="77">
        <f t="shared" ca="1" si="15"/>
        <v>0</v>
      </c>
      <c r="R5" s="77">
        <f t="shared" ca="1" si="16"/>
        <v>0</v>
      </c>
      <c r="S5" s="77">
        <f t="shared" ca="1" si="17"/>
        <v>0</v>
      </c>
      <c r="T5" s="77">
        <f t="shared" ca="1" si="18"/>
        <v>0</v>
      </c>
      <c r="U5" s="77">
        <f t="shared" ca="1" si="19"/>
        <v>1260</v>
      </c>
      <c r="V5" s="77">
        <f t="shared" ca="1" si="20"/>
        <v>0</v>
      </c>
      <c r="W5" s="77">
        <f t="shared" ca="1" si="21"/>
        <v>0</v>
      </c>
      <c r="X5" s="681">
        <f t="shared" ca="1" si="22"/>
        <v>0</v>
      </c>
      <c r="Y5" s="77">
        <f t="shared" ca="1" si="23"/>
        <v>0</v>
      </c>
      <c r="Z5" s="77">
        <f t="shared" ca="1" si="24"/>
        <v>0</v>
      </c>
      <c r="AA5" s="631">
        <f t="shared" ca="1" si="25"/>
        <v>0</v>
      </c>
      <c r="AB5" s="338">
        <f t="shared" ca="1" si="26"/>
        <v>0</v>
      </c>
    </row>
    <row r="6" spans="1:28" ht="19.5" customHeight="1" thickBot="1" x14ac:dyDescent="0.3">
      <c r="A6">
        <v>21</v>
      </c>
      <c r="B6" s="673" t="str">
        <f t="shared" si="0"/>
        <v>DIV6</v>
      </c>
      <c r="C6" s="670">
        <f t="shared" ca="1" si="1"/>
        <v>0</v>
      </c>
      <c r="D6" s="670">
        <f t="shared" ca="1" si="2"/>
        <v>0</v>
      </c>
      <c r="E6" s="670">
        <f t="shared" ca="1" si="3"/>
        <v>0</v>
      </c>
      <c r="F6" s="670">
        <f t="shared" ca="1" si="4"/>
        <v>0</v>
      </c>
      <c r="G6" s="670">
        <f t="shared" ca="1" si="5"/>
        <v>0</v>
      </c>
      <c r="H6" s="338">
        <f t="shared" ca="1" si="6"/>
        <v>0</v>
      </c>
      <c r="I6" s="338">
        <f t="shared" ca="1" si="7"/>
        <v>0</v>
      </c>
      <c r="J6" s="77">
        <f t="shared" ca="1" si="8"/>
        <v>0</v>
      </c>
      <c r="K6" s="77">
        <f t="shared" ca="1" si="9"/>
        <v>0</v>
      </c>
      <c r="L6" s="77">
        <f t="shared" ca="1" si="10"/>
        <v>0</v>
      </c>
      <c r="M6" s="77">
        <f t="shared" ca="1" si="11"/>
        <v>0</v>
      </c>
      <c r="N6" s="77">
        <f t="shared" ca="1" si="12"/>
        <v>0</v>
      </c>
      <c r="O6" s="77">
        <f t="shared" ca="1" si="13"/>
        <v>0</v>
      </c>
      <c r="P6" s="77">
        <f t="shared" ca="1" si="14"/>
        <v>0</v>
      </c>
      <c r="Q6" s="77">
        <f t="shared" ca="1" si="15"/>
        <v>0</v>
      </c>
      <c r="R6" s="77">
        <f t="shared" ca="1" si="16"/>
        <v>0</v>
      </c>
      <c r="S6" s="77">
        <f t="shared" ca="1" si="17"/>
        <v>0</v>
      </c>
      <c r="T6" s="77">
        <f t="shared" ca="1" si="18"/>
        <v>0</v>
      </c>
      <c r="U6" s="77">
        <f t="shared" ca="1" si="19"/>
        <v>0</v>
      </c>
      <c r="V6" s="77">
        <f t="shared" ca="1" si="20"/>
        <v>0</v>
      </c>
      <c r="W6" s="77">
        <f t="shared" ca="1" si="21"/>
        <v>0</v>
      </c>
      <c r="X6" s="681">
        <f t="shared" ca="1" si="22"/>
        <v>0</v>
      </c>
      <c r="Y6" s="77">
        <f t="shared" ca="1" si="23"/>
        <v>0</v>
      </c>
      <c r="Z6" s="77">
        <f t="shared" ca="1" si="24"/>
        <v>0</v>
      </c>
      <c r="AA6" s="631">
        <f t="shared" ca="1" si="25"/>
        <v>0</v>
      </c>
      <c r="AB6" s="338">
        <f t="shared" ca="1" si="26"/>
        <v>0</v>
      </c>
    </row>
    <row r="7" spans="1:28" ht="19.5" customHeight="1" thickBot="1" x14ac:dyDescent="0.3">
      <c r="A7">
        <v>22</v>
      </c>
      <c r="B7" s="673" t="str">
        <f t="shared" si="0"/>
        <v>RAttard</v>
      </c>
      <c r="C7" s="670">
        <f t="shared" ca="1" si="1"/>
        <v>0</v>
      </c>
      <c r="D7" s="670">
        <f t="shared" ca="1" si="2"/>
        <v>0</v>
      </c>
      <c r="E7" s="670">
        <f t="shared" ca="1" si="3"/>
        <v>0</v>
      </c>
      <c r="F7" s="670" t="str">
        <f t="shared" ca="1" si="4"/>
        <v>562091M</v>
      </c>
      <c r="G7" s="670" t="str">
        <f t="shared" ca="1" si="5"/>
        <v>B43779068</v>
      </c>
      <c r="H7" s="338">
        <f t="shared" ca="1" si="6"/>
        <v>0</v>
      </c>
      <c r="I7" s="338">
        <f t="shared" ca="1" si="7"/>
        <v>0</v>
      </c>
      <c r="J7" s="77">
        <f t="shared" ca="1" si="8"/>
        <v>0</v>
      </c>
      <c r="K7" s="77" t="str">
        <f t="shared" ca="1" si="9"/>
        <v>€</v>
      </c>
      <c r="L7" s="77">
        <f t="shared" ca="1" si="10"/>
        <v>18673</v>
      </c>
      <c r="M7" s="77">
        <f t="shared" ca="1" si="11"/>
        <v>0</v>
      </c>
      <c r="N7" s="77">
        <f t="shared" ca="1" si="12"/>
        <v>0</v>
      </c>
      <c r="O7" s="77" t="str">
        <f t="shared" ca="1" si="13"/>
        <v>Breakdown of fringe Benefits</v>
      </c>
      <c r="P7" s="77">
        <f t="shared" ca="1" si="14"/>
        <v>0</v>
      </c>
      <c r="Q7" s="77">
        <f t="shared" ca="1" si="15"/>
        <v>0</v>
      </c>
      <c r="R7" s="77">
        <f t="shared" ca="1" si="16"/>
        <v>0</v>
      </c>
      <c r="S7" s="77">
        <f t="shared" ca="1" si="17"/>
        <v>0</v>
      </c>
      <c r="T7" s="77">
        <f t="shared" ca="1" si="18"/>
        <v>0</v>
      </c>
      <c r="U7" s="77">
        <f t="shared" ca="1" si="19"/>
        <v>58</v>
      </c>
      <c r="V7" s="77">
        <f t="shared" ca="1" si="20"/>
        <v>0</v>
      </c>
      <c r="W7" s="77">
        <f t="shared" ca="1" si="21"/>
        <v>0</v>
      </c>
      <c r="X7" s="681">
        <f t="shared" ca="1" si="22"/>
        <v>0</v>
      </c>
      <c r="Y7" s="77">
        <f t="shared" ca="1" si="23"/>
        <v>0</v>
      </c>
      <c r="Z7" s="77">
        <f t="shared" ca="1" si="24"/>
        <v>0</v>
      </c>
      <c r="AA7" s="631">
        <f t="shared" ca="1" si="25"/>
        <v>0</v>
      </c>
      <c r="AB7" s="338">
        <f t="shared" ca="1" si="26"/>
        <v>0</v>
      </c>
    </row>
    <row r="8" spans="1:28" ht="19.5" customHeight="1" thickBot="1" x14ac:dyDescent="0.3">
      <c r="A8">
        <v>23</v>
      </c>
      <c r="B8" s="673" t="str">
        <f t="shared" si="0"/>
        <v>SPare (2)</v>
      </c>
      <c r="C8" s="670" t="e">
        <f t="shared" ca="1" si="1"/>
        <v>#REF!</v>
      </c>
      <c r="D8" s="670" t="e">
        <f t="shared" ca="1" si="2"/>
        <v>#REF!</v>
      </c>
      <c r="E8" s="670" t="e">
        <f t="shared" ca="1" si="3"/>
        <v>#REF!</v>
      </c>
      <c r="F8" s="670" t="e">
        <f t="shared" ca="1" si="4"/>
        <v>#REF!</v>
      </c>
      <c r="G8" s="670" t="e">
        <f t="shared" ca="1" si="5"/>
        <v>#REF!</v>
      </c>
      <c r="H8" s="338" t="e">
        <f t="shared" ca="1" si="6"/>
        <v>#REF!</v>
      </c>
      <c r="I8" s="338" t="e">
        <f t="shared" ca="1" si="7"/>
        <v>#REF!</v>
      </c>
      <c r="J8" s="77" t="e">
        <f t="shared" ca="1" si="8"/>
        <v>#REF!</v>
      </c>
      <c r="K8" s="77" t="e">
        <f t="shared" ca="1" si="9"/>
        <v>#REF!</v>
      </c>
      <c r="L8" s="77" t="e">
        <f t="shared" ca="1" si="10"/>
        <v>#REF!</v>
      </c>
      <c r="M8" s="77" t="e">
        <f t="shared" ca="1" si="11"/>
        <v>#REF!</v>
      </c>
      <c r="N8" s="77" t="e">
        <f t="shared" ca="1" si="12"/>
        <v>#REF!</v>
      </c>
      <c r="O8" s="77" t="e">
        <f t="shared" ca="1" si="13"/>
        <v>#REF!</v>
      </c>
      <c r="P8" s="77" t="e">
        <f t="shared" ca="1" si="14"/>
        <v>#REF!</v>
      </c>
      <c r="Q8" s="77" t="e">
        <f t="shared" ca="1" si="15"/>
        <v>#REF!</v>
      </c>
      <c r="R8" s="77" t="e">
        <f t="shared" ca="1" si="16"/>
        <v>#REF!</v>
      </c>
      <c r="S8" s="77" t="e">
        <f t="shared" ca="1" si="17"/>
        <v>#REF!</v>
      </c>
      <c r="T8" s="77" t="e">
        <f t="shared" ca="1" si="18"/>
        <v>#REF!</v>
      </c>
      <c r="U8" s="77" t="e">
        <f t="shared" ca="1" si="19"/>
        <v>#REF!</v>
      </c>
      <c r="V8" s="77" t="e">
        <f t="shared" ca="1" si="20"/>
        <v>#REF!</v>
      </c>
      <c r="W8" s="77" t="e">
        <f t="shared" ca="1" si="21"/>
        <v>#REF!</v>
      </c>
      <c r="X8" s="681" t="e">
        <f t="shared" ca="1" si="22"/>
        <v>#REF!</v>
      </c>
      <c r="Y8" s="77" t="e">
        <f t="shared" ca="1" si="23"/>
        <v>#REF!</v>
      </c>
      <c r="Z8" s="77" t="e">
        <f t="shared" ca="1" si="24"/>
        <v>#REF!</v>
      </c>
      <c r="AA8" s="631" t="e">
        <f t="shared" ca="1" si="25"/>
        <v>#REF!</v>
      </c>
      <c r="AB8" s="338" t="e">
        <f t="shared" ca="1" si="26"/>
        <v>#REF!</v>
      </c>
    </row>
    <row r="9" spans="1:28" ht="19.5" customHeight="1" thickBot="1" x14ac:dyDescent="0.3">
      <c r="A9">
        <v>24</v>
      </c>
      <c r="B9" s="673" t="str">
        <f t="shared" si="0"/>
        <v>DIV7</v>
      </c>
      <c r="C9" s="670">
        <f t="shared" ca="1" si="1"/>
        <v>0</v>
      </c>
      <c r="D9" s="670">
        <f t="shared" ca="1" si="2"/>
        <v>0</v>
      </c>
      <c r="E9" s="670">
        <f t="shared" ca="1" si="3"/>
        <v>0</v>
      </c>
      <c r="F9" s="670">
        <f t="shared" ca="1" si="4"/>
        <v>0</v>
      </c>
      <c r="G9" s="670">
        <f t="shared" ca="1" si="5"/>
        <v>0</v>
      </c>
      <c r="H9" s="338">
        <f t="shared" ca="1" si="6"/>
        <v>0</v>
      </c>
      <c r="I9" s="338">
        <f t="shared" ca="1" si="7"/>
        <v>0</v>
      </c>
      <c r="J9" s="77">
        <f t="shared" ca="1" si="8"/>
        <v>0</v>
      </c>
      <c r="K9" s="77">
        <f t="shared" ca="1" si="9"/>
        <v>0</v>
      </c>
      <c r="L9" s="77">
        <f t="shared" ca="1" si="10"/>
        <v>0</v>
      </c>
      <c r="M9" s="77">
        <f t="shared" ca="1" si="11"/>
        <v>0</v>
      </c>
      <c r="N9" s="77">
        <f t="shared" ca="1" si="12"/>
        <v>0</v>
      </c>
      <c r="O9" s="77">
        <f t="shared" ca="1" si="13"/>
        <v>0</v>
      </c>
      <c r="P9" s="77">
        <f t="shared" ca="1" si="14"/>
        <v>0</v>
      </c>
      <c r="Q9" s="77">
        <f t="shared" ca="1" si="15"/>
        <v>0</v>
      </c>
      <c r="R9" s="77">
        <f t="shared" ca="1" si="16"/>
        <v>0</v>
      </c>
      <c r="S9" s="77">
        <f t="shared" ca="1" si="17"/>
        <v>0</v>
      </c>
      <c r="T9" s="77">
        <f t="shared" ca="1" si="18"/>
        <v>0</v>
      </c>
      <c r="U9" s="77">
        <f t="shared" ca="1" si="19"/>
        <v>0</v>
      </c>
      <c r="V9" s="77">
        <f t="shared" ca="1" si="20"/>
        <v>0</v>
      </c>
      <c r="W9" s="77">
        <f t="shared" ca="1" si="21"/>
        <v>0</v>
      </c>
      <c r="X9" s="681">
        <f t="shared" ca="1" si="22"/>
        <v>0</v>
      </c>
      <c r="Y9" s="77">
        <f t="shared" ca="1" si="23"/>
        <v>0</v>
      </c>
      <c r="Z9" s="77">
        <f t="shared" ca="1" si="24"/>
        <v>0</v>
      </c>
      <c r="AA9" s="631">
        <f t="shared" ca="1" si="25"/>
        <v>0</v>
      </c>
      <c r="AB9" s="338">
        <f t="shared" ca="1" si="26"/>
        <v>0</v>
      </c>
    </row>
    <row r="10" spans="1:28" ht="19.5" customHeight="1" thickBot="1" x14ac:dyDescent="0.3">
      <c r="A10">
        <v>25</v>
      </c>
      <c r="B10" s="673" t="str">
        <f t="shared" si="0"/>
        <v>RAcharya</v>
      </c>
      <c r="C10" s="670">
        <f t="shared" ca="1" si="1"/>
        <v>0</v>
      </c>
      <c r="D10" s="670">
        <f t="shared" ca="1" si="2"/>
        <v>0</v>
      </c>
      <c r="E10" s="670">
        <f t="shared" ca="1" si="3"/>
        <v>0</v>
      </c>
      <c r="F10" s="670" t="str">
        <f t="shared" ca="1" si="4"/>
        <v>302663A</v>
      </c>
      <c r="G10" s="670">
        <f t="shared" ca="1" si="5"/>
        <v>0</v>
      </c>
      <c r="H10" s="338">
        <f t="shared" ca="1" si="6"/>
        <v>0</v>
      </c>
      <c r="I10" s="338">
        <f t="shared" ca="1" si="7"/>
        <v>0</v>
      </c>
      <c r="J10" s="77">
        <f t="shared" ca="1" si="8"/>
        <v>0</v>
      </c>
      <c r="K10" s="77" t="str">
        <f t="shared" ca="1" si="9"/>
        <v>€</v>
      </c>
      <c r="L10" s="77">
        <f t="shared" ca="1" si="10"/>
        <v>17425</v>
      </c>
      <c r="M10" s="77">
        <f t="shared" ca="1" si="11"/>
        <v>0</v>
      </c>
      <c r="N10" s="77">
        <f t="shared" ca="1" si="12"/>
        <v>0</v>
      </c>
      <c r="O10" s="77" t="str">
        <f t="shared" ca="1" si="13"/>
        <v>Breakdown of fringe Benefits</v>
      </c>
      <c r="P10" s="77">
        <f t="shared" ca="1" si="14"/>
        <v>0</v>
      </c>
      <c r="Q10" s="77">
        <f t="shared" ca="1" si="15"/>
        <v>0</v>
      </c>
      <c r="R10" s="77">
        <f t="shared" ca="1" si="16"/>
        <v>0</v>
      </c>
      <c r="S10" s="77">
        <f t="shared" ca="1" si="17"/>
        <v>0</v>
      </c>
      <c r="T10" s="77">
        <f t="shared" ca="1" si="18"/>
        <v>0</v>
      </c>
      <c r="U10" s="77">
        <f t="shared" ca="1" si="19"/>
        <v>954</v>
      </c>
      <c r="V10" s="77">
        <f t="shared" ca="1" si="20"/>
        <v>0</v>
      </c>
      <c r="W10" s="77">
        <f t="shared" ca="1" si="21"/>
        <v>0</v>
      </c>
      <c r="X10" s="681">
        <f t="shared" ca="1" si="22"/>
        <v>0</v>
      </c>
      <c r="Y10" s="77">
        <f t="shared" ca="1" si="23"/>
        <v>0</v>
      </c>
      <c r="Z10" s="77">
        <f t="shared" ca="1" si="24"/>
        <v>0</v>
      </c>
      <c r="AA10" s="631">
        <f t="shared" ca="1" si="25"/>
        <v>0</v>
      </c>
      <c r="AB10" s="338">
        <f t="shared" ca="1" si="26"/>
        <v>0</v>
      </c>
    </row>
    <row r="11" spans="1:28" ht="19.5" customHeight="1" thickBot="1" x14ac:dyDescent="0.3">
      <c r="A11">
        <v>26</v>
      </c>
      <c r="B11" s="673" t="str">
        <f t="shared" si="0"/>
        <v>DIV8</v>
      </c>
      <c r="C11" s="670">
        <f t="shared" ca="1" si="1"/>
        <v>0</v>
      </c>
      <c r="D11" s="670">
        <f t="shared" ca="1" si="2"/>
        <v>0</v>
      </c>
      <c r="E11" s="670">
        <f t="shared" ca="1" si="3"/>
        <v>0</v>
      </c>
      <c r="F11" s="670">
        <f t="shared" ca="1" si="4"/>
        <v>0</v>
      </c>
      <c r="G11" s="670">
        <f t="shared" ca="1" si="5"/>
        <v>0</v>
      </c>
      <c r="H11" s="338">
        <f t="shared" ca="1" si="6"/>
        <v>0</v>
      </c>
      <c r="I11" s="338">
        <f t="shared" ca="1" si="7"/>
        <v>0</v>
      </c>
      <c r="J11" s="77">
        <f t="shared" ca="1" si="8"/>
        <v>0</v>
      </c>
      <c r="K11" s="77">
        <f t="shared" ca="1" si="9"/>
        <v>0</v>
      </c>
      <c r="L11" s="77">
        <f t="shared" ca="1" si="10"/>
        <v>0</v>
      </c>
      <c r="M11" s="77">
        <f t="shared" ca="1" si="11"/>
        <v>0</v>
      </c>
      <c r="N11" s="77">
        <f t="shared" ca="1" si="12"/>
        <v>0</v>
      </c>
      <c r="O11" s="77">
        <f t="shared" ca="1" si="13"/>
        <v>0</v>
      </c>
      <c r="P11" s="77">
        <f t="shared" ca="1" si="14"/>
        <v>0</v>
      </c>
      <c r="Q11" s="77">
        <f t="shared" ca="1" si="15"/>
        <v>0</v>
      </c>
      <c r="R11" s="77">
        <f t="shared" ca="1" si="16"/>
        <v>0</v>
      </c>
      <c r="S11" s="77">
        <f t="shared" ca="1" si="17"/>
        <v>0</v>
      </c>
      <c r="T11" s="77">
        <f t="shared" ca="1" si="18"/>
        <v>0</v>
      </c>
      <c r="U11" s="77">
        <f t="shared" ca="1" si="19"/>
        <v>0</v>
      </c>
      <c r="V11" s="77">
        <f t="shared" ca="1" si="20"/>
        <v>0</v>
      </c>
      <c r="W11" s="77">
        <f t="shared" ca="1" si="21"/>
        <v>0</v>
      </c>
      <c r="X11" s="681">
        <f t="shared" ca="1" si="22"/>
        <v>0</v>
      </c>
      <c r="Y11" s="77">
        <f t="shared" ca="1" si="23"/>
        <v>0</v>
      </c>
      <c r="Z11" s="77">
        <f t="shared" ca="1" si="24"/>
        <v>0</v>
      </c>
      <c r="AA11" s="631">
        <f t="shared" ca="1" si="25"/>
        <v>0</v>
      </c>
      <c r="AB11" s="338">
        <f t="shared" ca="1" si="26"/>
        <v>0</v>
      </c>
    </row>
    <row r="12" spans="1:28" ht="19.5" customHeight="1" thickBot="1" x14ac:dyDescent="0.3">
      <c r="A12">
        <v>27</v>
      </c>
      <c r="B12" s="673" t="str">
        <f t="shared" si="0"/>
        <v>FTBLANKE</v>
      </c>
      <c r="C12" s="670">
        <f t="shared" ca="1" si="1"/>
        <v>0</v>
      </c>
      <c r="D12" s="670">
        <f t="shared" ca="1" si="2"/>
        <v>0</v>
      </c>
      <c r="E12" s="670">
        <f t="shared" ca="1" si="3"/>
        <v>0</v>
      </c>
      <c r="F12" s="670">
        <f t="shared" ca="1" si="4"/>
        <v>0</v>
      </c>
      <c r="G12" s="670">
        <f t="shared" ca="1" si="5"/>
        <v>0</v>
      </c>
      <c r="H12" s="338">
        <f t="shared" ca="1" si="6"/>
        <v>0</v>
      </c>
      <c r="I12" s="338">
        <f t="shared" ca="1" si="7"/>
        <v>0</v>
      </c>
      <c r="J12" s="77">
        <f t="shared" ca="1" si="8"/>
        <v>0</v>
      </c>
      <c r="K12" s="77">
        <f t="shared" ca="1" si="9"/>
        <v>0</v>
      </c>
      <c r="L12" s="77">
        <f t="shared" ca="1" si="10"/>
        <v>0</v>
      </c>
      <c r="M12" s="77">
        <f t="shared" ca="1" si="11"/>
        <v>0</v>
      </c>
      <c r="N12" s="77">
        <f t="shared" ca="1" si="12"/>
        <v>0</v>
      </c>
      <c r="O12" s="77">
        <f t="shared" ca="1" si="13"/>
        <v>0</v>
      </c>
      <c r="P12" s="77">
        <f t="shared" ca="1" si="14"/>
        <v>0</v>
      </c>
      <c r="Q12" s="77">
        <f t="shared" ca="1" si="15"/>
        <v>0</v>
      </c>
      <c r="R12" s="77">
        <f t="shared" ca="1" si="16"/>
        <v>0</v>
      </c>
      <c r="S12" s="77">
        <f t="shared" ca="1" si="17"/>
        <v>0</v>
      </c>
      <c r="T12" s="77">
        <f t="shared" ca="1" si="18"/>
        <v>0</v>
      </c>
      <c r="U12" s="77">
        <f t="shared" ca="1" si="19"/>
        <v>0</v>
      </c>
      <c r="V12" s="77">
        <f t="shared" ca="1" si="20"/>
        <v>0</v>
      </c>
      <c r="W12" s="77">
        <f t="shared" ca="1" si="21"/>
        <v>0</v>
      </c>
      <c r="X12" s="681">
        <f t="shared" ca="1" si="22"/>
        <v>0</v>
      </c>
      <c r="Y12" s="77">
        <f t="shared" ca="1" si="23"/>
        <v>0</v>
      </c>
      <c r="Z12" s="77">
        <f t="shared" ca="1" si="24"/>
        <v>0</v>
      </c>
      <c r="AA12" s="631">
        <f t="shared" ca="1" si="25"/>
        <v>0</v>
      </c>
      <c r="AB12" s="338">
        <f t="shared" ca="1" si="26"/>
        <v>0</v>
      </c>
    </row>
    <row r="13" spans="1:28" ht="19.5" customHeight="1" thickBot="1" x14ac:dyDescent="0.3">
      <c r="A13">
        <v>28</v>
      </c>
      <c r="B13" s="673" t="str">
        <f t="shared" si="0"/>
        <v>PTBLANK</v>
      </c>
      <c r="C13" s="670">
        <f t="shared" ca="1" si="1"/>
        <v>0</v>
      </c>
      <c r="D13" s="670">
        <f t="shared" ca="1" si="2"/>
        <v>0</v>
      </c>
      <c r="E13" s="670">
        <f t="shared" ca="1" si="3"/>
        <v>0</v>
      </c>
      <c r="F13" s="670">
        <f t="shared" ca="1" si="4"/>
        <v>0</v>
      </c>
      <c r="G13" s="670">
        <f t="shared" ca="1" si="5"/>
        <v>0</v>
      </c>
      <c r="H13" s="338">
        <f t="shared" ca="1" si="6"/>
        <v>0</v>
      </c>
      <c r="I13" s="338">
        <f t="shared" ca="1" si="7"/>
        <v>0</v>
      </c>
      <c r="J13" s="77">
        <f t="shared" ca="1" si="8"/>
        <v>0</v>
      </c>
      <c r="K13" s="77">
        <f t="shared" ca="1" si="9"/>
        <v>0</v>
      </c>
      <c r="L13" s="77">
        <f t="shared" ca="1" si="10"/>
        <v>0</v>
      </c>
      <c r="M13" s="77">
        <f t="shared" ca="1" si="11"/>
        <v>0</v>
      </c>
      <c r="N13" s="77">
        <f t="shared" ca="1" si="12"/>
        <v>0</v>
      </c>
      <c r="O13" s="77">
        <f t="shared" ca="1" si="13"/>
        <v>0</v>
      </c>
      <c r="P13" s="77">
        <f t="shared" ca="1" si="14"/>
        <v>0</v>
      </c>
      <c r="Q13" s="77">
        <f t="shared" ca="1" si="15"/>
        <v>0</v>
      </c>
      <c r="R13" s="77">
        <f t="shared" ca="1" si="16"/>
        <v>0</v>
      </c>
      <c r="S13" s="77">
        <f t="shared" ca="1" si="17"/>
        <v>0</v>
      </c>
      <c r="T13" s="77">
        <f t="shared" ca="1" si="18"/>
        <v>0</v>
      </c>
      <c r="U13" s="77">
        <f t="shared" ca="1" si="19"/>
        <v>0</v>
      </c>
      <c r="V13" s="77">
        <f t="shared" ca="1" si="20"/>
        <v>0</v>
      </c>
      <c r="W13" s="77">
        <f t="shared" ca="1" si="21"/>
        <v>0</v>
      </c>
      <c r="X13" s="681">
        <f t="shared" ca="1" si="22"/>
        <v>0</v>
      </c>
      <c r="Y13" s="77">
        <f t="shared" ca="1" si="23"/>
        <v>0</v>
      </c>
      <c r="Z13" s="77">
        <f t="shared" ca="1" si="24"/>
        <v>0</v>
      </c>
      <c r="AA13" s="631">
        <f t="shared" ca="1" si="25"/>
        <v>0</v>
      </c>
      <c r="AB13" s="338">
        <f t="shared" ca="1" si="26"/>
        <v>0</v>
      </c>
    </row>
    <row r="14" spans="1:28" ht="19.5" customHeight="1" thickBot="1" x14ac:dyDescent="0.3">
      <c r="A14">
        <v>29</v>
      </c>
      <c r="B14" s="673" t="str">
        <f t="shared" si="0"/>
        <v>DIVP1</v>
      </c>
      <c r="C14" s="670">
        <f t="shared" ca="1" si="1"/>
        <v>0</v>
      </c>
      <c r="D14" s="670">
        <f t="shared" ca="1" si="2"/>
        <v>0</v>
      </c>
      <c r="E14" s="670">
        <f t="shared" ca="1" si="3"/>
        <v>0</v>
      </c>
      <c r="F14" s="670">
        <f t="shared" ca="1" si="4"/>
        <v>0</v>
      </c>
      <c r="G14" s="670">
        <f t="shared" ca="1" si="5"/>
        <v>0</v>
      </c>
      <c r="H14" s="338">
        <f t="shared" ca="1" si="6"/>
        <v>0</v>
      </c>
      <c r="I14" s="338">
        <f t="shared" ca="1" si="7"/>
        <v>0</v>
      </c>
      <c r="J14" s="77">
        <f t="shared" ca="1" si="8"/>
        <v>0</v>
      </c>
      <c r="K14" s="77">
        <f t="shared" ca="1" si="9"/>
        <v>0</v>
      </c>
      <c r="L14" s="77">
        <f t="shared" ca="1" si="10"/>
        <v>0</v>
      </c>
      <c r="M14" s="77">
        <f t="shared" ca="1" si="11"/>
        <v>0</v>
      </c>
      <c r="N14" s="77">
        <f t="shared" ca="1" si="12"/>
        <v>0</v>
      </c>
      <c r="O14" s="77">
        <f t="shared" ca="1" si="13"/>
        <v>0</v>
      </c>
      <c r="P14" s="77">
        <f t="shared" ca="1" si="14"/>
        <v>0</v>
      </c>
      <c r="Q14" s="77">
        <f t="shared" ca="1" si="15"/>
        <v>0</v>
      </c>
      <c r="R14" s="77">
        <f t="shared" ca="1" si="16"/>
        <v>0</v>
      </c>
      <c r="S14" s="77">
        <f t="shared" ca="1" si="17"/>
        <v>0</v>
      </c>
      <c r="T14" s="77">
        <f t="shared" ca="1" si="18"/>
        <v>0</v>
      </c>
      <c r="U14" s="77">
        <f t="shared" ca="1" si="19"/>
        <v>0</v>
      </c>
      <c r="V14" s="77">
        <f t="shared" ca="1" si="20"/>
        <v>0</v>
      </c>
      <c r="W14" s="77">
        <f t="shared" ca="1" si="21"/>
        <v>0</v>
      </c>
      <c r="X14" s="681">
        <f t="shared" ca="1" si="22"/>
        <v>0</v>
      </c>
      <c r="Y14" s="77">
        <f t="shared" ca="1" si="23"/>
        <v>0</v>
      </c>
      <c r="Z14" s="77">
        <f t="shared" ca="1" si="24"/>
        <v>0</v>
      </c>
      <c r="AA14" s="631">
        <f t="shared" ca="1" si="25"/>
        <v>0</v>
      </c>
      <c r="AB14" s="338">
        <f t="shared" ca="1" si="26"/>
        <v>0</v>
      </c>
    </row>
    <row r="15" spans="1:28" ht="19.5" customHeight="1" thickBot="1" x14ac:dyDescent="0.3">
      <c r="A15">
        <v>30</v>
      </c>
      <c r="B15" s="673" t="str">
        <f t="shared" si="0"/>
        <v>DIVP2</v>
      </c>
      <c r="C15" s="670">
        <f t="shared" ca="1" si="1"/>
        <v>0</v>
      </c>
      <c r="D15" s="670">
        <f t="shared" ca="1" si="2"/>
        <v>0</v>
      </c>
      <c r="E15" s="670">
        <f t="shared" ca="1" si="3"/>
        <v>0</v>
      </c>
      <c r="F15" s="670">
        <f t="shared" ca="1" si="4"/>
        <v>0</v>
      </c>
      <c r="G15" s="670">
        <f t="shared" ca="1" si="5"/>
        <v>0</v>
      </c>
      <c r="H15" s="338">
        <f t="shared" ca="1" si="6"/>
        <v>0</v>
      </c>
      <c r="I15" s="338">
        <f t="shared" ca="1" si="7"/>
        <v>0</v>
      </c>
      <c r="J15" s="77">
        <f t="shared" ca="1" si="8"/>
        <v>0</v>
      </c>
      <c r="K15" s="77">
        <f t="shared" ca="1" si="9"/>
        <v>0</v>
      </c>
      <c r="L15" s="77">
        <f t="shared" ca="1" si="10"/>
        <v>0</v>
      </c>
      <c r="M15" s="77">
        <f t="shared" ca="1" si="11"/>
        <v>0</v>
      </c>
      <c r="N15" s="77">
        <f t="shared" ca="1" si="12"/>
        <v>0</v>
      </c>
      <c r="O15" s="77">
        <f t="shared" ca="1" si="13"/>
        <v>0</v>
      </c>
      <c r="P15" s="77">
        <f t="shared" ca="1" si="14"/>
        <v>0</v>
      </c>
      <c r="Q15" s="77">
        <f t="shared" ca="1" si="15"/>
        <v>0</v>
      </c>
      <c r="R15" s="77">
        <f t="shared" ca="1" si="16"/>
        <v>0</v>
      </c>
      <c r="S15" s="77">
        <f t="shared" ca="1" si="17"/>
        <v>0</v>
      </c>
      <c r="T15" s="77">
        <f t="shared" ca="1" si="18"/>
        <v>0</v>
      </c>
      <c r="U15" s="77">
        <f t="shared" ca="1" si="19"/>
        <v>0</v>
      </c>
      <c r="V15" s="77">
        <f t="shared" ca="1" si="20"/>
        <v>0</v>
      </c>
      <c r="W15" s="77">
        <f t="shared" ca="1" si="21"/>
        <v>0</v>
      </c>
      <c r="X15" s="681">
        <f t="shared" ca="1" si="22"/>
        <v>0</v>
      </c>
      <c r="Y15" s="77">
        <f t="shared" ca="1" si="23"/>
        <v>0</v>
      </c>
      <c r="Z15" s="77">
        <f t="shared" ca="1" si="24"/>
        <v>0</v>
      </c>
      <c r="AA15" s="631">
        <f t="shared" ca="1" si="25"/>
        <v>0</v>
      </c>
      <c r="AB15" s="338">
        <f t="shared" ca="1" si="26"/>
        <v>0</v>
      </c>
    </row>
    <row r="16" spans="1:28" ht="19.5" customHeight="1" thickBot="1" x14ac:dyDescent="0.3">
      <c r="A16">
        <v>31</v>
      </c>
      <c r="B16" s="673" t="str">
        <f t="shared" si="0"/>
        <v>DIVP3</v>
      </c>
      <c r="C16" s="670">
        <f t="shared" ca="1" si="1"/>
        <v>0</v>
      </c>
      <c r="D16" s="670">
        <f t="shared" ca="1" si="2"/>
        <v>0</v>
      </c>
      <c r="E16" s="670">
        <f t="shared" ca="1" si="3"/>
        <v>0</v>
      </c>
      <c r="F16" s="670">
        <f t="shared" ca="1" si="4"/>
        <v>0</v>
      </c>
      <c r="G16" s="670">
        <f t="shared" ca="1" si="5"/>
        <v>0</v>
      </c>
      <c r="H16" s="338">
        <f t="shared" ca="1" si="6"/>
        <v>0</v>
      </c>
      <c r="I16" s="338">
        <f t="shared" ca="1" si="7"/>
        <v>0</v>
      </c>
      <c r="J16" s="77">
        <f t="shared" ca="1" si="8"/>
        <v>0</v>
      </c>
      <c r="K16" s="77">
        <f t="shared" ca="1" si="9"/>
        <v>0</v>
      </c>
      <c r="L16" s="77">
        <f t="shared" ca="1" si="10"/>
        <v>0</v>
      </c>
      <c r="M16" s="77">
        <f t="shared" ca="1" si="11"/>
        <v>0</v>
      </c>
      <c r="N16" s="77">
        <f t="shared" ca="1" si="12"/>
        <v>0</v>
      </c>
      <c r="O16" s="77">
        <f t="shared" ca="1" si="13"/>
        <v>0</v>
      </c>
      <c r="P16" s="77">
        <f t="shared" ca="1" si="14"/>
        <v>0</v>
      </c>
      <c r="Q16" s="77">
        <f t="shared" ca="1" si="15"/>
        <v>0</v>
      </c>
      <c r="R16" s="77">
        <f t="shared" ca="1" si="16"/>
        <v>0</v>
      </c>
      <c r="S16" s="77">
        <f t="shared" ca="1" si="17"/>
        <v>0</v>
      </c>
      <c r="T16" s="77">
        <f t="shared" ca="1" si="18"/>
        <v>0</v>
      </c>
      <c r="U16" s="77">
        <f t="shared" ca="1" si="19"/>
        <v>0</v>
      </c>
      <c r="V16" s="77">
        <f t="shared" ca="1" si="20"/>
        <v>0</v>
      </c>
      <c r="W16" s="77">
        <f t="shared" ca="1" si="21"/>
        <v>0</v>
      </c>
      <c r="X16" s="681">
        <f t="shared" ca="1" si="22"/>
        <v>0</v>
      </c>
      <c r="Y16" s="77">
        <f t="shared" ca="1" si="23"/>
        <v>0</v>
      </c>
      <c r="Z16" s="77">
        <f t="shared" ca="1" si="24"/>
        <v>0</v>
      </c>
      <c r="AA16" s="631">
        <f t="shared" ca="1" si="25"/>
        <v>0</v>
      </c>
      <c r="AB16" s="338">
        <f t="shared" ca="1" si="26"/>
        <v>0</v>
      </c>
    </row>
    <row r="17" spans="1:28" ht="19.5" customHeight="1" thickBot="1" x14ac:dyDescent="0.3">
      <c r="A17">
        <v>32</v>
      </c>
      <c r="B17" s="673" t="str">
        <f t="shared" si="0"/>
        <v>DIVP4</v>
      </c>
      <c r="C17" s="670">
        <f t="shared" ca="1" si="1"/>
        <v>0</v>
      </c>
      <c r="D17" s="670">
        <f t="shared" ca="1" si="2"/>
        <v>0</v>
      </c>
      <c r="E17" s="670">
        <f t="shared" ca="1" si="3"/>
        <v>0</v>
      </c>
      <c r="F17" s="670">
        <f t="shared" ca="1" si="4"/>
        <v>0</v>
      </c>
      <c r="G17" s="670">
        <f t="shared" ca="1" si="5"/>
        <v>0</v>
      </c>
      <c r="H17" s="338">
        <f t="shared" ca="1" si="6"/>
        <v>0</v>
      </c>
      <c r="I17" s="338">
        <f t="shared" ca="1" si="7"/>
        <v>0</v>
      </c>
      <c r="J17" s="77">
        <f t="shared" ca="1" si="8"/>
        <v>0</v>
      </c>
      <c r="K17" s="77">
        <f t="shared" ca="1" si="9"/>
        <v>0</v>
      </c>
      <c r="L17" s="77">
        <f t="shared" ca="1" si="10"/>
        <v>0</v>
      </c>
      <c r="M17" s="77">
        <f t="shared" ca="1" si="11"/>
        <v>0</v>
      </c>
      <c r="N17" s="77">
        <f t="shared" ca="1" si="12"/>
        <v>0</v>
      </c>
      <c r="O17" s="77">
        <f t="shared" ca="1" si="13"/>
        <v>0</v>
      </c>
      <c r="P17" s="77">
        <f t="shared" ca="1" si="14"/>
        <v>0</v>
      </c>
      <c r="Q17" s="77">
        <f t="shared" ca="1" si="15"/>
        <v>0</v>
      </c>
      <c r="R17" s="77">
        <f t="shared" ca="1" si="16"/>
        <v>0</v>
      </c>
      <c r="S17" s="77">
        <f t="shared" ca="1" si="17"/>
        <v>0</v>
      </c>
      <c r="T17" s="77">
        <f t="shared" ca="1" si="18"/>
        <v>0</v>
      </c>
      <c r="U17" s="77">
        <f t="shared" ca="1" si="19"/>
        <v>0</v>
      </c>
      <c r="V17" s="77">
        <f t="shared" ca="1" si="20"/>
        <v>0</v>
      </c>
      <c r="W17" s="77">
        <f t="shared" ca="1" si="21"/>
        <v>0</v>
      </c>
      <c r="X17" s="681">
        <f t="shared" ca="1" si="22"/>
        <v>0</v>
      </c>
      <c r="Y17" s="77">
        <f t="shared" ca="1" si="23"/>
        <v>0</v>
      </c>
      <c r="Z17" s="77">
        <f t="shared" ca="1" si="24"/>
        <v>0</v>
      </c>
      <c r="AA17" s="631">
        <f t="shared" ca="1" si="25"/>
        <v>0</v>
      </c>
      <c r="AB17" s="338">
        <f t="shared" ca="1" si="26"/>
        <v>0</v>
      </c>
    </row>
    <row r="18" spans="1:28" ht="19.5" customHeight="1" thickBot="1" x14ac:dyDescent="0.3">
      <c r="A18">
        <v>33</v>
      </c>
      <c r="B18" s="673" t="str">
        <f t="shared" si="0"/>
        <v>DIVP5</v>
      </c>
      <c r="C18" s="670">
        <f t="shared" ca="1" si="1"/>
        <v>0</v>
      </c>
      <c r="D18" s="670">
        <f t="shared" ca="1" si="2"/>
        <v>0</v>
      </c>
      <c r="E18" s="670">
        <f t="shared" ca="1" si="3"/>
        <v>0</v>
      </c>
      <c r="F18" s="670">
        <f t="shared" ca="1" si="4"/>
        <v>0</v>
      </c>
      <c r="G18" s="670">
        <f t="shared" ca="1" si="5"/>
        <v>0</v>
      </c>
      <c r="H18" s="338">
        <f t="shared" ca="1" si="6"/>
        <v>0</v>
      </c>
      <c r="I18" s="338">
        <f t="shared" ca="1" si="7"/>
        <v>0</v>
      </c>
      <c r="J18" s="77">
        <f t="shared" ca="1" si="8"/>
        <v>0</v>
      </c>
      <c r="K18" s="77">
        <f t="shared" ca="1" si="9"/>
        <v>0</v>
      </c>
      <c r="L18" s="77">
        <f t="shared" ca="1" si="10"/>
        <v>0</v>
      </c>
      <c r="M18" s="77">
        <f t="shared" ca="1" si="11"/>
        <v>0</v>
      </c>
      <c r="N18" s="77">
        <f t="shared" ca="1" si="12"/>
        <v>0</v>
      </c>
      <c r="O18" s="77">
        <f t="shared" ca="1" si="13"/>
        <v>0</v>
      </c>
      <c r="P18" s="77">
        <f t="shared" ca="1" si="14"/>
        <v>0</v>
      </c>
      <c r="Q18" s="77">
        <f t="shared" ca="1" si="15"/>
        <v>0</v>
      </c>
      <c r="R18" s="77">
        <f t="shared" ca="1" si="16"/>
        <v>0</v>
      </c>
      <c r="S18" s="77">
        <f t="shared" ca="1" si="17"/>
        <v>0</v>
      </c>
      <c r="T18" s="77">
        <f t="shared" ca="1" si="18"/>
        <v>0</v>
      </c>
      <c r="U18" s="77">
        <f t="shared" ca="1" si="19"/>
        <v>0</v>
      </c>
      <c r="V18" s="77">
        <f t="shared" ca="1" si="20"/>
        <v>0</v>
      </c>
      <c r="W18" s="77">
        <f t="shared" ca="1" si="21"/>
        <v>0</v>
      </c>
      <c r="X18" s="681">
        <f t="shared" ca="1" si="22"/>
        <v>0</v>
      </c>
      <c r="Y18" s="77">
        <f t="shared" ca="1" si="23"/>
        <v>0</v>
      </c>
      <c r="Z18" s="77">
        <f t="shared" ca="1" si="24"/>
        <v>0</v>
      </c>
      <c r="AA18" s="631">
        <f t="shared" ca="1" si="25"/>
        <v>0</v>
      </c>
      <c r="AB18" s="338">
        <f t="shared" ca="1" si="26"/>
        <v>0</v>
      </c>
    </row>
    <row r="19" spans="1:28" ht="19.5" customHeight="1" thickBot="1" x14ac:dyDescent="0.3">
      <c r="A19">
        <v>34</v>
      </c>
      <c r="B19" s="673" t="str">
        <f t="shared" si="0"/>
        <v>ECurmi</v>
      </c>
      <c r="C19" s="670">
        <f t="shared" ca="1" si="1"/>
        <v>0</v>
      </c>
      <c r="D19" s="670">
        <f t="shared" ca="1" si="2"/>
        <v>0</v>
      </c>
      <c r="E19" s="670">
        <f t="shared" ca="1" si="3"/>
        <v>0</v>
      </c>
      <c r="F19" s="670" t="str">
        <f t="shared" ca="1" si="4"/>
        <v>10506L</v>
      </c>
      <c r="G19" s="670" t="str">
        <f t="shared" ca="1" si="5"/>
        <v>D67754097</v>
      </c>
      <c r="H19" s="338">
        <f t="shared" ca="1" si="6"/>
        <v>0</v>
      </c>
      <c r="I19" s="338">
        <f t="shared" ca="1" si="7"/>
        <v>0</v>
      </c>
      <c r="J19" s="77">
        <f t="shared" ca="1" si="8"/>
        <v>0</v>
      </c>
      <c r="K19" s="77" t="str">
        <f t="shared" ca="1" si="9"/>
        <v>€</v>
      </c>
      <c r="L19" s="77">
        <f t="shared" ca="1" si="10"/>
        <v>0</v>
      </c>
      <c r="M19" s="77">
        <f t="shared" ca="1" si="11"/>
        <v>0</v>
      </c>
      <c r="N19" s="77">
        <f t="shared" ca="1" si="12"/>
        <v>0</v>
      </c>
      <c r="O19" s="77" t="str">
        <f t="shared" ca="1" si="13"/>
        <v>Breakdown of fringe Benefits</v>
      </c>
      <c r="P19" s="77">
        <f t="shared" ca="1" si="14"/>
        <v>0</v>
      </c>
      <c r="Q19" s="77">
        <f t="shared" ca="1" si="15"/>
        <v>689</v>
      </c>
      <c r="R19" s="77">
        <f t="shared" ca="1" si="16"/>
        <v>0</v>
      </c>
      <c r="S19" s="77">
        <f t="shared" ca="1" si="17"/>
        <v>0</v>
      </c>
      <c r="T19" s="77">
        <f t="shared" ca="1" si="18"/>
        <v>0</v>
      </c>
      <c r="U19" s="77">
        <f t="shared" ca="1" si="19"/>
        <v>0</v>
      </c>
      <c r="V19" s="77">
        <f t="shared" ca="1" si="20"/>
        <v>0</v>
      </c>
      <c r="W19" s="77">
        <f t="shared" ca="1" si="21"/>
        <v>0</v>
      </c>
      <c r="X19" s="681">
        <f t="shared" ca="1" si="22"/>
        <v>0</v>
      </c>
      <c r="Y19" s="77">
        <f t="shared" ca="1" si="23"/>
        <v>0</v>
      </c>
      <c r="Z19" s="77">
        <f t="shared" ca="1" si="24"/>
        <v>0</v>
      </c>
      <c r="AA19" s="631">
        <f t="shared" ca="1" si="25"/>
        <v>0</v>
      </c>
      <c r="AB19" s="338">
        <f t="shared" ca="1" si="26"/>
        <v>0</v>
      </c>
    </row>
    <row r="20" spans="1:28" ht="19.5" customHeight="1" thickBot="1" x14ac:dyDescent="0.3">
      <c r="A20">
        <v>35</v>
      </c>
      <c r="B20" s="673" t="str">
        <f t="shared" si="0"/>
        <v>AFalzon</v>
      </c>
      <c r="C20" s="670">
        <f t="shared" ca="1" si="1"/>
        <v>0</v>
      </c>
      <c r="D20" s="670">
        <f t="shared" ca="1" si="2"/>
        <v>0</v>
      </c>
      <c r="E20" s="670">
        <f t="shared" ca="1" si="3"/>
        <v>0</v>
      </c>
      <c r="F20" s="670" t="str">
        <f t="shared" ca="1" si="4"/>
        <v>229506L</v>
      </c>
      <c r="G20" s="670">
        <f t="shared" ca="1" si="5"/>
        <v>0</v>
      </c>
      <c r="H20" s="338">
        <f t="shared" ca="1" si="6"/>
        <v>0</v>
      </c>
      <c r="I20" s="338">
        <f t="shared" ca="1" si="7"/>
        <v>0</v>
      </c>
      <c r="J20" s="77">
        <f t="shared" ca="1" si="8"/>
        <v>0</v>
      </c>
      <c r="K20" s="77" t="str">
        <f t="shared" ca="1" si="9"/>
        <v>€</v>
      </c>
      <c r="L20" s="77">
        <f t="shared" ca="1" si="10"/>
        <v>0</v>
      </c>
      <c r="M20" s="77">
        <f t="shared" ca="1" si="11"/>
        <v>0</v>
      </c>
      <c r="N20" s="77">
        <f t="shared" ca="1" si="12"/>
        <v>0</v>
      </c>
      <c r="O20" s="77" t="str">
        <f t="shared" ca="1" si="13"/>
        <v>Breakdown of fringe Benefits</v>
      </c>
      <c r="P20" s="77">
        <f t="shared" ca="1" si="14"/>
        <v>0</v>
      </c>
      <c r="Q20" s="77">
        <f t="shared" ca="1" si="15"/>
        <v>463</v>
      </c>
      <c r="R20" s="77">
        <f t="shared" ca="1" si="16"/>
        <v>0</v>
      </c>
      <c r="S20" s="77">
        <f t="shared" ca="1" si="17"/>
        <v>0</v>
      </c>
      <c r="T20" s="77">
        <f t="shared" ca="1" si="18"/>
        <v>0</v>
      </c>
      <c r="U20" s="77">
        <f t="shared" ca="1" si="19"/>
        <v>0</v>
      </c>
      <c r="V20" s="77">
        <f t="shared" ca="1" si="20"/>
        <v>0</v>
      </c>
      <c r="W20" s="77">
        <f t="shared" ca="1" si="21"/>
        <v>0</v>
      </c>
      <c r="X20" s="681">
        <f t="shared" ca="1" si="22"/>
        <v>0</v>
      </c>
      <c r="Y20" s="77">
        <f t="shared" ca="1" si="23"/>
        <v>0</v>
      </c>
      <c r="Z20" s="77">
        <f t="shared" ca="1" si="24"/>
        <v>0</v>
      </c>
      <c r="AA20" s="631">
        <f t="shared" ca="1" si="25"/>
        <v>0</v>
      </c>
      <c r="AB20" s="338">
        <f t="shared" ca="1" si="26"/>
        <v>0</v>
      </c>
    </row>
    <row r="21" spans="1:28" ht="19.5" customHeight="1" thickBot="1" x14ac:dyDescent="0.3">
      <c r="A21">
        <v>36</v>
      </c>
      <c r="B21" s="673" t="str">
        <f t="shared" si="0"/>
        <v>ZMifsud</v>
      </c>
      <c r="C21" s="670">
        <f t="shared" ca="1" si="1"/>
        <v>0</v>
      </c>
      <c r="D21" s="670">
        <f t="shared" ca="1" si="2"/>
        <v>0</v>
      </c>
      <c r="E21" s="670">
        <f t="shared" ca="1" si="3"/>
        <v>0</v>
      </c>
      <c r="F21" s="670" t="str">
        <f t="shared" ca="1" si="4"/>
        <v>138207L</v>
      </c>
      <c r="G21" s="670">
        <f t="shared" ca="1" si="5"/>
        <v>0</v>
      </c>
      <c r="H21" s="338">
        <f t="shared" ca="1" si="6"/>
        <v>0</v>
      </c>
      <c r="I21" s="338">
        <f t="shared" ca="1" si="7"/>
        <v>0</v>
      </c>
      <c r="J21" s="77">
        <f t="shared" ca="1" si="8"/>
        <v>0</v>
      </c>
      <c r="K21" s="77" t="str">
        <f t="shared" ca="1" si="9"/>
        <v>€</v>
      </c>
      <c r="L21" s="77">
        <f t="shared" ca="1" si="10"/>
        <v>0</v>
      </c>
      <c r="M21" s="77">
        <f t="shared" ca="1" si="11"/>
        <v>0</v>
      </c>
      <c r="N21" s="77">
        <f t="shared" ca="1" si="12"/>
        <v>0</v>
      </c>
      <c r="O21" s="77" t="str">
        <f t="shared" ca="1" si="13"/>
        <v>Breakdown of fringe Benefits</v>
      </c>
      <c r="P21" s="77">
        <f t="shared" ca="1" si="14"/>
        <v>0</v>
      </c>
      <c r="Q21" s="77">
        <f t="shared" ca="1" si="15"/>
        <v>307</v>
      </c>
      <c r="R21" s="77">
        <f t="shared" ca="1" si="16"/>
        <v>0</v>
      </c>
      <c r="S21" s="77">
        <f t="shared" ca="1" si="17"/>
        <v>0</v>
      </c>
      <c r="T21" s="77">
        <f t="shared" ca="1" si="18"/>
        <v>0</v>
      </c>
      <c r="U21" s="77">
        <f t="shared" ca="1" si="19"/>
        <v>0</v>
      </c>
      <c r="V21" s="77">
        <f t="shared" ca="1" si="20"/>
        <v>0</v>
      </c>
      <c r="W21" s="77">
        <f t="shared" ca="1" si="21"/>
        <v>0</v>
      </c>
      <c r="X21" s="681">
        <f t="shared" ca="1" si="22"/>
        <v>0</v>
      </c>
      <c r="Y21" s="77">
        <f t="shared" ca="1" si="23"/>
        <v>0</v>
      </c>
      <c r="Z21" s="77">
        <f t="shared" ca="1" si="24"/>
        <v>0</v>
      </c>
      <c r="AA21" s="631">
        <f t="shared" ca="1" si="25"/>
        <v>0</v>
      </c>
      <c r="AB21" s="338">
        <f t="shared" ca="1" si="26"/>
        <v>0</v>
      </c>
    </row>
    <row r="22" spans="1:28" ht="19.5" customHeight="1" thickBot="1" x14ac:dyDescent="0.3">
      <c r="A22">
        <v>37</v>
      </c>
      <c r="B22" s="673" t="str">
        <f t="shared" si="0"/>
        <v>DIVP6</v>
      </c>
      <c r="C22" s="670">
        <f t="shared" ca="1" si="1"/>
        <v>0</v>
      </c>
      <c r="D22" s="670">
        <f t="shared" ca="1" si="2"/>
        <v>0</v>
      </c>
      <c r="E22" s="670">
        <f t="shared" ca="1" si="3"/>
        <v>0</v>
      </c>
      <c r="F22" s="670">
        <f t="shared" ca="1" si="4"/>
        <v>0</v>
      </c>
      <c r="G22" s="670">
        <f t="shared" ca="1" si="5"/>
        <v>0</v>
      </c>
      <c r="H22" s="338">
        <f t="shared" ca="1" si="6"/>
        <v>0</v>
      </c>
      <c r="I22" s="338">
        <f t="shared" ca="1" si="7"/>
        <v>0</v>
      </c>
      <c r="J22" s="77">
        <f t="shared" ca="1" si="8"/>
        <v>0</v>
      </c>
      <c r="K22" s="77">
        <f t="shared" ca="1" si="9"/>
        <v>0</v>
      </c>
      <c r="L22" s="77">
        <f t="shared" ca="1" si="10"/>
        <v>0</v>
      </c>
      <c r="M22" s="77">
        <f t="shared" ca="1" si="11"/>
        <v>0</v>
      </c>
      <c r="N22" s="77">
        <f t="shared" ca="1" si="12"/>
        <v>0</v>
      </c>
      <c r="O22" s="77">
        <f t="shared" ca="1" si="13"/>
        <v>0</v>
      </c>
      <c r="P22" s="77">
        <f t="shared" ca="1" si="14"/>
        <v>0</v>
      </c>
      <c r="Q22" s="77">
        <f t="shared" ca="1" si="15"/>
        <v>0</v>
      </c>
      <c r="R22" s="77">
        <f t="shared" ca="1" si="16"/>
        <v>0</v>
      </c>
      <c r="S22" s="77">
        <f t="shared" ca="1" si="17"/>
        <v>0</v>
      </c>
      <c r="T22" s="77">
        <f t="shared" ca="1" si="18"/>
        <v>0</v>
      </c>
      <c r="U22" s="77">
        <f t="shared" ca="1" si="19"/>
        <v>0</v>
      </c>
      <c r="V22" s="77">
        <f t="shared" ca="1" si="20"/>
        <v>0</v>
      </c>
      <c r="W22" s="77">
        <f t="shared" ca="1" si="21"/>
        <v>0</v>
      </c>
      <c r="X22" s="681">
        <f t="shared" ca="1" si="22"/>
        <v>0</v>
      </c>
      <c r="Y22" s="77">
        <f t="shared" ca="1" si="23"/>
        <v>0</v>
      </c>
      <c r="Z22" s="77">
        <f t="shared" ca="1" si="24"/>
        <v>0</v>
      </c>
      <c r="AA22" s="631">
        <f t="shared" ca="1" si="25"/>
        <v>0</v>
      </c>
      <c r="AB22" s="338">
        <f t="shared" ca="1" si="26"/>
        <v>0</v>
      </c>
    </row>
    <row r="23" spans="1:28" ht="19.5" customHeight="1" thickBot="1" x14ac:dyDescent="0.3">
      <c r="A23">
        <v>40</v>
      </c>
      <c r="B23" s="673" t="str">
        <f t="shared" si="0"/>
        <v>PTBLANKE</v>
      </c>
      <c r="C23" s="670">
        <f t="shared" ca="1" si="1"/>
        <v>0</v>
      </c>
      <c r="D23" s="670">
        <f t="shared" ca="1" si="2"/>
        <v>0</v>
      </c>
      <c r="E23" s="670">
        <f t="shared" ca="1" si="3"/>
        <v>0</v>
      </c>
      <c r="F23" s="670">
        <f t="shared" ca="1" si="4"/>
        <v>0</v>
      </c>
      <c r="G23" s="670">
        <f t="shared" ca="1" si="5"/>
        <v>0</v>
      </c>
      <c r="H23" s="338">
        <f t="shared" ca="1" si="6"/>
        <v>0</v>
      </c>
      <c r="I23" s="338">
        <f t="shared" ca="1" si="7"/>
        <v>0</v>
      </c>
      <c r="J23" s="77">
        <f t="shared" ca="1" si="8"/>
        <v>0</v>
      </c>
      <c r="K23" s="77">
        <f t="shared" ca="1" si="9"/>
        <v>0</v>
      </c>
      <c r="L23" s="77">
        <f t="shared" ca="1" si="10"/>
        <v>0</v>
      </c>
      <c r="M23" s="77">
        <f t="shared" ca="1" si="11"/>
        <v>0</v>
      </c>
      <c r="N23" s="77">
        <f t="shared" ca="1" si="12"/>
        <v>0</v>
      </c>
      <c r="O23" s="77">
        <f t="shared" ca="1" si="13"/>
        <v>0</v>
      </c>
      <c r="P23" s="77">
        <f t="shared" ca="1" si="14"/>
        <v>0</v>
      </c>
      <c r="Q23" s="77">
        <f t="shared" ca="1" si="15"/>
        <v>0</v>
      </c>
      <c r="R23" s="77">
        <f t="shared" ca="1" si="16"/>
        <v>0</v>
      </c>
      <c r="S23" s="77">
        <f t="shared" ca="1" si="17"/>
        <v>0</v>
      </c>
      <c r="T23" s="77">
        <f t="shared" ca="1" si="18"/>
        <v>0</v>
      </c>
      <c r="U23" s="77">
        <f t="shared" ca="1" si="19"/>
        <v>0</v>
      </c>
      <c r="V23" s="77">
        <f t="shared" ca="1" si="20"/>
        <v>0</v>
      </c>
      <c r="W23" s="77">
        <f t="shared" ca="1" si="21"/>
        <v>0</v>
      </c>
      <c r="X23" s="681">
        <f t="shared" ca="1" si="22"/>
        <v>0</v>
      </c>
      <c r="Y23" s="77">
        <f t="shared" ca="1" si="23"/>
        <v>0</v>
      </c>
      <c r="Z23" s="77">
        <f t="shared" ca="1" si="24"/>
        <v>0</v>
      </c>
      <c r="AA23" s="631">
        <f t="shared" ca="1" si="25"/>
        <v>0</v>
      </c>
      <c r="AB23" s="338">
        <f t="shared" ca="1" si="26"/>
        <v>0</v>
      </c>
    </row>
    <row r="24" spans="1:28" ht="19.5" customHeight="1" thickBot="1" x14ac:dyDescent="0.3">
      <c r="A24">
        <v>41</v>
      </c>
      <c r="B24" s="673" t="str">
        <f t="shared" si="0"/>
        <v>Summary</v>
      </c>
      <c r="C24" s="670">
        <f t="shared" ca="1" si="1"/>
        <v>0</v>
      </c>
      <c r="D24" s="670">
        <f t="shared" ca="1" si="2"/>
        <v>0</v>
      </c>
      <c r="E24" s="670">
        <f t="shared" ca="1" si="3"/>
        <v>2021009</v>
      </c>
      <c r="F24" s="670">
        <f t="shared" ca="1" si="4"/>
        <v>1657.2633333333324</v>
      </c>
      <c r="G24" s="670">
        <f t="shared" ca="1" si="5"/>
        <v>1814.3933333333323</v>
      </c>
      <c r="H24" s="338">
        <f t="shared" ca="1" si="6"/>
        <v>7032.5233333333281</v>
      </c>
      <c r="I24" s="338">
        <f t="shared" ca="1" si="7"/>
        <v>1828.3333333333323</v>
      </c>
      <c r="J24" s="77">
        <f t="shared" ca="1" si="8"/>
        <v>2362.9499999999989</v>
      </c>
      <c r="K24" s="77">
        <f t="shared" ca="1" si="9"/>
        <v>2241.7899999999986</v>
      </c>
      <c r="L24" s="77">
        <f t="shared" ca="1" si="10"/>
        <v>2283.9399999999987</v>
      </c>
      <c r="M24" s="77">
        <f t="shared" ca="1" si="11"/>
        <v>2376.8899999999985</v>
      </c>
      <c r="N24" s="77">
        <f t="shared" ca="1" si="12"/>
        <v>1854.8633333333323</v>
      </c>
      <c r="O24" s="77">
        <f t="shared" ca="1" si="13"/>
        <v>0</v>
      </c>
      <c r="P24" s="77">
        <f t="shared" ca="1" si="14"/>
        <v>21222.56390624999</v>
      </c>
      <c r="Q24" s="77">
        <f t="shared" ca="1" si="15"/>
        <v>26980.949999999983</v>
      </c>
      <c r="R24" s="77">
        <f t="shared" ca="1" si="16"/>
        <v>0</v>
      </c>
      <c r="S24" s="77">
        <f t="shared" ca="1" si="17"/>
        <v>2018004</v>
      </c>
      <c r="T24" s="77" t="str">
        <f t="shared" ca="1" si="18"/>
        <v>LBonnici</v>
      </c>
      <c r="U24" s="77">
        <f t="shared" ca="1" si="19"/>
        <v>1891.3733333333323</v>
      </c>
      <c r="V24" s="77">
        <f t="shared" ca="1" si="20"/>
        <v>1891.3733333333323</v>
      </c>
      <c r="W24" s="77" t="str">
        <f t="shared" ca="1" si="21"/>
        <v>AHaneena</v>
      </c>
      <c r="X24" s="681">
        <f t="shared" ca="1" si="22"/>
        <v>1719.7633333333324</v>
      </c>
      <c r="Y24" s="77">
        <f t="shared" ca="1" si="23"/>
        <v>24845.439999999984</v>
      </c>
      <c r="Z24" s="77">
        <f t="shared" ca="1" si="24"/>
        <v>18672.999999999989</v>
      </c>
      <c r="AA24" s="631">
        <f t="shared" ca="1" si="25"/>
        <v>0</v>
      </c>
      <c r="AB24" s="338">
        <f t="shared" ca="1" si="26"/>
        <v>13</v>
      </c>
    </row>
    <row r="25" spans="1:28" ht="19.5" customHeight="1" thickBot="1" x14ac:dyDescent="0.3">
      <c r="B25" s="673"/>
      <c r="C25" s="670" t="e">
        <f t="shared" ca="1" si="1"/>
        <v>#REF!</v>
      </c>
    </row>
    <row r="26" spans="1:28" ht="19.5" customHeight="1" thickBot="1" x14ac:dyDescent="0.3">
      <c r="B26" s="673"/>
      <c r="C26" s="670" t="e">
        <f t="shared" ca="1" si="1"/>
        <v>#REF!</v>
      </c>
    </row>
  </sheetData>
  <pageMargins left="0.7" right="0.7" top="0.75" bottom="0.75" header="0.3" footer="0.3"/>
  <pageSetup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26"/>
  <dimension ref="A1:R65"/>
  <sheetViews>
    <sheetView workbookViewId="0"/>
  </sheetViews>
  <sheetFormatPr defaultRowHeight="15" x14ac:dyDescent="0.25"/>
  <cols>
    <col min="2" max="2" width="21.85546875" customWidth="1"/>
    <col min="3" max="3" width="10.7109375" style="670" bestFit="1" customWidth="1"/>
    <col min="6" max="6" width="9.42578125" bestFit="1" customWidth="1"/>
    <col min="9" max="10" width="11" bestFit="1" customWidth="1"/>
    <col min="12" max="13" width="10.7109375" bestFit="1" customWidth="1"/>
    <col min="15" max="15" width="9.5703125" bestFit="1" customWidth="1"/>
  </cols>
  <sheetData>
    <row r="1" spans="1:18" ht="26.25" customHeight="1" thickBot="1" x14ac:dyDescent="0.3">
      <c r="A1" t="s">
        <v>621</v>
      </c>
      <c r="B1" t="s">
        <v>598</v>
      </c>
      <c r="C1" s="680" t="s">
        <v>599</v>
      </c>
      <c r="D1" s="679" t="s">
        <v>135</v>
      </c>
      <c r="E1" s="678" t="s">
        <v>600</v>
      </c>
      <c r="F1" s="677" t="s">
        <v>94</v>
      </c>
      <c r="G1" s="675" t="s">
        <v>622</v>
      </c>
      <c r="H1" s="675" t="s">
        <v>623</v>
      </c>
      <c r="I1" s="676" t="s">
        <v>624</v>
      </c>
      <c r="J1" s="676" t="s">
        <v>625</v>
      </c>
      <c r="K1" s="675" t="s">
        <v>619</v>
      </c>
      <c r="L1" s="675" t="s">
        <v>626</v>
      </c>
      <c r="M1" s="675" t="s">
        <v>627</v>
      </c>
      <c r="N1" s="675" t="s">
        <v>628</v>
      </c>
      <c r="O1" s="674" t="s">
        <v>620</v>
      </c>
    </row>
    <row r="2" spans="1:18" ht="20.25" customHeight="1" thickTop="1" thickBot="1" x14ac:dyDescent="0.3">
      <c r="A2">
        <v>17</v>
      </c>
      <c r="B2" s="673" t="str">
        <f t="shared" ref="B2:B33" si="0">INDEX(sheetnames,A2)</f>
        <v>MAcero_Garzon</v>
      </c>
      <c r="C2" s="670">
        <f t="shared" ref="C2:C33" ca="1" si="1">INDIRECT("'"&amp;$B2&amp;"'!k3")</f>
        <v>0</v>
      </c>
      <c r="D2" s="670">
        <f t="shared" ref="D2:D33" ca="1" si="2">INDIRECT("'"&amp;$B2&amp;"'!c4")</f>
        <v>0</v>
      </c>
      <c r="E2" s="670">
        <f t="shared" ref="E2:E33" ca="1" si="3">INDIRECT("'"&amp;$B2&amp;"'!i5")</f>
        <v>0</v>
      </c>
      <c r="F2" s="77" t="str">
        <f ca="1">INDIRECT("'"&amp;$B2&amp;"'!b36")</f>
        <v>€</v>
      </c>
      <c r="G2" s="671">
        <f ca="1">INDIRECT("'"&amp;$B2&amp;"'!d36")</f>
        <v>0</v>
      </c>
      <c r="H2" s="672" t="str">
        <f ca="1">INDIRECT("'"&amp;$B2&amp;"'!e36")</f>
        <v>Category</v>
      </c>
      <c r="I2" s="77" t="str">
        <f ca="1">INDIRECT("'"&amp;$B2&amp;"'!f36")</f>
        <v>Payee</v>
      </c>
      <c r="J2" s="77" t="str">
        <f ca="1">INDIRECT("'"&amp;$B2&amp;"'!g36")</f>
        <v>Payer</v>
      </c>
      <c r="K2" s="77" t="str">
        <f ca="1">INDIRECT("'"&amp;$B2&amp;"'!i36")</f>
        <v>Payee</v>
      </c>
      <c r="L2" s="338" t="str">
        <f ca="1">INDIRECT("'"&amp;$B2&amp;"'!j36")</f>
        <v>From</v>
      </c>
      <c r="M2" s="338" t="str">
        <f ca="1">INDIRECT("'"&amp;$B2&amp;"'!k36")</f>
        <v>To</v>
      </c>
      <c r="N2" s="671" t="str">
        <f t="shared" ref="N2:N33" ca="1" si="4">INDIRECT("'"&amp;$B2&amp;"'!l36")</f>
        <v>Number</v>
      </c>
      <c r="O2" s="631">
        <f t="shared" ref="O2:O33" ca="1" si="5">INDIRECT("'"&amp;$B2&amp;"'!i44")</f>
        <v>0</v>
      </c>
    </row>
    <row r="3" spans="1:18" ht="19.5" customHeight="1" thickBot="1" x14ac:dyDescent="0.3">
      <c r="A3">
        <v>17</v>
      </c>
      <c r="B3" s="673" t="str">
        <f t="shared" si="0"/>
        <v>MAcero_Garzon</v>
      </c>
      <c r="C3" s="670">
        <f t="shared" ca="1" si="1"/>
        <v>0</v>
      </c>
      <c r="D3" s="670">
        <f t="shared" ca="1" si="2"/>
        <v>0</v>
      </c>
      <c r="E3" s="670">
        <f t="shared" ca="1" si="3"/>
        <v>0</v>
      </c>
      <c r="F3" s="77">
        <f ca="1">INDIRECT("'"&amp;$B3&amp;"'!b37")</f>
        <v>0</v>
      </c>
      <c r="G3" s="671">
        <f ca="1">INDIRECT("'"&amp;$B3&amp;"'!d37")</f>
        <v>0</v>
      </c>
      <c r="H3" s="672" t="str">
        <f ca="1">INDIRECT("'"&amp;$B3&amp;"'!e37")</f>
        <v xml:space="preserve"> </v>
      </c>
      <c r="I3" s="77">
        <f ca="1">INDIRECT("'"&amp;$B3&amp;"'!f37")</f>
        <v>0</v>
      </c>
      <c r="J3" s="77">
        <f ca="1">INDIRECT("'"&amp;$B3&amp;"'!g37")</f>
        <v>0</v>
      </c>
      <c r="K3" s="77">
        <f ca="1">INDIRECT("'"&amp;$B3&amp;"'!i37")</f>
        <v>0</v>
      </c>
      <c r="L3" s="338">
        <f ca="1">INDIRECT("'"&amp;$B3&amp;"'!j37")</f>
        <v>0</v>
      </c>
      <c r="M3" s="338">
        <f ca="1">INDIRECT("'"&amp;$B3&amp;"'!k37")</f>
        <v>0</v>
      </c>
      <c r="N3" s="671" t="str">
        <f t="shared" ca="1" si="4"/>
        <v>Number</v>
      </c>
      <c r="O3" s="631">
        <f t="shared" ca="1" si="5"/>
        <v>0</v>
      </c>
    </row>
    <row r="4" spans="1:18" ht="19.5" customHeight="1" thickBot="1" x14ac:dyDescent="0.3">
      <c r="A4">
        <v>17</v>
      </c>
      <c r="B4" s="673" t="str">
        <f t="shared" si="0"/>
        <v>MAcero_Garzon</v>
      </c>
      <c r="C4" s="670">
        <f t="shared" ca="1" si="1"/>
        <v>0</v>
      </c>
      <c r="D4" s="670">
        <f t="shared" ca="1" si="2"/>
        <v>0</v>
      </c>
      <c r="E4" s="670">
        <f t="shared" ca="1" si="3"/>
        <v>0</v>
      </c>
      <c r="F4" s="77">
        <f ca="1">INDIRECT("'"&amp;$B4&amp;"'!b38")</f>
        <v>0</v>
      </c>
      <c r="G4" s="671">
        <f ca="1">INDIRECT("'"&amp;$B4&amp;"'!d38")</f>
        <v>0</v>
      </c>
      <c r="H4" s="672" t="str">
        <f ca="1">INDIRECT("'"&amp;$B4&amp;"'!e38")</f>
        <v xml:space="preserve"> </v>
      </c>
      <c r="I4" s="77">
        <f ca="1">INDIRECT("'"&amp;$B4&amp;"'!f38")</f>
        <v>0</v>
      </c>
      <c r="J4" s="77">
        <f ca="1">INDIRECT("'"&amp;$B4&amp;"'!g38")</f>
        <v>0</v>
      </c>
      <c r="K4" s="77">
        <f ca="1">INDIRECT("'"&amp;$B4&amp;"'!i38")</f>
        <v>0</v>
      </c>
      <c r="L4" s="338">
        <f ca="1">INDIRECT("'"&amp;$B4&amp;"'!j38")</f>
        <v>0</v>
      </c>
      <c r="M4" s="338">
        <f ca="1">INDIRECT("'"&amp;$B4&amp;"'!k38")</f>
        <v>0</v>
      </c>
      <c r="N4" s="671" t="str">
        <f t="shared" ca="1" si="4"/>
        <v>Number</v>
      </c>
      <c r="O4" s="631">
        <f t="shared" ca="1" si="5"/>
        <v>0</v>
      </c>
    </row>
    <row r="5" spans="1:18" ht="19.5" customHeight="1" thickBot="1" x14ac:dyDescent="0.3">
      <c r="A5">
        <v>18</v>
      </c>
      <c r="B5" s="673" t="str">
        <f t="shared" si="0"/>
        <v>DIV5</v>
      </c>
      <c r="C5" s="670">
        <f t="shared" ca="1" si="1"/>
        <v>0</v>
      </c>
      <c r="D5" s="670">
        <f t="shared" ca="1" si="2"/>
        <v>0</v>
      </c>
      <c r="E5" s="670">
        <f t="shared" ca="1" si="3"/>
        <v>0</v>
      </c>
      <c r="F5" s="77">
        <f ca="1">INDIRECT("'"&amp;$B5&amp;"'!b36")</f>
        <v>0</v>
      </c>
      <c r="G5" s="671">
        <f ca="1">INDIRECT("'"&amp;$B5&amp;"'!d36")</f>
        <v>0</v>
      </c>
      <c r="H5" s="672">
        <f ca="1">INDIRECT("'"&amp;$B5&amp;"'!e36")</f>
        <v>0</v>
      </c>
      <c r="I5" s="77">
        <f ca="1">INDIRECT("'"&amp;$B5&amp;"'!f36")</f>
        <v>0</v>
      </c>
      <c r="J5" s="77">
        <f ca="1">INDIRECT("'"&amp;$B5&amp;"'!g36")</f>
        <v>0</v>
      </c>
      <c r="K5" s="77">
        <f ca="1">INDIRECT("'"&amp;$B5&amp;"'!i36")</f>
        <v>0</v>
      </c>
      <c r="L5" s="338">
        <f ca="1">INDIRECT("'"&amp;$B5&amp;"'!j36")</f>
        <v>0</v>
      </c>
      <c r="M5" s="338">
        <f ca="1">INDIRECT("'"&amp;$B5&amp;"'!k36")</f>
        <v>0</v>
      </c>
      <c r="N5" s="671">
        <f t="shared" ca="1" si="4"/>
        <v>0</v>
      </c>
      <c r="O5" s="631">
        <f t="shared" ca="1" si="5"/>
        <v>0</v>
      </c>
    </row>
    <row r="6" spans="1:18" ht="19.5" customHeight="1" thickBot="1" x14ac:dyDescent="0.3">
      <c r="A6">
        <v>18</v>
      </c>
      <c r="B6" s="673" t="str">
        <f t="shared" si="0"/>
        <v>DIV5</v>
      </c>
      <c r="C6" s="670">
        <f t="shared" ca="1" si="1"/>
        <v>0</v>
      </c>
      <c r="D6" s="670">
        <f t="shared" ca="1" si="2"/>
        <v>0</v>
      </c>
      <c r="E6" s="670">
        <f t="shared" ca="1" si="3"/>
        <v>0</v>
      </c>
      <c r="F6" s="77">
        <f ca="1">INDIRECT("'"&amp;$B6&amp;"'!b37")</f>
        <v>0</v>
      </c>
      <c r="G6" s="671">
        <f ca="1">INDIRECT("'"&amp;$B6&amp;"'!d37")</f>
        <v>0</v>
      </c>
      <c r="H6" s="672">
        <f ca="1">INDIRECT("'"&amp;$B6&amp;"'!e37")</f>
        <v>0</v>
      </c>
      <c r="I6" s="77">
        <f ca="1">INDIRECT("'"&amp;$B6&amp;"'!f37")</f>
        <v>0</v>
      </c>
      <c r="J6" s="77">
        <f ca="1">INDIRECT("'"&amp;$B6&amp;"'!g37")</f>
        <v>0</v>
      </c>
      <c r="K6" s="77">
        <f ca="1">INDIRECT("'"&amp;$B6&amp;"'!i37")</f>
        <v>0</v>
      </c>
      <c r="L6" s="338">
        <f ca="1">INDIRECT("'"&amp;$B6&amp;"'!j37")</f>
        <v>0</v>
      </c>
      <c r="M6" s="338">
        <f ca="1">INDIRECT("'"&amp;$B6&amp;"'!k37")</f>
        <v>0</v>
      </c>
      <c r="N6" s="671">
        <f t="shared" ca="1" si="4"/>
        <v>0</v>
      </c>
      <c r="O6" s="631">
        <f t="shared" ca="1" si="5"/>
        <v>0</v>
      </c>
    </row>
    <row r="7" spans="1:18" ht="19.5" customHeight="1" thickBot="1" x14ac:dyDescent="0.3">
      <c r="A7">
        <v>18</v>
      </c>
      <c r="B7" s="673" t="str">
        <f t="shared" si="0"/>
        <v>DIV5</v>
      </c>
      <c r="C7" s="670">
        <f t="shared" ca="1" si="1"/>
        <v>0</v>
      </c>
      <c r="D7" s="670">
        <f t="shared" ca="1" si="2"/>
        <v>0</v>
      </c>
      <c r="E7" s="670">
        <f t="shared" ca="1" si="3"/>
        <v>0</v>
      </c>
      <c r="F7" s="77">
        <f ca="1">INDIRECT("'"&amp;$B7&amp;"'!b38")</f>
        <v>0</v>
      </c>
      <c r="G7" s="671">
        <f ca="1">INDIRECT("'"&amp;$B7&amp;"'!d38")</f>
        <v>0</v>
      </c>
      <c r="H7" s="672">
        <f ca="1">INDIRECT("'"&amp;$B7&amp;"'!e38")</f>
        <v>0</v>
      </c>
      <c r="I7" s="77">
        <f ca="1">INDIRECT("'"&amp;$B7&amp;"'!f38")</f>
        <v>0</v>
      </c>
      <c r="J7" s="77">
        <f ca="1">INDIRECT("'"&amp;$B7&amp;"'!g38")</f>
        <v>0</v>
      </c>
      <c r="K7" s="77">
        <f ca="1">INDIRECT("'"&amp;$B7&amp;"'!i38")</f>
        <v>0</v>
      </c>
      <c r="L7" s="338">
        <f ca="1">INDIRECT("'"&amp;$B7&amp;"'!j38")</f>
        <v>0</v>
      </c>
      <c r="M7" s="338">
        <f ca="1">INDIRECT("'"&amp;$B7&amp;"'!k38")</f>
        <v>0</v>
      </c>
      <c r="N7" s="671">
        <f t="shared" ca="1" si="4"/>
        <v>0</v>
      </c>
      <c r="O7" s="631">
        <f t="shared" ca="1" si="5"/>
        <v>0</v>
      </c>
    </row>
    <row r="8" spans="1:18" ht="19.5" customHeight="1" thickBot="1" x14ac:dyDescent="0.3">
      <c r="A8">
        <v>19</v>
      </c>
      <c r="B8" s="673" t="str">
        <f t="shared" si="0"/>
        <v>RSreejith</v>
      </c>
      <c r="C8" s="670">
        <f t="shared" ca="1" si="1"/>
        <v>0</v>
      </c>
      <c r="D8" s="670">
        <f t="shared" ca="1" si="2"/>
        <v>0</v>
      </c>
      <c r="E8" s="670">
        <f t="shared" ca="1" si="3"/>
        <v>0</v>
      </c>
      <c r="F8" s="77" t="str">
        <f ca="1">INDIRECT("'"&amp;$B8&amp;"'!b36")</f>
        <v>€</v>
      </c>
      <c r="G8" s="671">
        <f ca="1">INDIRECT("'"&amp;$B8&amp;"'!d36")</f>
        <v>0</v>
      </c>
      <c r="H8" s="672" t="str">
        <f ca="1">INDIRECT("'"&amp;$B8&amp;"'!e36")</f>
        <v>Category</v>
      </c>
      <c r="I8" s="77" t="str">
        <f ca="1">INDIRECT("'"&amp;$B8&amp;"'!f36")</f>
        <v>Payee</v>
      </c>
      <c r="J8" s="77" t="str">
        <f ca="1">INDIRECT("'"&amp;$B8&amp;"'!g36")</f>
        <v>Payer</v>
      </c>
      <c r="K8" s="77" t="str">
        <f ca="1">INDIRECT("'"&amp;$B8&amp;"'!i36")</f>
        <v>Payee</v>
      </c>
      <c r="L8" s="338" t="str">
        <f ca="1">INDIRECT("'"&amp;$B8&amp;"'!j36")</f>
        <v>From</v>
      </c>
      <c r="M8" s="338" t="str">
        <f ca="1">INDIRECT("'"&amp;$B8&amp;"'!k36")</f>
        <v>To</v>
      </c>
      <c r="N8" s="671" t="str">
        <f t="shared" ca="1" si="4"/>
        <v>Number</v>
      </c>
      <c r="O8" s="631">
        <f t="shared" ca="1" si="5"/>
        <v>0</v>
      </c>
    </row>
    <row r="9" spans="1:18" ht="19.5" customHeight="1" thickBot="1" x14ac:dyDescent="0.3">
      <c r="A9">
        <v>19</v>
      </c>
      <c r="B9" s="673" t="str">
        <f t="shared" si="0"/>
        <v>RSreejith</v>
      </c>
      <c r="C9" s="670">
        <f t="shared" ca="1" si="1"/>
        <v>0</v>
      </c>
      <c r="D9" s="670">
        <f t="shared" ca="1" si="2"/>
        <v>0</v>
      </c>
      <c r="E9" s="670">
        <f t="shared" ca="1" si="3"/>
        <v>0</v>
      </c>
      <c r="F9" s="77">
        <f ca="1">INDIRECT("'"&amp;$B9&amp;"'!b37")</f>
        <v>0</v>
      </c>
      <c r="G9" s="671">
        <f ca="1">INDIRECT("'"&amp;$B9&amp;"'!d37")</f>
        <v>0</v>
      </c>
      <c r="H9" s="672" t="str">
        <f ca="1">INDIRECT("'"&amp;$B9&amp;"'!e37")</f>
        <v xml:space="preserve"> </v>
      </c>
      <c r="I9" s="77">
        <f ca="1">INDIRECT("'"&amp;$B9&amp;"'!f37")</f>
        <v>0</v>
      </c>
      <c r="J9" s="77">
        <f ca="1">INDIRECT("'"&amp;$B9&amp;"'!g37")</f>
        <v>0</v>
      </c>
      <c r="K9" s="77">
        <f ca="1">INDIRECT("'"&amp;$B9&amp;"'!i37")</f>
        <v>0</v>
      </c>
      <c r="L9" s="338">
        <f ca="1">INDIRECT("'"&amp;$B9&amp;"'!j37")</f>
        <v>0</v>
      </c>
      <c r="M9" s="338">
        <f ca="1">INDIRECT("'"&amp;$B9&amp;"'!k37")</f>
        <v>0</v>
      </c>
      <c r="N9" s="671" t="str">
        <f t="shared" ca="1" si="4"/>
        <v>Number</v>
      </c>
      <c r="O9" s="631">
        <f t="shared" ca="1" si="5"/>
        <v>0</v>
      </c>
      <c r="R9">
        <v>19</v>
      </c>
    </row>
    <row r="10" spans="1:18" ht="19.5" customHeight="1" thickBot="1" x14ac:dyDescent="0.3">
      <c r="A10">
        <v>19</v>
      </c>
      <c r="B10" s="673" t="str">
        <f t="shared" si="0"/>
        <v>RSreejith</v>
      </c>
      <c r="C10" s="670">
        <f t="shared" ca="1" si="1"/>
        <v>0</v>
      </c>
      <c r="D10" s="670">
        <f t="shared" ca="1" si="2"/>
        <v>0</v>
      </c>
      <c r="E10" s="670">
        <f t="shared" ca="1" si="3"/>
        <v>0</v>
      </c>
      <c r="F10" s="77">
        <f ca="1">INDIRECT("'"&amp;$B10&amp;"'!b38")</f>
        <v>0</v>
      </c>
      <c r="G10" s="671">
        <f ca="1">INDIRECT("'"&amp;$B10&amp;"'!d38")</f>
        <v>0</v>
      </c>
      <c r="H10" s="672" t="str">
        <f ca="1">INDIRECT("'"&amp;$B10&amp;"'!e38")</f>
        <v xml:space="preserve"> </v>
      </c>
      <c r="I10" s="77">
        <f ca="1">INDIRECT("'"&amp;$B10&amp;"'!f38")</f>
        <v>0</v>
      </c>
      <c r="J10" s="77">
        <f ca="1">INDIRECT("'"&amp;$B10&amp;"'!g38")</f>
        <v>0</v>
      </c>
      <c r="K10" s="77">
        <f ca="1">INDIRECT("'"&amp;$B10&amp;"'!i38")</f>
        <v>0</v>
      </c>
      <c r="L10" s="338">
        <f ca="1">INDIRECT("'"&amp;$B10&amp;"'!j38")</f>
        <v>0</v>
      </c>
      <c r="M10" s="338">
        <f ca="1">INDIRECT("'"&amp;$B10&amp;"'!k38")</f>
        <v>0</v>
      </c>
      <c r="N10" s="671" t="str">
        <f t="shared" ca="1" si="4"/>
        <v>Number</v>
      </c>
      <c r="O10" s="631">
        <f t="shared" ca="1" si="5"/>
        <v>0</v>
      </c>
      <c r="R10">
        <v>20</v>
      </c>
    </row>
    <row r="11" spans="1:18" ht="19.5" customHeight="1" thickBot="1" x14ac:dyDescent="0.3">
      <c r="A11">
        <v>20</v>
      </c>
      <c r="B11" s="673" t="str">
        <f t="shared" si="0"/>
        <v>AKunnamkudath</v>
      </c>
      <c r="C11" s="670">
        <f t="shared" ca="1" si="1"/>
        <v>0</v>
      </c>
      <c r="D11" s="670">
        <f t="shared" ca="1" si="2"/>
        <v>0</v>
      </c>
      <c r="E11" s="670">
        <f t="shared" ca="1" si="3"/>
        <v>0</v>
      </c>
      <c r="F11" s="77" t="str">
        <f ca="1">INDIRECT("'"&amp;$B11&amp;"'!b36")</f>
        <v>€</v>
      </c>
      <c r="G11" s="671">
        <f ca="1">INDIRECT("'"&amp;$B11&amp;"'!d36")</f>
        <v>0</v>
      </c>
      <c r="H11" s="672" t="str">
        <f ca="1">INDIRECT("'"&amp;$B11&amp;"'!e36")</f>
        <v>Category</v>
      </c>
      <c r="I11" s="77" t="str">
        <f ca="1">INDIRECT("'"&amp;$B11&amp;"'!f36")</f>
        <v>Payee</v>
      </c>
      <c r="J11" s="77" t="str">
        <f ca="1">INDIRECT("'"&amp;$B11&amp;"'!g36")</f>
        <v>Payer</v>
      </c>
      <c r="K11" s="77" t="str">
        <f ca="1">INDIRECT("'"&amp;$B11&amp;"'!i36")</f>
        <v>Payee</v>
      </c>
      <c r="L11" s="338" t="str">
        <f ca="1">INDIRECT("'"&amp;$B11&amp;"'!j36")</f>
        <v>From</v>
      </c>
      <c r="M11" s="338" t="str">
        <f ca="1">INDIRECT("'"&amp;$B11&amp;"'!k36")</f>
        <v>To</v>
      </c>
      <c r="N11" s="671" t="str">
        <f t="shared" ca="1" si="4"/>
        <v>Number</v>
      </c>
      <c r="O11" s="631">
        <f t="shared" ca="1" si="5"/>
        <v>0</v>
      </c>
      <c r="R11">
        <v>21</v>
      </c>
    </row>
    <row r="12" spans="1:18" ht="19.5" customHeight="1" thickBot="1" x14ac:dyDescent="0.3">
      <c r="A12">
        <v>20</v>
      </c>
      <c r="B12" s="673" t="str">
        <f t="shared" si="0"/>
        <v>AKunnamkudath</v>
      </c>
      <c r="C12" s="670">
        <f t="shared" ca="1" si="1"/>
        <v>0</v>
      </c>
      <c r="D12" s="670">
        <f t="shared" ca="1" si="2"/>
        <v>0</v>
      </c>
      <c r="E12" s="670">
        <f t="shared" ca="1" si="3"/>
        <v>0</v>
      </c>
      <c r="F12" s="77">
        <f ca="1">INDIRECT("'"&amp;$B12&amp;"'!b37")</f>
        <v>0</v>
      </c>
      <c r="G12" s="671">
        <f ca="1">INDIRECT("'"&amp;$B12&amp;"'!d37")</f>
        <v>0</v>
      </c>
      <c r="H12" s="672" t="str">
        <f ca="1">INDIRECT("'"&amp;$B12&amp;"'!e37")</f>
        <v xml:space="preserve"> </v>
      </c>
      <c r="I12" s="77">
        <f ca="1">INDIRECT("'"&amp;$B12&amp;"'!f37")</f>
        <v>0</v>
      </c>
      <c r="J12" s="77">
        <f ca="1">INDIRECT("'"&amp;$B12&amp;"'!g37")</f>
        <v>0</v>
      </c>
      <c r="K12" s="77">
        <f ca="1">INDIRECT("'"&amp;$B12&amp;"'!i37")</f>
        <v>0</v>
      </c>
      <c r="L12" s="338">
        <f ca="1">INDIRECT("'"&amp;$B12&amp;"'!j37")</f>
        <v>0</v>
      </c>
      <c r="M12" s="338">
        <f ca="1">INDIRECT("'"&amp;$B12&amp;"'!k37")</f>
        <v>0</v>
      </c>
      <c r="N12" s="671" t="str">
        <f t="shared" ca="1" si="4"/>
        <v>Number</v>
      </c>
      <c r="O12" s="631">
        <f t="shared" ca="1" si="5"/>
        <v>0</v>
      </c>
      <c r="R12">
        <v>22</v>
      </c>
    </row>
    <row r="13" spans="1:18" ht="19.5" customHeight="1" thickBot="1" x14ac:dyDescent="0.3">
      <c r="A13">
        <v>20</v>
      </c>
      <c r="B13" s="673" t="str">
        <f t="shared" si="0"/>
        <v>AKunnamkudath</v>
      </c>
      <c r="C13" s="670">
        <f t="shared" ca="1" si="1"/>
        <v>0</v>
      </c>
      <c r="D13" s="670">
        <f t="shared" ca="1" si="2"/>
        <v>0</v>
      </c>
      <c r="E13" s="670">
        <f t="shared" ca="1" si="3"/>
        <v>0</v>
      </c>
      <c r="F13" s="77">
        <f ca="1">INDIRECT("'"&amp;$B13&amp;"'!b38")</f>
        <v>0</v>
      </c>
      <c r="G13" s="671">
        <f ca="1">INDIRECT("'"&amp;$B13&amp;"'!d38")</f>
        <v>0</v>
      </c>
      <c r="H13" s="672" t="str">
        <f ca="1">INDIRECT("'"&amp;$B13&amp;"'!e38")</f>
        <v xml:space="preserve"> </v>
      </c>
      <c r="I13" s="77">
        <f ca="1">INDIRECT("'"&amp;$B13&amp;"'!f38")</f>
        <v>0</v>
      </c>
      <c r="J13" s="77">
        <f ca="1">INDIRECT("'"&amp;$B13&amp;"'!g38")</f>
        <v>0</v>
      </c>
      <c r="K13" s="77">
        <f ca="1">INDIRECT("'"&amp;$B13&amp;"'!i38")</f>
        <v>0</v>
      </c>
      <c r="L13" s="338">
        <f ca="1">INDIRECT("'"&amp;$B13&amp;"'!j38")</f>
        <v>0</v>
      </c>
      <c r="M13" s="338">
        <f ca="1">INDIRECT("'"&amp;$B13&amp;"'!k38")</f>
        <v>0</v>
      </c>
      <c r="N13" s="671" t="str">
        <f t="shared" ca="1" si="4"/>
        <v>Number</v>
      </c>
      <c r="O13" s="631">
        <f t="shared" ca="1" si="5"/>
        <v>0</v>
      </c>
      <c r="R13">
        <v>23</v>
      </c>
    </row>
    <row r="14" spans="1:18" ht="19.5" customHeight="1" thickBot="1" x14ac:dyDescent="0.3">
      <c r="A14">
        <v>21</v>
      </c>
      <c r="B14" s="673" t="str">
        <f t="shared" si="0"/>
        <v>DIV6</v>
      </c>
      <c r="C14" s="670">
        <f t="shared" ca="1" si="1"/>
        <v>0</v>
      </c>
      <c r="D14" s="670">
        <f t="shared" ca="1" si="2"/>
        <v>0</v>
      </c>
      <c r="E14" s="670">
        <f t="shared" ca="1" si="3"/>
        <v>0</v>
      </c>
      <c r="F14" s="77">
        <f ca="1">INDIRECT("'"&amp;$B14&amp;"'!b36")</f>
        <v>0</v>
      </c>
      <c r="G14" s="671">
        <f ca="1">INDIRECT("'"&amp;$B14&amp;"'!d36")</f>
        <v>0</v>
      </c>
      <c r="H14" s="672">
        <f ca="1">INDIRECT("'"&amp;$B14&amp;"'!e36")</f>
        <v>0</v>
      </c>
      <c r="I14" s="77">
        <f ca="1">INDIRECT("'"&amp;$B14&amp;"'!f36")</f>
        <v>0</v>
      </c>
      <c r="J14" s="77">
        <f ca="1">INDIRECT("'"&amp;$B14&amp;"'!g36")</f>
        <v>0</v>
      </c>
      <c r="K14" s="77">
        <f ca="1">INDIRECT("'"&amp;$B14&amp;"'!i36")</f>
        <v>0</v>
      </c>
      <c r="L14" s="338">
        <f ca="1">INDIRECT("'"&amp;$B14&amp;"'!j36")</f>
        <v>0</v>
      </c>
      <c r="M14" s="338">
        <f ca="1">INDIRECT("'"&amp;$B14&amp;"'!k36")</f>
        <v>0</v>
      </c>
      <c r="N14" s="671">
        <f t="shared" ca="1" si="4"/>
        <v>0</v>
      </c>
      <c r="O14" s="631">
        <f t="shared" ca="1" si="5"/>
        <v>0</v>
      </c>
      <c r="R14">
        <v>24</v>
      </c>
    </row>
    <row r="15" spans="1:18" ht="19.5" customHeight="1" thickBot="1" x14ac:dyDescent="0.3">
      <c r="A15">
        <v>21</v>
      </c>
      <c r="B15" s="673" t="str">
        <f t="shared" si="0"/>
        <v>DIV6</v>
      </c>
      <c r="C15" s="670">
        <f t="shared" ca="1" si="1"/>
        <v>0</v>
      </c>
      <c r="D15" s="670">
        <f t="shared" ca="1" si="2"/>
        <v>0</v>
      </c>
      <c r="E15" s="670">
        <f t="shared" ca="1" si="3"/>
        <v>0</v>
      </c>
      <c r="F15" s="77">
        <f ca="1">INDIRECT("'"&amp;$B15&amp;"'!b37")</f>
        <v>0</v>
      </c>
      <c r="G15" s="671">
        <f ca="1">INDIRECT("'"&amp;$B15&amp;"'!d37")</f>
        <v>0</v>
      </c>
      <c r="H15" s="672">
        <f ca="1">INDIRECT("'"&amp;$B15&amp;"'!e37")</f>
        <v>0</v>
      </c>
      <c r="I15" s="77">
        <f ca="1">INDIRECT("'"&amp;$B15&amp;"'!f37")</f>
        <v>0</v>
      </c>
      <c r="J15" s="77">
        <f ca="1">INDIRECT("'"&amp;$B15&amp;"'!g37")</f>
        <v>0</v>
      </c>
      <c r="K15" s="77">
        <f ca="1">INDIRECT("'"&amp;$B15&amp;"'!i37")</f>
        <v>0</v>
      </c>
      <c r="L15" s="338">
        <f ca="1">INDIRECT("'"&amp;$B15&amp;"'!j37")</f>
        <v>0</v>
      </c>
      <c r="M15" s="338">
        <f ca="1">INDIRECT("'"&amp;$B15&amp;"'!k37")</f>
        <v>0</v>
      </c>
      <c r="N15" s="671">
        <f t="shared" ca="1" si="4"/>
        <v>0</v>
      </c>
      <c r="O15" s="631">
        <f t="shared" ca="1" si="5"/>
        <v>0</v>
      </c>
      <c r="R15">
        <v>25</v>
      </c>
    </row>
    <row r="16" spans="1:18" ht="19.5" customHeight="1" thickBot="1" x14ac:dyDescent="0.3">
      <c r="A16">
        <v>21</v>
      </c>
      <c r="B16" s="673" t="str">
        <f t="shared" si="0"/>
        <v>DIV6</v>
      </c>
      <c r="C16" s="670">
        <f t="shared" ca="1" si="1"/>
        <v>0</v>
      </c>
      <c r="D16" s="670">
        <f t="shared" ca="1" si="2"/>
        <v>0</v>
      </c>
      <c r="E16" s="670">
        <f t="shared" ca="1" si="3"/>
        <v>0</v>
      </c>
      <c r="F16" s="77">
        <f ca="1">INDIRECT("'"&amp;$B16&amp;"'!b38")</f>
        <v>0</v>
      </c>
      <c r="G16" s="671">
        <f ca="1">INDIRECT("'"&amp;$B16&amp;"'!d38")</f>
        <v>0</v>
      </c>
      <c r="H16" s="672">
        <f ca="1">INDIRECT("'"&amp;$B16&amp;"'!e38")</f>
        <v>0</v>
      </c>
      <c r="I16" s="77">
        <f ca="1">INDIRECT("'"&amp;$B16&amp;"'!f38")</f>
        <v>0</v>
      </c>
      <c r="J16" s="77">
        <f ca="1">INDIRECT("'"&amp;$B16&amp;"'!g38")</f>
        <v>0</v>
      </c>
      <c r="K16" s="77">
        <f ca="1">INDIRECT("'"&amp;$B16&amp;"'!i38")</f>
        <v>0</v>
      </c>
      <c r="L16" s="338">
        <f ca="1">INDIRECT("'"&amp;$B16&amp;"'!j38")</f>
        <v>0</v>
      </c>
      <c r="M16" s="338">
        <f ca="1">INDIRECT("'"&amp;$B16&amp;"'!k38")</f>
        <v>0</v>
      </c>
      <c r="N16" s="671">
        <f t="shared" ca="1" si="4"/>
        <v>0</v>
      </c>
      <c r="O16" s="631">
        <f t="shared" ca="1" si="5"/>
        <v>0</v>
      </c>
      <c r="R16">
        <v>26</v>
      </c>
    </row>
    <row r="17" spans="1:18" ht="19.5" customHeight="1" thickBot="1" x14ac:dyDescent="0.3">
      <c r="A17">
        <v>22</v>
      </c>
      <c r="B17" s="673" t="str">
        <f t="shared" si="0"/>
        <v>RAttard</v>
      </c>
      <c r="C17" s="670">
        <f t="shared" ca="1" si="1"/>
        <v>0</v>
      </c>
      <c r="D17" s="670">
        <f t="shared" ca="1" si="2"/>
        <v>0</v>
      </c>
      <c r="E17" s="670">
        <f t="shared" ca="1" si="3"/>
        <v>0</v>
      </c>
      <c r="F17" s="77" t="str">
        <f ca="1">INDIRECT("'"&amp;$B17&amp;"'!b36")</f>
        <v>€</v>
      </c>
      <c r="G17" s="671">
        <f ca="1">INDIRECT("'"&amp;$B17&amp;"'!d36")</f>
        <v>0</v>
      </c>
      <c r="H17" s="672" t="str">
        <f ca="1">INDIRECT("'"&amp;$B17&amp;"'!e36")</f>
        <v>Category</v>
      </c>
      <c r="I17" s="77" t="str">
        <f ca="1">INDIRECT("'"&amp;$B17&amp;"'!f36")</f>
        <v>Payee</v>
      </c>
      <c r="J17" s="77" t="str">
        <f ca="1">INDIRECT("'"&amp;$B17&amp;"'!g36")</f>
        <v>Payer</v>
      </c>
      <c r="K17" s="77" t="str">
        <f ca="1">INDIRECT("'"&amp;$B17&amp;"'!i36")</f>
        <v>Payee</v>
      </c>
      <c r="L17" s="338" t="str">
        <f ca="1">INDIRECT("'"&amp;$B17&amp;"'!j36")</f>
        <v>From</v>
      </c>
      <c r="M17" s="338" t="str">
        <f ca="1">INDIRECT("'"&amp;$B17&amp;"'!k36")</f>
        <v>To</v>
      </c>
      <c r="N17" s="671" t="str">
        <f t="shared" ca="1" si="4"/>
        <v>Number</v>
      </c>
      <c r="O17" s="631">
        <f t="shared" ca="1" si="5"/>
        <v>0</v>
      </c>
      <c r="R17">
        <v>27</v>
      </c>
    </row>
    <row r="18" spans="1:18" ht="19.5" customHeight="1" thickBot="1" x14ac:dyDescent="0.3">
      <c r="A18">
        <v>22</v>
      </c>
      <c r="B18" s="673" t="str">
        <f t="shared" si="0"/>
        <v>RAttard</v>
      </c>
      <c r="C18" s="670">
        <f t="shared" ca="1" si="1"/>
        <v>0</v>
      </c>
      <c r="D18" s="670">
        <f t="shared" ca="1" si="2"/>
        <v>0</v>
      </c>
      <c r="E18" s="670">
        <f t="shared" ca="1" si="3"/>
        <v>0</v>
      </c>
      <c r="F18" s="77">
        <f ca="1">INDIRECT("'"&amp;$B18&amp;"'!b37")</f>
        <v>0</v>
      </c>
      <c r="G18" s="671">
        <f ca="1">INDIRECT("'"&amp;$B18&amp;"'!d37")</f>
        <v>0</v>
      </c>
      <c r="H18" s="672" t="str">
        <f ca="1">INDIRECT("'"&amp;$B18&amp;"'!e37")</f>
        <v xml:space="preserve"> </v>
      </c>
      <c r="I18" s="77">
        <f ca="1">INDIRECT("'"&amp;$B18&amp;"'!f37")</f>
        <v>0</v>
      </c>
      <c r="J18" s="77">
        <f ca="1">INDIRECT("'"&amp;$B18&amp;"'!g37")</f>
        <v>0</v>
      </c>
      <c r="K18" s="77">
        <f ca="1">INDIRECT("'"&amp;$B18&amp;"'!i37")</f>
        <v>0</v>
      </c>
      <c r="L18" s="338">
        <f ca="1">INDIRECT("'"&amp;$B18&amp;"'!j37")</f>
        <v>0</v>
      </c>
      <c r="M18" s="338">
        <f ca="1">INDIRECT("'"&amp;$B18&amp;"'!k37")</f>
        <v>0</v>
      </c>
      <c r="N18" s="671" t="str">
        <f t="shared" ca="1" si="4"/>
        <v>Number</v>
      </c>
      <c r="O18" s="631">
        <f t="shared" ca="1" si="5"/>
        <v>0</v>
      </c>
      <c r="R18">
        <v>28</v>
      </c>
    </row>
    <row r="19" spans="1:18" ht="19.5" customHeight="1" thickBot="1" x14ac:dyDescent="0.3">
      <c r="A19">
        <v>22</v>
      </c>
      <c r="B19" s="673" t="str">
        <f t="shared" si="0"/>
        <v>RAttard</v>
      </c>
      <c r="C19" s="670">
        <f t="shared" ca="1" si="1"/>
        <v>0</v>
      </c>
      <c r="D19" s="670">
        <f t="shared" ca="1" si="2"/>
        <v>0</v>
      </c>
      <c r="E19" s="670">
        <f t="shared" ca="1" si="3"/>
        <v>0</v>
      </c>
      <c r="F19" s="77">
        <f ca="1">INDIRECT("'"&amp;$B19&amp;"'!b38")</f>
        <v>0</v>
      </c>
      <c r="G19" s="671">
        <f ca="1">INDIRECT("'"&amp;$B19&amp;"'!d38")</f>
        <v>0</v>
      </c>
      <c r="H19" s="672" t="str">
        <f ca="1">INDIRECT("'"&amp;$B19&amp;"'!e38")</f>
        <v xml:space="preserve"> </v>
      </c>
      <c r="I19" s="77">
        <f ca="1">INDIRECT("'"&amp;$B19&amp;"'!f38")</f>
        <v>0</v>
      </c>
      <c r="J19" s="77">
        <f ca="1">INDIRECT("'"&amp;$B19&amp;"'!g38")</f>
        <v>0</v>
      </c>
      <c r="K19" s="77">
        <f ca="1">INDIRECT("'"&amp;$B19&amp;"'!i38")</f>
        <v>0</v>
      </c>
      <c r="L19" s="338">
        <f ca="1">INDIRECT("'"&amp;$B19&amp;"'!j38")</f>
        <v>0</v>
      </c>
      <c r="M19" s="338">
        <f ca="1">INDIRECT("'"&amp;$B19&amp;"'!k38")</f>
        <v>0</v>
      </c>
      <c r="N19" s="671" t="str">
        <f t="shared" ca="1" si="4"/>
        <v>Number</v>
      </c>
      <c r="O19" s="631">
        <f t="shared" ca="1" si="5"/>
        <v>0</v>
      </c>
      <c r="R19">
        <v>29</v>
      </c>
    </row>
    <row r="20" spans="1:18" ht="19.5" customHeight="1" thickBot="1" x14ac:dyDescent="0.3">
      <c r="A20">
        <v>23</v>
      </c>
      <c r="B20" s="673" t="str">
        <f t="shared" si="0"/>
        <v>SPare (2)</v>
      </c>
      <c r="C20" s="670" t="e">
        <f t="shared" ca="1" si="1"/>
        <v>#REF!</v>
      </c>
      <c r="D20" s="670" t="e">
        <f t="shared" ca="1" si="2"/>
        <v>#REF!</v>
      </c>
      <c r="E20" s="670" t="e">
        <f t="shared" ca="1" si="3"/>
        <v>#REF!</v>
      </c>
      <c r="F20" s="77" t="e">
        <f ca="1">INDIRECT("'"&amp;$B20&amp;"'!b36")</f>
        <v>#REF!</v>
      </c>
      <c r="G20" s="671" t="e">
        <f ca="1">INDIRECT("'"&amp;$B20&amp;"'!d36")</f>
        <v>#REF!</v>
      </c>
      <c r="H20" s="672" t="e">
        <f ca="1">INDIRECT("'"&amp;$B20&amp;"'!e36")</f>
        <v>#REF!</v>
      </c>
      <c r="I20" s="77" t="e">
        <f ca="1">INDIRECT("'"&amp;$B20&amp;"'!f36")</f>
        <v>#REF!</v>
      </c>
      <c r="J20" s="77" t="e">
        <f ca="1">INDIRECT("'"&amp;$B20&amp;"'!g36")</f>
        <v>#REF!</v>
      </c>
      <c r="K20" s="77" t="e">
        <f ca="1">INDIRECT("'"&amp;$B20&amp;"'!i36")</f>
        <v>#REF!</v>
      </c>
      <c r="L20" s="338" t="e">
        <f ca="1">INDIRECT("'"&amp;$B20&amp;"'!j36")</f>
        <v>#REF!</v>
      </c>
      <c r="M20" s="338" t="e">
        <f ca="1">INDIRECT("'"&amp;$B20&amp;"'!k36")</f>
        <v>#REF!</v>
      </c>
      <c r="N20" s="671" t="e">
        <f t="shared" ca="1" si="4"/>
        <v>#REF!</v>
      </c>
      <c r="O20" s="631" t="e">
        <f t="shared" ca="1" si="5"/>
        <v>#REF!</v>
      </c>
      <c r="R20">
        <v>30</v>
      </c>
    </row>
    <row r="21" spans="1:18" ht="19.5" customHeight="1" thickBot="1" x14ac:dyDescent="0.3">
      <c r="A21">
        <v>23</v>
      </c>
      <c r="B21" s="673" t="str">
        <f t="shared" si="0"/>
        <v>SPare (2)</v>
      </c>
      <c r="C21" s="670" t="e">
        <f t="shared" ca="1" si="1"/>
        <v>#REF!</v>
      </c>
      <c r="D21" s="670" t="e">
        <f t="shared" ca="1" si="2"/>
        <v>#REF!</v>
      </c>
      <c r="E21" s="670" t="e">
        <f t="shared" ca="1" si="3"/>
        <v>#REF!</v>
      </c>
      <c r="F21" s="77" t="e">
        <f ca="1">INDIRECT("'"&amp;$B21&amp;"'!b37")</f>
        <v>#REF!</v>
      </c>
      <c r="G21" s="671" t="e">
        <f ca="1">INDIRECT("'"&amp;$B21&amp;"'!d37")</f>
        <v>#REF!</v>
      </c>
      <c r="H21" s="672" t="e">
        <f ca="1">INDIRECT("'"&amp;$B21&amp;"'!e37")</f>
        <v>#REF!</v>
      </c>
      <c r="I21" s="77" t="e">
        <f ca="1">INDIRECT("'"&amp;$B21&amp;"'!f37")</f>
        <v>#REF!</v>
      </c>
      <c r="J21" s="77" t="e">
        <f ca="1">INDIRECT("'"&amp;$B21&amp;"'!g37")</f>
        <v>#REF!</v>
      </c>
      <c r="K21" s="77" t="e">
        <f ca="1">INDIRECT("'"&amp;$B21&amp;"'!i37")</f>
        <v>#REF!</v>
      </c>
      <c r="L21" s="338" t="e">
        <f ca="1">INDIRECT("'"&amp;$B21&amp;"'!j37")</f>
        <v>#REF!</v>
      </c>
      <c r="M21" s="338" t="e">
        <f ca="1">INDIRECT("'"&amp;$B21&amp;"'!k37")</f>
        <v>#REF!</v>
      </c>
      <c r="N21" s="671" t="e">
        <f t="shared" ca="1" si="4"/>
        <v>#REF!</v>
      </c>
      <c r="O21" s="631" t="e">
        <f t="shared" ca="1" si="5"/>
        <v>#REF!</v>
      </c>
      <c r="R21">
        <v>31</v>
      </c>
    </row>
    <row r="22" spans="1:18" ht="19.5" customHeight="1" thickBot="1" x14ac:dyDescent="0.3">
      <c r="A22">
        <v>23</v>
      </c>
      <c r="B22" s="673" t="str">
        <f t="shared" si="0"/>
        <v>SPare (2)</v>
      </c>
      <c r="C22" s="670" t="e">
        <f t="shared" ca="1" si="1"/>
        <v>#REF!</v>
      </c>
      <c r="D22" s="670" t="e">
        <f t="shared" ca="1" si="2"/>
        <v>#REF!</v>
      </c>
      <c r="E22" s="670" t="e">
        <f t="shared" ca="1" si="3"/>
        <v>#REF!</v>
      </c>
      <c r="F22" s="77" t="e">
        <f ca="1">INDIRECT("'"&amp;$B22&amp;"'!b38")</f>
        <v>#REF!</v>
      </c>
      <c r="G22" s="671" t="e">
        <f ca="1">INDIRECT("'"&amp;$B22&amp;"'!d38")</f>
        <v>#REF!</v>
      </c>
      <c r="H22" s="672" t="e">
        <f ca="1">INDIRECT("'"&amp;$B22&amp;"'!e38")</f>
        <v>#REF!</v>
      </c>
      <c r="I22" s="77" t="e">
        <f ca="1">INDIRECT("'"&amp;$B22&amp;"'!f38")</f>
        <v>#REF!</v>
      </c>
      <c r="J22" s="77" t="e">
        <f ca="1">INDIRECT("'"&amp;$B22&amp;"'!g38")</f>
        <v>#REF!</v>
      </c>
      <c r="K22" s="77" t="e">
        <f ca="1">INDIRECT("'"&amp;$B22&amp;"'!i38")</f>
        <v>#REF!</v>
      </c>
      <c r="L22" s="338" t="e">
        <f ca="1">INDIRECT("'"&amp;$B22&amp;"'!j38")</f>
        <v>#REF!</v>
      </c>
      <c r="M22" s="338" t="e">
        <f ca="1">INDIRECT("'"&amp;$B22&amp;"'!k38")</f>
        <v>#REF!</v>
      </c>
      <c r="N22" s="671" t="e">
        <f t="shared" ca="1" si="4"/>
        <v>#REF!</v>
      </c>
      <c r="O22" s="631" t="e">
        <f t="shared" ca="1" si="5"/>
        <v>#REF!</v>
      </c>
      <c r="R22">
        <v>32</v>
      </c>
    </row>
    <row r="23" spans="1:18" ht="19.5" customHeight="1" thickBot="1" x14ac:dyDescent="0.3">
      <c r="A23">
        <v>24</v>
      </c>
      <c r="B23" s="673" t="str">
        <f t="shared" si="0"/>
        <v>DIV7</v>
      </c>
      <c r="C23" s="670">
        <f t="shared" ca="1" si="1"/>
        <v>0</v>
      </c>
      <c r="D23" s="670">
        <f t="shared" ca="1" si="2"/>
        <v>0</v>
      </c>
      <c r="E23" s="670">
        <f t="shared" ca="1" si="3"/>
        <v>0</v>
      </c>
      <c r="F23" s="77">
        <f ca="1">INDIRECT("'"&amp;$B23&amp;"'!b36")</f>
        <v>0</v>
      </c>
      <c r="G23" s="671">
        <f ca="1">INDIRECT("'"&amp;$B23&amp;"'!d36")</f>
        <v>0</v>
      </c>
      <c r="H23" s="672">
        <f ca="1">INDIRECT("'"&amp;$B23&amp;"'!e36")</f>
        <v>0</v>
      </c>
      <c r="I23" s="77">
        <f ca="1">INDIRECT("'"&amp;$B23&amp;"'!f36")</f>
        <v>0</v>
      </c>
      <c r="J23" s="77">
        <f ca="1">INDIRECT("'"&amp;$B23&amp;"'!g36")</f>
        <v>0</v>
      </c>
      <c r="K23" s="77">
        <f ca="1">INDIRECT("'"&amp;$B23&amp;"'!i36")</f>
        <v>0</v>
      </c>
      <c r="L23" s="338">
        <f ca="1">INDIRECT("'"&amp;$B23&amp;"'!j36")</f>
        <v>0</v>
      </c>
      <c r="M23" s="338">
        <f ca="1">INDIRECT("'"&amp;$B23&amp;"'!k36")</f>
        <v>0</v>
      </c>
      <c r="N23" s="671">
        <f t="shared" ca="1" si="4"/>
        <v>0</v>
      </c>
      <c r="O23" s="631">
        <f t="shared" ca="1" si="5"/>
        <v>0</v>
      </c>
      <c r="R23">
        <v>33</v>
      </c>
    </row>
    <row r="24" spans="1:18" ht="19.5" customHeight="1" thickBot="1" x14ac:dyDescent="0.3">
      <c r="A24">
        <v>24</v>
      </c>
      <c r="B24" s="673" t="str">
        <f t="shared" si="0"/>
        <v>DIV7</v>
      </c>
      <c r="C24" s="670">
        <f t="shared" ca="1" si="1"/>
        <v>0</v>
      </c>
      <c r="D24" s="670">
        <f t="shared" ca="1" si="2"/>
        <v>0</v>
      </c>
      <c r="E24" s="670">
        <f t="shared" ca="1" si="3"/>
        <v>0</v>
      </c>
      <c r="F24" s="77">
        <f ca="1">INDIRECT("'"&amp;$B24&amp;"'!b37")</f>
        <v>0</v>
      </c>
      <c r="G24" s="671">
        <f ca="1">INDIRECT("'"&amp;$B24&amp;"'!d37")</f>
        <v>0</v>
      </c>
      <c r="H24" s="672">
        <f ca="1">INDIRECT("'"&amp;$B24&amp;"'!e37")</f>
        <v>0</v>
      </c>
      <c r="I24" s="77">
        <f ca="1">INDIRECT("'"&amp;$B24&amp;"'!f37")</f>
        <v>0</v>
      </c>
      <c r="J24" s="77">
        <f ca="1">INDIRECT("'"&amp;$B24&amp;"'!g37")</f>
        <v>0</v>
      </c>
      <c r="K24" s="77">
        <f ca="1">INDIRECT("'"&amp;$B24&amp;"'!i37")</f>
        <v>0</v>
      </c>
      <c r="L24" s="338">
        <f ca="1">INDIRECT("'"&amp;$B24&amp;"'!j37")</f>
        <v>0</v>
      </c>
      <c r="M24" s="338">
        <f ca="1">INDIRECT("'"&amp;$B24&amp;"'!k37")</f>
        <v>0</v>
      </c>
      <c r="N24" s="671">
        <f t="shared" ca="1" si="4"/>
        <v>0</v>
      </c>
      <c r="O24" s="631">
        <f t="shared" ca="1" si="5"/>
        <v>0</v>
      </c>
      <c r="R24">
        <v>34</v>
      </c>
    </row>
    <row r="25" spans="1:18" ht="19.5" customHeight="1" thickBot="1" x14ac:dyDescent="0.3">
      <c r="A25">
        <v>24</v>
      </c>
      <c r="B25" s="673" t="str">
        <f t="shared" si="0"/>
        <v>DIV7</v>
      </c>
      <c r="C25" s="670">
        <f t="shared" ca="1" si="1"/>
        <v>0</v>
      </c>
      <c r="D25" s="670">
        <f t="shared" ca="1" si="2"/>
        <v>0</v>
      </c>
      <c r="E25" s="670">
        <f t="shared" ca="1" si="3"/>
        <v>0</v>
      </c>
      <c r="F25" s="77">
        <f ca="1">INDIRECT("'"&amp;$B25&amp;"'!b38")</f>
        <v>0</v>
      </c>
      <c r="G25" s="671">
        <f ca="1">INDIRECT("'"&amp;$B25&amp;"'!d38")</f>
        <v>0</v>
      </c>
      <c r="H25" s="672">
        <f ca="1">INDIRECT("'"&amp;$B25&amp;"'!e38")</f>
        <v>0</v>
      </c>
      <c r="I25" s="77">
        <f ca="1">INDIRECT("'"&amp;$B25&amp;"'!f38")</f>
        <v>0</v>
      </c>
      <c r="J25" s="77">
        <f ca="1">INDIRECT("'"&amp;$B25&amp;"'!g38")</f>
        <v>0</v>
      </c>
      <c r="K25" s="77">
        <f ca="1">INDIRECT("'"&amp;$B25&amp;"'!i38")</f>
        <v>0</v>
      </c>
      <c r="L25" s="338">
        <f ca="1">INDIRECT("'"&amp;$B25&amp;"'!j38")</f>
        <v>0</v>
      </c>
      <c r="M25" s="338">
        <f ca="1">INDIRECT("'"&amp;$B25&amp;"'!k38")</f>
        <v>0</v>
      </c>
      <c r="N25" s="671">
        <f t="shared" ca="1" si="4"/>
        <v>0</v>
      </c>
      <c r="O25" s="631">
        <f t="shared" ca="1" si="5"/>
        <v>0</v>
      </c>
      <c r="R25">
        <v>35</v>
      </c>
    </row>
    <row r="26" spans="1:18" ht="19.5" customHeight="1" thickBot="1" x14ac:dyDescent="0.3">
      <c r="A26">
        <v>25</v>
      </c>
      <c r="B26" s="673" t="str">
        <f t="shared" si="0"/>
        <v>RAcharya</v>
      </c>
      <c r="C26" s="670">
        <f t="shared" ca="1" si="1"/>
        <v>0</v>
      </c>
      <c r="D26" s="670">
        <f t="shared" ca="1" si="2"/>
        <v>0</v>
      </c>
      <c r="E26" s="670">
        <f t="shared" ca="1" si="3"/>
        <v>0</v>
      </c>
      <c r="F26" s="77" t="str">
        <f ca="1">INDIRECT("'"&amp;$B26&amp;"'!b36")</f>
        <v>€</v>
      </c>
      <c r="G26" s="671">
        <f ca="1">INDIRECT("'"&amp;$B26&amp;"'!d36")</f>
        <v>0</v>
      </c>
      <c r="H26" s="672" t="str">
        <f ca="1">INDIRECT("'"&amp;$B26&amp;"'!e36")</f>
        <v>Category</v>
      </c>
      <c r="I26" s="77" t="str">
        <f ca="1">INDIRECT("'"&amp;$B26&amp;"'!f36")</f>
        <v>Payee</v>
      </c>
      <c r="J26" s="77" t="str">
        <f ca="1">INDIRECT("'"&amp;$B26&amp;"'!g36")</f>
        <v>Payer</v>
      </c>
      <c r="K26" s="77" t="str">
        <f ca="1">INDIRECT("'"&amp;$B26&amp;"'!i36")</f>
        <v>Payee</v>
      </c>
      <c r="L26" s="338" t="str">
        <f ca="1">INDIRECT("'"&amp;$B26&amp;"'!j36")</f>
        <v>From</v>
      </c>
      <c r="M26" s="338" t="str">
        <f ca="1">INDIRECT("'"&amp;$B26&amp;"'!k36")</f>
        <v>To</v>
      </c>
      <c r="N26" s="671" t="str">
        <f t="shared" ca="1" si="4"/>
        <v>Number</v>
      </c>
      <c r="O26" s="631">
        <f t="shared" ca="1" si="5"/>
        <v>0</v>
      </c>
      <c r="R26">
        <v>36</v>
      </c>
    </row>
    <row r="27" spans="1:18" ht="19.5" customHeight="1" thickBot="1" x14ac:dyDescent="0.3">
      <c r="A27">
        <v>25</v>
      </c>
      <c r="B27" s="673" t="str">
        <f t="shared" si="0"/>
        <v>RAcharya</v>
      </c>
      <c r="C27" s="670">
        <f t="shared" ca="1" si="1"/>
        <v>0</v>
      </c>
      <c r="D27" s="670">
        <f t="shared" ca="1" si="2"/>
        <v>0</v>
      </c>
      <c r="E27" s="670">
        <f t="shared" ca="1" si="3"/>
        <v>0</v>
      </c>
      <c r="F27" s="77">
        <f ca="1">INDIRECT("'"&amp;$B27&amp;"'!b37")</f>
        <v>0</v>
      </c>
      <c r="G27" s="671">
        <f ca="1">INDIRECT("'"&amp;$B27&amp;"'!d37")</f>
        <v>0</v>
      </c>
      <c r="H27" s="672" t="str">
        <f ca="1">INDIRECT("'"&amp;$B27&amp;"'!e37")</f>
        <v xml:space="preserve"> </v>
      </c>
      <c r="I27" s="77">
        <f ca="1">INDIRECT("'"&amp;$B27&amp;"'!f37")</f>
        <v>0</v>
      </c>
      <c r="J27" s="77">
        <f ca="1">INDIRECT("'"&amp;$B27&amp;"'!g37")</f>
        <v>0</v>
      </c>
      <c r="K27" s="77">
        <f ca="1">INDIRECT("'"&amp;$B27&amp;"'!i37")</f>
        <v>0</v>
      </c>
      <c r="L27" s="338">
        <f ca="1">INDIRECT("'"&amp;$B27&amp;"'!j37")</f>
        <v>0</v>
      </c>
      <c r="M27" s="338">
        <f ca="1">INDIRECT("'"&amp;$B27&amp;"'!k37")</f>
        <v>0</v>
      </c>
      <c r="N27" s="671" t="str">
        <f t="shared" ca="1" si="4"/>
        <v>Number</v>
      </c>
      <c r="O27" s="631">
        <f t="shared" ca="1" si="5"/>
        <v>0</v>
      </c>
      <c r="R27">
        <v>37</v>
      </c>
    </row>
    <row r="28" spans="1:18" ht="19.5" customHeight="1" thickBot="1" x14ac:dyDescent="0.3">
      <c r="A28">
        <v>25</v>
      </c>
      <c r="B28" s="673" t="str">
        <f t="shared" si="0"/>
        <v>RAcharya</v>
      </c>
      <c r="C28" s="670">
        <f t="shared" ca="1" si="1"/>
        <v>0</v>
      </c>
      <c r="D28" s="670">
        <f t="shared" ca="1" si="2"/>
        <v>0</v>
      </c>
      <c r="E28" s="670">
        <f t="shared" ca="1" si="3"/>
        <v>0</v>
      </c>
      <c r="F28" s="77">
        <f ca="1">INDIRECT("'"&amp;$B28&amp;"'!b38")</f>
        <v>0</v>
      </c>
      <c r="G28" s="671">
        <f ca="1">INDIRECT("'"&amp;$B28&amp;"'!d38")</f>
        <v>0</v>
      </c>
      <c r="H28" s="672" t="str">
        <f ca="1">INDIRECT("'"&amp;$B28&amp;"'!e38")</f>
        <v xml:space="preserve"> </v>
      </c>
      <c r="I28" s="77">
        <f ca="1">INDIRECT("'"&amp;$B28&amp;"'!f38")</f>
        <v>0</v>
      </c>
      <c r="J28" s="77">
        <f ca="1">INDIRECT("'"&amp;$B28&amp;"'!g38")</f>
        <v>0</v>
      </c>
      <c r="K28" s="77">
        <f ca="1">INDIRECT("'"&amp;$B28&amp;"'!i38")</f>
        <v>0</v>
      </c>
      <c r="L28" s="338">
        <f ca="1">INDIRECT("'"&amp;$B28&amp;"'!j38")</f>
        <v>0</v>
      </c>
      <c r="M28" s="338">
        <f ca="1">INDIRECT("'"&amp;$B28&amp;"'!k38")</f>
        <v>0</v>
      </c>
      <c r="N28" s="671" t="str">
        <f t="shared" ca="1" si="4"/>
        <v>Number</v>
      </c>
      <c r="O28" s="631">
        <f t="shared" ca="1" si="5"/>
        <v>0</v>
      </c>
    </row>
    <row r="29" spans="1:18" ht="19.5" customHeight="1" thickBot="1" x14ac:dyDescent="0.3">
      <c r="A29">
        <v>26</v>
      </c>
      <c r="B29" s="673" t="str">
        <f t="shared" si="0"/>
        <v>DIV8</v>
      </c>
      <c r="C29" s="670">
        <f t="shared" ca="1" si="1"/>
        <v>0</v>
      </c>
      <c r="D29" s="670">
        <f t="shared" ca="1" si="2"/>
        <v>0</v>
      </c>
      <c r="E29" s="670">
        <f t="shared" ca="1" si="3"/>
        <v>0</v>
      </c>
      <c r="F29" s="77">
        <f ca="1">INDIRECT("'"&amp;$B29&amp;"'!b36")</f>
        <v>0</v>
      </c>
      <c r="G29" s="671">
        <f ca="1">INDIRECT("'"&amp;$B29&amp;"'!d36")</f>
        <v>0</v>
      </c>
      <c r="H29" s="672">
        <f ca="1">INDIRECT("'"&amp;$B29&amp;"'!e36")</f>
        <v>0</v>
      </c>
      <c r="I29" s="77">
        <f ca="1">INDIRECT("'"&amp;$B29&amp;"'!f36")</f>
        <v>0</v>
      </c>
      <c r="J29" s="77">
        <f ca="1">INDIRECT("'"&amp;$B29&amp;"'!g36")</f>
        <v>0</v>
      </c>
      <c r="K29" s="77">
        <f ca="1">INDIRECT("'"&amp;$B29&amp;"'!i36")</f>
        <v>0</v>
      </c>
      <c r="L29" s="338">
        <f ca="1">INDIRECT("'"&amp;$B29&amp;"'!j36")</f>
        <v>0</v>
      </c>
      <c r="M29" s="338">
        <f ca="1">INDIRECT("'"&amp;$B29&amp;"'!k36")</f>
        <v>0</v>
      </c>
      <c r="N29" s="671">
        <f t="shared" ca="1" si="4"/>
        <v>0</v>
      </c>
      <c r="O29" s="631">
        <f t="shared" ca="1" si="5"/>
        <v>0</v>
      </c>
      <c r="R29">
        <v>41</v>
      </c>
    </row>
    <row r="30" spans="1:18" ht="19.5" customHeight="1" thickBot="1" x14ac:dyDescent="0.3">
      <c r="A30">
        <v>26</v>
      </c>
      <c r="B30" s="673" t="str">
        <f t="shared" si="0"/>
        <v>DIV8</v>
      </c>
      <c r="C30" s="670">
        <f t="shared" ca="1" si="1"/>
        <v>0</v>
      </c>
      <c r="D30" s="670">
        <f t="shared" ca="1" si="2"/>
        <v>0</v>
      </c>
      <c r="E30" s="670">
        <f t="shared" ca="1" si="3"/>
        <v>0</v>
      </c>
      <c r="F30" s="77">
        <f ca="1">INDIRECT("'"&amp;$B30&amp;"'!b37")</f>
        <v>0</v>
      </c>
      <c r="G30" s="671">
        <f ca="1">INDIRECT("'"&amp;$B30&amp;"'!d37")</f>
        <v>0</v>
      </c>
      <c r="H30" s="672">
        <f ca="1">INDIRECT("'"&amp;$B30&amp;"'!e37")</f>
        <v>0</v>
      </c>
      <c r="I30" s="77">
        <f ca="1">INDIRECT("'"&amp;$B30&amp;"'!f37")</f>
        <v>0</v>
      </c>
      <c r="J30" s="77">
        <f ca="1">INDIRECT("'"&amp;$B30&amp;"'!g37")</f>
        <v>0</v>
      </c>
      <c r="K30" s="77">
        <f ca="1">INDIRECT("'"&amp;$B30&amp;"'!i37")</f>
        <v>0</v>
      </c>
      <c r="L30" s="338">
        <f ca="1">INDIRECT("'"&amp;$B30&amp;"'!j37")</f>
        <v>0</v>
      </c>
      <c r="M30" s="338">
        <f ca="1">INDIRECT("'"&amp;$B30&amp;"'!k37")</f>
        <v>0</v>
      </c>
      <c r="N30" s="671">
        <f t="shared" ca="1" si="4"/>
        <v>0</v>
      </c>
      <c r="O30" s="631">
        <f t="shared" ca="1" si="5"/>
        <v>0</v>
      </c>
    </row>
    <row r="31" spans="1:18" ht="19.5" customHeight="1" thickBot="1" x14ac:dyDescent="0.3">
      <c r="A31">
        <v>26</v>
      </c>
      <c r="B31" s="673" t="str">
        <f t="shared" si="0"/>
        <v>DIV8</v>
      </c>
      <c r="C31" s="670">
        <f t="shared" ca="1" si="1"/>
        <v>0</v>
      </c>
      <c r="D31" s="670">
        <f t="shared" ca="1" si="2"/>
        <v>0</v>
      </c>
      <c r="E31" s="670">
        <f t="shared" ca="1" si="3"/>
        <v>0</v>
      </c>
      <c r="F31" s="77">
        <f ca="1">INDIRECT("'"&amp;$B31&amp;"'!b38")</f>
        <v>0</v>
      </c>
      <c r="G31" s="671">
        <f ca="1">INDIRECT("'"&amp;$B31&amp;"'!d38")</f>
        <v>0</v>
      </c>
      <c r="H31" s="672">
        <f ca="1">INDIRECT("'"&amp;$B31&amp;"'!e38")</f>
        <v>0</v>
      </c>
      <c r="I31" s="77">
        <f ca="1">INDIRECT("'"&amp;$B31&amp;"'!f38")</f>
        <v>0</v>
      </c>
      <c r="J31" s="77">
        <f ca="1">INDIRECT("'"&amp;$B31&amp;"'!g38")</f>
        <v>0</v>
      </c>
      <c r="K31" s="77">
        <f ca="1">INDIRECT("'"&amp;$B31&amp;"'!i38")</f>
        <v>0</v>
      </c>
      <c r="L31" s="338">
        <f ca="1">INDIRECT("'"&amp;$B31&amp;"'!j38")</f>
        <v>0</v>
      </c>
      <c r="M31" s="338">
        <f ca="1">INDIRECT("'"&amp;$B31&amp;"'!k38")</f>
        <v>0</v>
      </c>
      <c r="N31" s="671">
        <f t="shared" ca="1" si="4"/>
        <v>0</v>
      </c>
      <c r="O31" s="631">
        <f t="shared" ca="1" si="5"/>
        <v>0</v>
      </c>
    </row>
    <row r="32" spans="1:18" ht="19.5" customHeight="1" thickBot="1" x14ac:dyDescent="0.3">
      <c r="A32">
        <v>27</v>
      </c>
      <c r="B32" s="673" t="str">
        <f t="shared" si="0"/>
        <v>FTBLANKE</v>
      </c>
      <c r="C32" s="670">
        <f t="shared" ca="1" si="1"/>
        <v>0</v>
      </c>
      <c r="D32" s="670">
        <f t="shared" ca="1" si="2"/>
        <v>0</v>
      </c>
      <c r="E32" s="670">
        <f t="shared" ca="1" si="3"/>
        <v>0</v>
      </c>
      <c r="F32" s="77">
        <f ca="1">INDIRECT("'"&amp;$B32&amp;"'!b36")</f>
        <v>0</v>
      </c>
      <c r="G32" s="671">
        <f ca="1">INDIRECT("'"&amp;$B32&amp;"'!d36")</f>
        <v>0</v>
      </c>
      <c r="H32" s="672">
        <f ca="1">INDIRECT("'"&amp;$B32&amp;"'!e36")</f>
        <v>0</v>
      </c>
      <c r="I32" s="77">
        <f ca="1">INDIRECT("'"&amp;$B32&amp;"'!f36")</f>
        <v>0</v>
      </c>
      <c r="J32" s="77">
        <f ca="1">INDIRECT("'"&amp;$B32&amp;"'!g36")</f>
        <v>0</v>
      </c>
      <c r="K32" s="77">
        <f ca="1">INDIRECT("'"&amp;$B32&amp;"'!i36")</f>
        <v>0</v>
      </c>
      <c r="L32" s="338">
        <f ca="1">INDIRECT("'"&amp;$B32&amp;"'!j36")</f>
        <v>0</v>
      </c>
      <c r="M32" s="338">
        <f ca="1">INDIRECT("'"&amp;$B32&amp;"'!k36")</f>
        <v>0</v>
      </c>
      <c r="N32" s="671">
        <f t="shared" ca="1" si="4"/>
        <v>0</v>
      </c>
      <c r="O32" s="631">
        <f t="shared" ca="1" si="5"/>
        <v>0</v>
      </c>
    </row>
    <row r="33" spans="1:15" ht="19.5" customHeight="1" thickBot="1" x14ac:dyDescent="0.3">
      <c r="A33">
        <v>27</v>
      </c>
      <c r="B33" s="673" t="str">
        <f t="shared" si="0"/>
        <v>FTBLANKE</v>
      </c>
      <c r="C33" s="670">
        <f t="shared" ca="1" si="1"/>
        <v>0</v>
      </c>
      <c r="D33" s="670">
        <f t="shared" ca="1" si="2"/>
        <v>0</v>
      </c>
      <c r="E33" s="670">
        <f t="shared" ca="1" si="3"/>
        <v>0</v>
      </c>
      <c r="F33" s="77">
        <f ca="1">INDIRECT("'"&amp;$B33&amp;"'!b37")</f>
        <v>0</v>
      </c>
      <c r="G33" s="671">
        <f ca="1">INDIRECT("'"&amp;$B33&amp;"'!d37")</f>
        <v>0</v>
      </c>
      <c r="H33" s="672">
        <f ca="1">INDIRECT("'"&amp;$B33&amp;"'!e37")</f>
        <v>0</v>
      </c>
      <c r="I33" s="77">
        <f ca="1">INDIRECT("'"&amp;$B33&amp;"'!f37")</f>
        <v>0</v>
      </c>
      <c r="J33" s="77">
        <f ca="1">INDIRECT("'"&amp;$B33&amp;"'!g37")</f>
        <v>0</v>
      </c>
      <c r="K33" s="77">
        <f ca="1">INDIRECT("'"&amp;$B33&amp;"'!i37")</f>
        <v>0</v>
      </c>
      <c r="L33" s="338">
        <f ca="1">INDIRECT("'"&amp;$B33&amp;"'!j37")</f>
        <v>0</v>
      </c>
      <c r="M33" s="338">
        <f ca="1">INDIRECT("'"&amp;$B33&amp;"'!k37")</f>
        <v>0</v>
      </c>
      <c r="N33" s="671">
        <f t="shared" ca="1" si="4"/>
        <v>0</v>
      </c>
      <c r="O33" s="631">
        <f t="shared" ca="1" si="5"/>
        <v>0</v>
      </c>
    </row>
    <row r="34" spans="1:15" ht="19.5" customHeight="1" thickBot="1" x14ac:dyDescent="0.3">
      <c r="A34">
        <v>27</v>
      </c>
      <c r="B34" s="673" t="str">
        <f t="shared" ref="B34:B64" si="6">INDEX(sheetnames,A34)</f>
        <v>FTBLANKE</v>
      </c>
      <c r="C34" s="670">
        <f t="shared" ref="C34:C64" ca="1" si="7">INDIRECT("'"&amp;$B34&amp;"'!k3")</f>
        <v>0</v>
      </c>
      <c r="D34" s="670">
        <f t="shared" ref="D34:D63" ca="1" si="8">INDIRECT("'"&amp;$B34&amp;"'!c4")</f>
        <v>0</v>
      </c>
      <c r="E34" s="670">
        <f t="shared" ref="E34:E64" ca="1" si="9">INDIRECT("'"&amp;$B34&amp;"'!i5")</f>
        <v>0</v>
      </c>
      <c r="F34" s="77">
        <f ca="1">INDIRECT("'"&amp;$B34&amp;"'!b38")</f>
        <v>0</v>
      </c>
      <c r="G34" s="671">
        <f ca="1">INDIRECT("'"&amp;$B34&amp;"'!d38")</f>
        <v>0</v>
      </c>
      <c r="H34" s="672">
        <f ca="1">INDIRECT("'"&amp;$B34&amp;"'!e38")</f>
        <v>0</v>
      </c>
      <c r="I34" s="77">
        <f ca="1">INDIRECT("'"&amp;$B34&amp;"'!f38")</f>
        <v>0</v>
      </c>
      <c r="J34" s="77">
        <f ca="1">INDIRECT("'"&amp;$B34&amp;"'!g38")</f>
        <v>0</v>
      </c>
      <c r="K34" s="77">
        <f ca="1">INDIRECT("'"&amp;$B34&amp;"'!i38")</f>
        <v>0</v>
      </c>
      <c r="L34" s="338">
        <f ca="1">INDIRECT("'"&amp;$B34&amp;"'!j38")</f>
        <v>0</v>
      </c>
      <c r="M34" s="338">
        <f ca="1">INDIRECT("'"&amp;$B34&amp;"'!k38")</f>
        <v>0</v>
      </c>
      <c r="N34" s="671">
        <f t="shared" ref="N34:N64" ca="1" si="10">INDIRECT("'"&amp;$B34&amp;"'!l36")</f>
        <v>0</v>
      </c>
      <c r="O34" s="631">
        <f t="shared" ref="O34:O64" ca="1" si="11">INDIRECT("'"&amp;$B34&amp;"'!i44")</f>
        <v>0</v>
      </c>
    </row>
    <row r="35" spans="1:15" ht="19.5" customHeight="1" thickBot="1" x14ac:dyDescent="0.3">
      <c r="A35">
        <v>28</v>
      </c>
      <c r="B35" s="673" t="str">
        <f t="shared" si="6"/>
        <v>PTBLANK</v>
      </c>
      <c r="C35" s="670">
        <f t="shared" ca="1" si="7"/>
        <v>0</v>
      </c>
      <c r="D35" s="670">
        <f t="shared" ca="1" si="8"/>
        <v>0</v>
      </c>
      <c r="E35" s="670">
        <f t="shared" ca="1" si="9"/>
        <v>0</v>
      </c>
      <c r="F35" s="77">
        <f ca="1">INDIRECT("'"&amp;$B35&amp;"'!b36")</f>
        <v>0</v>
      </c>
      <c r="G35" s="671">
        <f ca="1">INDIRECT("'"&amp;$B35&amp;"'!d36")</f>
        <v>0</v>
      </c>
      <c r="H35" s="672">
        <f ca="1">INDIRECT("'"&amp;$B35&amp;"'!e36")</f>
        <v>0</v>
      </c>
      <c r="I35" s="77">
        <f ca="1">INDIRECT("'"&amp;$B35&amp;"'!f36")</f>
        <v>0</v>
      </c>
      <c r="J35" s="77">
        <f ca="1">INDIRECT("'"&amp;$B35&amp;"'!g36")</f>
        <v>0</v>
      </c>
      <c r="K35" s="77">
        <f ca="1">INDIRECT("'"&amp;$B35&amp;"'!i36")</f>
        <v>0</v>
      </c>
      <c r="L35" s="338">
        <f ca="1">INDIRECT("'"&amp;$B35&amp;"'!j36")</f>
        <v>0</v>
      </c>
      <c r="M35" s="338">
        <f ca="1">INDIRECT("'"&amp;$B35&amp;"'!k36")</f>
        <v>0</v>
      </c>
      <c r="N35" s="671">
        <f t="shared" ca="1" si="10"/>
        <v>0</v>
      </c>
      <c r="O35" s="631">
        <f t="shared" ca="1" si="11"/>
        <v>0</v>
      </c>
    </row>
    <row r="36" spans="1:15" ht="19.5" customHeight="1" thickBot="1" x14ac:dyDescent="0.3">
      <c r="A36">
        <v>28</v>
      </c>
      <c r="B36" s="673" t="str">
        <f t="shared" si="6"/>
        <v>PTBLANK</v>
      </c>
      <c r="C36" s="670">
        <f t="shared" ca="1" si="7"/>
        <v>0</v>
      </c>
      <c r="D36" s="670">
        <f t="shared" ca="1" si="8"/>
        <v>0</v>
      </c>
      <c r="E36" s="670">
        <f t="shared" ca="1" si="9"/>
        <v>0</v>
      </c>
      <c r="F36" s="77">
        <f ca="1">INDIRECT("'"&amp;$B36&amp;"'!b37")</f>
        <v>0</v>
      </c>
      <c r="G36" s="671">
        <f ca="1">INDIRECT("'"&amp;$B36&amp;"'!d37")</f>
        <v>0</v>
      </c>
      <c r="H36" s="672">
        <f ca="1">INDIRECT("'"&amp;$B36&amp;"'!e37")</f>
        <v>0</v>
      </c>
      <c r="I36" s="77">
        <f ca="1">INDIRECT("'"&amp;$B36&amp;"'!f37")</f>
        <v>0</v>
      </c>
      <c r="J36" s="77">
        <f ca="1">INDIRECT("'"&amp;$B36&amp;"'!g37")</f>
        <v>0</v>
      </c>
      <c r="K36" s="77">
        <f ca="1">INDIRECT("'"&amp;$B36&amp;"'!i37")</f>
        <v>0</v>
      </c>
      <c r="L36" s="338">
        <f ca="1">INDIRECT("'"&amp;$B36&amp;"'!j37")</f>
        <v>0</v>
      </c>
      <c r="M36" s="338">
        <f ca="1">INDIRECT("'"&amp;$B36&amp;"'!k37")</f>
        <v>0</v>
      </c>
      <c r="N36" s="671">
        <f t="shared" ca="1" si="10"/>
        <v>0</v>
      </c>
      <c r="O36" s="631">
        <f t="shared" ca="1" si="11"/>
        <v>0</v>
      </c>
    </row>
    <row r="37" spans="1:15" ht="19.5" customHeight="1" thickBot="1" x14ac:dyDescent="0.3">
      <c r="A37">
        <v>28</v>
      </c>
      <c r="B37" s="673" t="str">
        <f t="shared" si="6"/>
        <v>PTBLANK</v>
      </c>
      <c r="C37" s="670">
        <f t="shared" ca="1" si="7"/>
        <v>0</v>
      </c>
      <c r="D37" s="670">
        <f t="shared" ca="1" si="8"/>
        <v>0</v>
      </c>
      <c r="E37" s="670">
        <f t="shared" ca="1" si="9"/>
        <v>0</v>
      </c>
      <c r="F37" s="77">
        <f ca="1">INDIRECT("'"&amp;$B37&amp;"'!b38")</f>
        <v>0</v>
      </c>
      <c r="G37" s="671">
        <f ca="1">INDIRECT("'"&amp;$B37&amp;"'!d38")</f>
        <v>0</v>
      </c>
      <c r="H37" s="672">
        <f ca="1">INDIRECT("'"&amp;$B37&amp;"'!e38")</f>
        <v>0</v>
      </c>
      <c r="I37" s="77">
        <f ca="1">INDIRECT("'"&amp;$B37&amp;"'!f38")</f>
        <v>0</v>
      </c>
      <c r="J37" s="77">
        <f ca="1">INDIRECT("'"&amp;$B37&amp;"'!g38")</f>
        <v>0</v>
      </c>
      <c r="K37" s="77">
        <f ca="1">INDIRECT("'"&amp;$B37&amp;"'!i38")</f>
        <v>0</v>
      </c>
      <c r="L37" s="338">
        <f ca="1">INDIRECT("'"&amp;$B37&amp;"'!j38")</f>
        <v>0</v>
      </c>
      <c r="M37" s="338">
        <f ca="1">INDIRECT("'"&amp;$B37&amp;"'!k38")</f>
        <v>0</v>
      </c>
      <c r="N37" s="671">
        <f t="shared" ca="1" si="10"/>
        <v>0</v>
      </c>
      <c r="O37" s="631">
        <f t="shared" ca="1" si="11"/>
        <v>0</v>
      </c>
    </row>
    <row r="38" spans="1:15" ht="19.5" customHeight="1" thickBot="1" x14ac:dyDescent="0.3">
      <c r="A38">
        <v>29</v>
      </c>
      <c r="B38" s="673" t="str">
        <f t="shared" si="6"/>
        <v>DIVP1</v>
      </c>
      <c r="C38" s="670">
        <f t="shared" ca="1" si="7"/>
        <v>0</v>
      </c>
      <c r="D38" s="670">
        <f t="shared" ca="1" si="8"/>
        <v>0</v>
      </c>
      <c r="E38" s="670">
        <f t="shared" ca="1" si="9"/>
        <v>0</v>
      </c>
      <c r="F38" s="77">
        <f ca="1">INDIRECT("'"&amp;$B38&amp;"'!b36")</f>
        <v>0</v>
      </c>
      <c r="G38" s="671">
        <f ca="1">INDIRECT("'"&amp;$B38&amp;"'!d36")</f>
        <v>0</v>
      </c>
      <c r="H38" s="672">
        <f ca="1">INDIRECT("'"&amp;$B38&amp;"'!e36")</f>
        <v>0</v>
      </c>
      <c r="I38" s="77">
        <f ca="1">INDIRECT("'"&amp;$B38&amp;"'!f36")</f>
        <v>0</v>
      </c>
      <c r="J38" s="77">
        <f ca="1">INDIRECT("'"&amp;$B38&amp;"'!g36")</f>
        <v>0</v>
      </c>
      <c r="K38" s="77">
        <f ca="1">INDIRECT("'"&amp;$B38&amp;"'!i36")</f>
        <v>0</v>
      </c>
      <c r="L38" s="338">
        <f ca="1">INDIRECT("'"&amp;$B38&amp;"'!j36")</f>
        <v>0</v>
      </c>
      <c r="M38" s="338">
        <f ca="1">INDIRECT("'"&amp;$B38&amp;"'!k36")</f>
        <v>0</v>
      </c>
      <c r="N38" s="671">
        <f t="shared" ca="1" si="10"/>
        <v>0</v>
      </c>
      <c r="O38" s="631">
        <f t="shared" ca="1" si="11"/>
        <v>0</v>
      </c>
    </row>
    <row r="39" spans="1:15" ht="19.5" customHeight="1" thickBot="1" x14ac:dyDescent="0.3">
      <c r="A39">
        <v>29</v>
      </c>
      <c r="B39" s="673" t="str">
        <f t="shared" si="6"/>
        <v>DIVP1</v>
      </c>
      <c r="C39" s="670">
        <f t="shared" ca="1" si="7"/>
        <v>0</v>
      </c>
      <c r="D39" s="670">
        <f t="shared" ca="1" si="8"/>
        <v>0</v>
      </c>
      <c r="E39" s="670">
        <f t="shared" ca="1" si="9"/>
        <v>0</v>
      </c>
      <c r="F39" s="77">
        <f ca="1">INDIRECT("'"&amp;$B39&amp;"'!b37")</f>
        <v>0</v>
      </c>
      <c r="G39" s="671">
        <f ca="1">INDIRECT("'"&amp;$B39&amp;"'!d37")</f>
        <v>0</v>
      </c>
      <c r="H39" s="672">
        <f ca="1">INDIRECT("'"&amp;$B39&amp;"'!e37")</f>
        <v>0</v>
      </c>
      <c r="I39" s="77">
        <f ca="1">INDIRECT("'"&amp;$B39&amp;"'!f37")</f>
        <v>0</v>
      </c>
      <c r="J39" s="77">
        <f ca="1">INDIRECT("'"&amp;$B39&amp;"'!g37")</f>
        <v>0</v>
      </c>
      <c r="K39" s="77">
        <f ca="1">INDIRECT("'"&amp;$B39&amp;"'!i37")</f>
        <v>0</v>
      </c>
      <c r="L39" s="338">
        <f ca="1">INDIRECT("'"&amp;$B39&amp;"'!j37")</f>
        <v>0</v>
      </c>
      <c r="M39" s="338">
        <f ca="1">INDIRECT("'"&amp;$B39&amp;"'!k37")</f>
        <v>0</v>
      </c>
      <c r="N39" s="671">
        <f t="shared" ca="1" si="10"/>
        <v>0</v>
      </c>
      <c r="O39" s="631">
        <f t="shared" ca="1" si="11"/>
        <v>0</v>
      </c>
    </row>
    <row r="40" spans="1:15" ht="19.5" customHeight="1" thickBot="1" x14ac:dyDescent="0.3">
      <c r="A40">
        <v>29</v>
      </c>
      <c r="B40" s="673" t="str">
        <f t="shared" si="6"/>
        <v>DIVP1</v>
      </c>
      <c r="C40" s="670">
        <f t="shared" ca="1" si="7"/>
        <v>0</v>
      </c>
      <c r="D40" s="670">
        <f t="shared" ca="1" si="8"/>
        <v>0</v>
      </c>
      <c r="E40" s="670">
        <f t="shared" ca="1" si="9"/>
        <v>0</v>
      </c>
      <c r="F40" s="77">
        <f ca="1">INDIRECT("'"&amp;$B40&amp;"'!b38")</f>
        <v>0</v>
      </c>
      <c r="G40" s="671">
        <f ca="1">INDIRECT("'"&amp;$B40&amp;"'!d38")</f>
        <v>0</v>
      </c>
      <c r="H40" s="672">
        <f ca="1">INDIRECT("'"&amp;$B40&amp;"'!e38")</f>
        <v>0</v>
      </c>
      <c r="I40" s="77">
        <f ca="1">INDIRECT("'"&amp;$B40&amp;"'!f38")</f>
        <v>0</v>
      </c>
      <c r="J40" s="77">
        <f ca="1">INDIRECT("'"&amp;$B40&amp;"'!g38")</f>
        <v>0</v>
      </c>
      <c r="K40" s="77">
        <f ca="1">INDIRECT("'"&amp;$B40&amp;"'!i38")</f>
        <v>0</v>
      </c>
      <c r="L40" s="338">
        <f ca="1">INDIRECT("'"&amp;$B40&amp;"'!j38")</f>
        <v>0</v>
      </c>
      <c r="M40" s="338">
        <f ca="1">INDIRECT("'"&amp;$B40&amp;"'!k38")</f>
        <v>0</v>
      </c>
      <c r="N40" s="671">
        <f t="shared" ca="1" si="10"/>
        <v>0</v>
      </c>
      <c r="O40" s="631">
        <f t="shared" ca="1" si="11"/>
        <v>0</v>
      </c>
    </row>
    <row r="41" spans="1:15" ht="19.5" customHeight="1" thickBot="1" x14ac:dyDescent="0.3">
      <c r="A41">
        <v>30</v>
      </c>
      <c r="B41" s="673" t="str">
        <f t="shared" si="6"/>
        <v>DIVP2</v>
      </c>
      <c r="C41" s="670">
        <f t="shared" ca="1" si="7"/>
        <v>0</v>
      </c>
      <c r="D41" s="670">
        <f t="shared" ca="1" si="8"/>
        <v>0</v>
      </c>
      <c r="E41" s="670">
        <f t="shared" ca="1" si="9"/>
        <v>0</v>
      </c>
      <c r="F41" s="77">
        <f ca="1">INDIRECT("'"&amp;$B41&amp;"'!b36")</f>
        <v>0</v>
      </c>
      <c r="G41" s="671">
        <f ca="1">INDIRECT("'"&amp;$B41&amp;"'!d36")</f>
        <v>0</v>
      </c>
      <c r="H41" s="672">
        <f ca="1">INDIRECT("'"&amp;$B41&amp;"'!e36")</f>
        <v>0</v>
      </c>
      <c r="I41" s="77">
        <f ca="1">INDIRECT("'"&amp;$B41&amp;"'!f36")</f>
        <v>0</v>
      </c>
      <c r="J41" s="77">
        <f ca="1">INDIRECT("'"&amp;$B41&amp;"'!g36")</f>
        <v>0</v>
      </c>
      <c r="K41" s="77">
        <f ca="1">INDIRECT("'"&amp;$B41&amp;"'!i36")</f>
        <v>0</v>
      </c>
      <c r="L41" s="338">
        <f ca="1">INDIRECT("'"&amp;$B41&amp;"'!j36")</f>
        <v>0</v>
      </c>
      <c r="M41" s="338">
        <f ca="1">INDIRECT("'"&amp;$B41&amp;"'!k36")</f>
        <v>0</v>
      </c>
      <c r="N41" s="671">
        <f t="shared" ca="1" si="10"/>
        <v>0</v>
      </c>
      <c r="O41" s="631">
        <f t="shared" ca="1" si="11"/>
        <v>0</v>
      </c>
    </row>
    <row r="42" spans="1:15" ht="19.5" customHeight="1" thickBot="1" x14ac:dyDescent="0.3">
      <c r="A42">
        <v>30</v>
      </c>
      <c r="B42" s="673" t="str">
        <f t="shared" si="6"/>
        <v>DIVP2</v>
      </c>
      <c r="C42" s="670">
        <f t="shared" ca="1" si="7"/>
        <v>0</v>
      </c>
      <c r="D42" s="670">
        <f t="shared" ca="1" si="8"/>
        <v>0</v>
      </c>
      <c r="E42" s="670">
        <f t="shared" ca="1" si="9"/>
        <v>0</v>
      </c>
      <c r="F42" s="77">
        <f ca="1">INDIRECT("'"&amp;$B42&amp;"'!b37")</f>
        <v>0</v>
      </c>
      <c r="G42" s="671">
        <f ca="1">INDIRECT("'"&amp;$B42&amp;"'!d37")</f>
        <v>0</v>
      </c>
      <c r="H42" s="672">
        <f ca="1">INDIRECT("'"&amp;$B42&amp;"'!e37")</f>
        <v>0</v>
      </c>
      <c r="I42" s="77">
        <f ca="1">INDIRECT("'"&amp;$B42&amp;"'!f37")</f>
        <v>0</v>
      </c>
      <c r="J42" s="77">
        <f ca="1">INDIRECT("'"&amp;$B42&amp;"'!g37")</f>
        <v>0</v>
      </c>
      <c r="K42" s="77">
        <f ca="1">INDIRECT("'"&amp;$B42&amp;"'!i37")</f>
        <v>0</v>
      </c>
      <c r="L42" s="338">
        <f ca="1">INDIRECT("'"&amp;$B42&amp;"'!j37")</f>
        <v>0</v>
      </c>
      <c r="M42" s="338">
        <f ca="1">INDIRECT("'"&amp;$B42&amp;"'!k37")</f>
        <v>0</v>
      </c>
      <c r="N42" s="671">
        <f t="shared" ca="1" si="10"/>
        <v>0</v>
      </c>
      <c r="O42" s="631">
        <f t="shared" ca="1" si="11"/>
        <v>0</v>
      </c>
    </row>
    <row r="43" spans="1:15" ht="19.5" customHeight="1" thickBot="1" x14ac:dyDescent="0.3">
      <c r="A43">
        <v>30</v>
      </c>
      <c r="B43" s="673" t="str">
        <f t="shared" si="6"/>
        <v>DIVP2</v>
      </c>
      <c r="C43" s="670">
        <f t="shared" ca="1" si="7"/>
        <v>0</v>
      </c>
      <c r="D43" s="670">
        <f t="shared" ca="1" si="8"/>
        <v>0</v>
      </c>
      <c r="E43" s="670">
        <f t="shared" ca="1" si="9"/>
        <v>0</v>
      </c>
      <c r="F43" s="77">
        <f ca="1">INDIRECT("'"&amp;$B43&amp;"'!b38")</f>
        <v>0</v>
      </c>
      <c r="G43" s="671">
        <f ca="1">INDIRECT("'"&amp;$B43&amp;"'!d38")</f>
        <v>0</v>
      </c>
      <c r="H43" s="672">
        <f ca="1">INDIRECT("'"&amp;$B43&amp;"'!e38")</f>
        <v>0</v>
      </c>
      <c r="I43" s="77">
        <f ca="1">INDIRECT("'"&amp;$B43&amp;"'!f38")</f>
        <v>0</v>
      </c>
      <c r="J43" s="77">
        <f ca="1">INDIRECT("'"&amp;$B43&amp;"'!g38")</f>
        <v>0</v>
      </c>
      <c r="K43" s="77">
        <f ca="1">INDIRECT("'"&amp;$B43&amp;"'!i38")</f>
        <v>0</v>
      </c>
      <c r="L43" s="338">
        <f ca="1">INDIRECT("'"&amp;$B43&amp;"'!j38")</f>
        <v>0</v>
      </c>
      <c r="M43" s="338">
        <f ca="1">INDIRECT("'"&amp;$B43&amp;"'!k38")</f>
        <v>0</v>
      </c>
      <c r="N43" s="671">
        <f t="shared" ca="1" si="10"/>
        <v>0</v>
      </c>
      <c r="O43" s="631">
        <f t="shared" ca="1" si="11"/>
        <v>0</v>
      </c>
    </row>
    <row r="44" spans="1:15" ht="19.5" customHeight="1" thickBot="1" x14ac:dyDescent="0.3">
      <c r="A44">
        <v>31</v>
      </c>
      <c r="B44" s="673" t="str">
        <f t="shared" si="6"/>
        <v>DIVP3</v>
      </c>
      <c r="C44" s="670">
        <f t="shared" ca="1" si="7"/>
        <v>0</v>
      </c>
      <c r="D44" s="670">
        <f t="shared" ca="1" si="8"/>
        <v>0</v>
      </c>
      <c r="E44" s="670">
        <f t="shared" ca="1" si="9"/>
        <v>0</v>
      </c>
      <c r="F44" s="77">
        <f ca="1">INDIRECT("'"&amp;$B44&amp;"'!b36")</f>
        <v>0</v>
      </c>
      <c r="G44" s="671">
        <f ca="1">INDIRECT("'"&amp;$B44&amp;"'!d36")</f>
        <v>0</v>
      </c>
      <c r="H44" s="672">
        <f ca="1">INDIRECT("'"&amp;$B44&amp;"'!e36")</f>
        <v>0</v>
      </c>
      <c r="I44" s="77">
        <f ca="1">INDIRECT("'"&amp;$B44&amp;"'!f36")</f>
        <v>0</v>
      </c>
      <c r="J44" s="77">
        <f ca="1">INDIRECT("'"&amp;$B44&amp;"'!g36")</f>
        <v>0</v>
      </c>
      <c r="K44" s="77">
        <f ca="1">INDIRECT("'"&amp;$B44&amp;"'!i36")</f>
        <v>0</v>
      </c>
      <c r="L44" s="338">
        <f ca="1">INDIRECT("'"&amp;$B44&amp;"'!j36")</f>
        <v>0</v>
      </c>
      <c r="M44" s="338">
        <f ca="1">INDIRECT("'"&amp;$B44&amp;"'!k36")</f>
        <v>0</v>
      </c>
      <c r="N44" s="671">
        <f t="shared" ca="1" si="10"/>
        <v>0</v>
      </c>
      <c r="O44" s="631">
        <f t="shared" ca="1" si="11"/>
        <v>0</v>
      </c>
    </row>
    <row r="45" spans="1:15" ht="19.5" customHeight="1" thickBot="1" x14ac:dyDescent="0.3">
      <c r="A45">
        <v>31</v>
      </c>
      <c r="B45" s="673" t="str">
        <f t="shared" si="6"/>
        <v>DIVP3</v>
      </c>
      <c r="C45" s="670">
        <f t="shared" ca="1" si="7"/>
        <v>0</v>
      </c>
      <c r="D45" s="670">
        <f t="shared" ca="1" si="8"/>
        <v>0</v>
      </c>
      <c r="E45" s="670">
        <f t="shared" ca="1" si="9"/>
        <v>0</v>
      </c>
      <c r="F45" s="77">
        <f ca="1">INDIRECT("'"&amp;$B45&amp;"'!b37")</f>
        <v>0</v>
      </c>
      <c r="G45" s="671">
        <f ca="1">INDIRECT("'"&amp;$B45&amp;"'!d37")</f>
        <v>0</v>
      </c>
      <c r="H45" s="672">
        <f ca="1">INDIRECT("'"&amp;$B45&amp;"'!e37")</f>
        <v>0</v>
      </c>
      <c r="I45" s="77">
        <f ca="1">INDIRECT("'"&amp;$B45&amp;"'!f37")</f>
        <v>0</v>
      </c>
      <c r="J45" s="77">
        <f ca="1">INDIRECT("'"&amp;$B45&amp;"'!g37")</f>
        <v>0</v>
      </c>
      <c r="K45" s="77">
        <f ca="1">INDIRECT("'"&amp;$B45&amp;"'!i37")</f>
        <v>0</v>
      </c>
      <c r="L45" s="338">
        <f ca="1">INDIRECT("'"&amp;$B45&amp;"'!j37")</f>
        <v>0</v>
      </c>
      <c r="M45" s="338">
        <f ca="1">INDIRECT("'"&amp;$B45&amp;"'!k37")</f>
        <v>0</v>
      </c>
      <c r="N45" s="671">
        <f t="shared" ca="1" si="10"/>
        <v>0</v>
      </c>
      <c r="O45" s="631">
        <f t="shared" ca="1" si="11"/>
        <v>0</v>
      </c>
    </row>
    <row r="46" spans="1:15" ht="19.5" customHeight="1" thickBot="1" x14ac:dyDescent="0.3">
      <c r="A46">
        <v>31</v>
      </c>
      <c r="B46" s="673" t="str">
        <f t="shared" si="6"/>
        <v>DIVP3</v>
      </c>
      <c r="C46" s="670">
        <f t="shared" ca="1" si="7"/>
        <v>0</v>
      </c>
      <c r="D46" s="670">
        <f t="shared" ca="1" si="8"/>
        <v>0</v>
      </c>
      <c r="E46" s="670">
        <f t="shared" ca="1" si="9"/>
        <v>0</v>
      </c>
      <c r="F46" s="77">
        <f ca="1">INDIRECT("'"&amp;$B46&amp;"'!b38")</f>
        <v>0</v>
      </c>
      <c r="G46" s="671">
        <f ca="1">INDIRECT("'"&amp;$B46&amp;"'!d38")</f>
        <v>0</v>
      </c>
      <c r="H46" s="672">
        <f ca="1">INDIRECT("'"&amp;$B46&amp;"'!e38")</f>
        <v>0</v>
      </c>
      <c r="I46" s="77">
        <f ca="1">INDIRECT("'"&amp;$B46&amp;"'!f38")</f>
        <v>0</v>
      </c>
      <c r="J46" s="77">
        <f ca="1">INDIRECT("'"&amp;$B46&amp;"'!g38")</f>
        <v>0</v>
      </c>
      <c r="K46" s="77">
        <f ca="1">INDIRECT("'"&amp;$B46&amp;"'!i38")</f>
        <v>0</v>
      </c>
      <c r="L46" s="338">
        <f ca="1">INDIRECT("'"&amp;$B46&amp;"'!j38")</f>
        <v>0</v>
      </c>
      <c r="M46" s="338">
        <f ca="1">INDIRECT("'"&amp;$B46&amp;"'!k38")</f>
        <v>0</v>
      </c>
      <c r="N46" s="671">
        <f t="shared" ca="1" si="10"/>
        <v>0</v>
      </c>
      <c r="O46" s="631">
        <f t="shared" ca="1" si="11"/>
        <v>0</v>
      </c>
    </row>
    <row r="47" spans="1:15" ht="19.5" customHeight="1" thickBot="1" x14ac:dyDescent="0.3">
      <c r="A47">
        <v>32</v>
      </c>
      <c r="B47" s="673" t="str">
        <f t="shared" si="6"/>
        <v>DIVP4</v>
      </c>
      <c r="C47" s="670">
        <f t="shared" ca="1" si="7"/>
        <v>0</v>
      </c>
      <c r="D47" s="670">
        <f t="shared" ca="1" si="8"/>
        <v>0</v>
      </c>
      <c r="E47" s="670">
        <f t="shared" ca="1" si="9"/>
        <v>0</v>
      </c>
      <c r="F47" s="77">
        <f ca="1">INDIRECT("'"&amp;$B47&amp;"'!b36")</f>
        <v>0</v>
      </c>
      <c r="G47" s="671">
        <f ca="1">INDIRECT("'"&amp;$B47&amp;"'!d36")</f>
        <v>0</v>
      </c>
      <c r="H47" s="672">
        <f ca="1">INDIRECT("'"&amp;$B47&amp;"'!e36")</f>
        <v>0</v>
      </c>
      <c r="I47" s="77">
        <f ca="1">INDIRECT("'"&amp;$B47&amp;"'!f36")</f>
        <v>0</v>
      </c>
      <c r="J47" s="77">
        <f ca="1">INDIRECT("'"&amp;$B47&amp;"'!g36")</f>
        <v>0</v>
      </c>
      <c r="K47" s="77">
        <f ca="1">INDIRECT("'"&amp;$B47&amp;"'!i36")</f>
        <v>0</v>
      </c>
      <c r="L47" s="338">
        <f ca="1">INDIRECT("'"&amp;$B47&amp;"'!j36")</f>
        <v>0</v>
      </c>
      <c r="M47" s="338">
        <f ca="1">INDIRECT("'"&amp;$B47&amp;"'!k36")</f>
        <v>0</v>
      </c>
      <c r="N47" s="671">
        <f t="shared" ca="1" si="10"/>
        <v>0</v>
      </c>
      <c r="O47" s="631">
        <f t="shared" ca="1" si="11"/>
        <v>0</v>
      </c>
    </row>
    <row r="48" spans="1:15" ht="19.5" customHeight="1" thickBot="1" x14ac:dyDescent="0.3">
      <c r="A48">
        <v>32</v>
      </c>
      <c r="B48" s="673" t="str">
        <f t="shared" si="6"/>
        <v>DIVP4</v>
      </c>
      <c r="C48" s="670">
        <f t="shared" ca="1" si="7"/>
        <v>0</v>
      </c>
      <c r="D48" s="670">
        <f t="shared" ca="1" si="8"/>
        <v>0</v>
      </c>
      <c r="E48" s="670">
        <f t="shared" ca="1" si="9"/>
        <v>0</v>
      </c>
      <c r="F48" s="77">
        <f ca="1">INDIRECT("'"&amp;$B48&amp;"'!b37")</f>
        <v>0</v>
      </c>
      <c r="G48" s="671">
        <f ca="1">INDIRECT("'"&amp;$B48&amp;"'!d37")</f>
        <v>0</v>
      </c>
      <c r="H48" s="672">
        <f ca="1">INDIRECT("'"&amp;$B48&amp;"'!e37")</f>
        <v>0</v>
      </c>
      <c r="I48" s="77">
        <f ca="1">INDIRECT("'"&amp;$B48&amp;"'!f37")</f>
        <v>0</v>
      </c>
      <c r="J48" s="77">
        <f ca="1">INDIRECT("'"&amp;$B48&amp;"'!g37")</f>
        <v>0</v>
      </c>
      <c r="K48" s="77">
        <f ca="1">INDIRECT("'"&amp;$B48&amp;"'!i37")</f>
        <v>0</v>
      </c>
      <c r="L48" s="338">
        <f ca="1">INDIRECT("'"&amp;$B48&amp;"'!j37")</f>
        <v>0</v>
      </c>
      <c r="M48" s="338">
        <f ca="1">INDIRECT("'"&amp;$B48&amp;"'!k37")</f>
        <v>0</v>
      </c>
      <c r="N48" s="671">
        <f t="shared" ca="1" si="10"/>
        <v>0</v>
      </c>
      <c r="O48" s="631">
        <f t="shared" ca="1" si="11"/>
        <v>0</v>
      </c>
    </row>
    <row r="49" spans="1:15" ht="19.5" customHeight="1" thickBot="1" x14ac:dyDescent="0.3">
      <c r="A49">
        <v>33</v>
      </c>
      <c r="B49" s="673" t="str">
        <f t="shared" si="6"/>
        <v>DIVP5</v>
      </c>
      <c r="C49" s="670">
        <f t="shared" ca="1" si="7"/>
        <v>0</v>
      </c>
      <c r="D49" s="670">
        <f t="shared" ca="1" si="8"/>
        <v>0</v>
      </c>
      <c r="E49" s="670">
        <f t="shared" ca="1" si="9"/>
        <v>0</v>
      </c>
      <c r="F49" s="77">
        <f ca="1">INDIRECT("'"&amp;$B49&amp;"'!b38")</f>
        <v>0</v>
      </c>
      <c r="G49" s="671">
        <f ca="1">INDIRECT("'"&amp;$B49&amp;"'!d38")</f>
        <v>0</v>
      </c>
      <c r="H49" s="672">
        <f ca="1">INDIRECT("'"&amp;$B49&amp;"'!e38")</f>
        <v>0</v>
      </c>
      <c r="I49" s="77">
        <f ca="1">INDIRECT("'"&amp;$B49&amp;"'!f38")</f>
        <v>0</v>
      </c>
      <c r="J49" s="77">
        <f ca="1">INDIRECT("'"&amp;$B49&amp;"'!g38")</f>
        <v>0</v>
      </c>
      <c r="K49" s="77">
        <f ca="1">INDIRECT("'"&amp;$B49&amp;"'!i38")</f>
        <v>0</v>
      </c>
      <c r="L49" s="338">
        <f ca="1">INDIRECT("'"&amp;$B49&amp;"'!j38")</f>
        <v>0</v>
      </c>
      <c r="M49" s="338">
        <f ca="1">INDIRECT("'"&amp;$B49&amp;"'!k38")</f>
        <v>0</v>
      </c>
      <c r="N49" s="671">
        <f t="shared" ca="1" si="10"/>
        <v>0</v>
      </c>
      <c r="O49" s="631">
        <f t="shared" ca="1" si="11"/>
        <v>0</v>
      </c>
    </row>
    <row r="50" spans="1:15" ht="19.5" customHeight="1" thickBot="1" x14ac:dyDescent="0.3">
      <c r="A50">
        <v>34</v>
      </c>
      <c r="B50" s="673" t="str">
        <f t="shared" si="6"/>
        <v>ECurmi</v>
      </c>
      <c r="C50" s="670">
        <f t="shared" ca="1" si="7"/>
        <v>0</v>
      </c>
      <c r="D50" s="670">
        <f t="shared" ca="1" si="8"/>
        <v>0</v>
      </c>
      <c r="E50" s="670">
        <f t="shared" ca="1" si="9"/>
        <v>0</v>
      </c>
      <c r="F50" s="77" t="str">
        <f ca="1">INDIRECT("'"&amp;$B50&amp;"'!b36")</f>
        <v>€</v>
      </c>
      <c r="G50" s="671">
        <f ca="1">INDIRECT("'"&amp;$B50&amp;"'!d36")</f>
        <v>0</v>
      </c>
      <c r="H50" s="672" t="str">
        <f ca="1">INDIRECT("'"&amp;$B50&amp;"'!e36")</f>
        <v>Category</v>
      </c>
      <c r="I50" s="77" t="str">
        <f ca="1">INDIRECT("'"&amp;$B50&amp;"'!f36")</f>
        <v>Payee</v>
      </c>
      <c r="J50" s="77" t="str">
        <f ca="1">INDIRECT("'"&amp;$B50&amp;"'!g36")</f>
        <v>Payer</v>
      </c>
      <c r="K50" s="77" t="str">
        <f ca="1">INDIRECT("'"&amp;$B50&amp;"'!i36")</f>
        <v>Payee</v>
      </c>
      <c r="L50" s="338" t="str">
        <f ca="1">INDIRECT("'"&amp;$B50&amp;"'!j36")</f>
        <v>From</v>
      </c>
      <c r="M50" s="338" t="str">
        <f ca="1">INDIRECT("'"&amp;$B50&amp;"'!k36")</f>
        <v>To</v>
      </c>
      <c r="N50" s="671" t="str">
        <f t="shared" ca="1" si="10"/>
        <v>Number</v>
      </c>
      <c r="O50" s="631">
        <f t="shared" ca="1" si="11"/>
        <v>0</v>
      </c>
    </row>
    <row r="51" spans="1:15" ht="19.5" customHeight="1" thickBot="1" x14ac:dyDescent="0.3">
      <c r="A51">
        <v>34</v>
      </c>
      <c r="B51" s="673" t="str">
        <f t="shared" si="6"/>
        <v>ECurmi</v>
      </c>
      <c r="C51" s="670">
        <f t="shared" ca="1" si="7"/>
        <v>0</v>
      </c>
      <c r="D51" s="670">
        <f t="shared" ca="1" si="8"/>
        <v>0</v>
      </c>
      <c r="E51" s="670">
        <f t="shared" ca="1" si="9"/>
        <v>0</v>
      </c>
      <c r="F51" s="77">
        <f ca="1">INDIRECT("'"&amp;$B51&amp;"'!b37")</f>
        <v>0</v>
      </c>
      <c r="G51" s="671">
        <f ca="1">INDIRECT("'"&amp;$B51&amp;"'!d37")</f>
        <v>0</v>
      </c>
      <c r="H51" s="672" t="str">
        <f ca="1">INDIRECT("'"&amp;$B51&amp;"'!e37")</f>
        <v xml:space="preserve"> </v>
      </c>
      <c r="I51" s="77">
        <f ca="1">INDIRECT("'"&amp;$B51&amp;"'!f37")</f>
        <v>0</v>
      </c>
      <c r="J51" s="77">
        <f ca="1">INDIRECT("'"&amp;$B51&amp;"'!g37")</f>
        <v>0</v>
      </c>
      <c r="K51" s="77">
        <f ca="1">INDIRECT("'"&amp;$B51&amp;"'!i37")</f>
        <v>0</v>
      </c>
      <c r="L51" s="338">
        <f ca="1">INDIRECT("'"&amp;$B51&amp;"'!j37")</f>
        <v>0</v>
      </c>
      <c r="M51" s="338">
        <f ca="1">INDIRECT("'"&amp;$B51&amp;"'!k37")</f>
        <v>0</v>
      </c>
      <c r="N51" s="671" t="str">
        <f t="shared" ca="1" si="10"/>
        <v>Number</v>
      </c>
      <c r="O51" s="631">
        <f t="shared" ca="1" si="11"/>
        <v>0</v>
      </c>
    </row>
    <row r="52" spans="1:15" ht="19.5" customHeight="1" thickBot="1" x14ac:dyDescent="0.3">
      <c r="A52">
        <v>34</v>
      </c>
      <c r="B52" s="673" t="str">
        <f t="shared" si="6"/>
        <v>ECurmi</v>
      </c>
      <c r="C52" s="670">
        <f t="shared" ca="1" si="7"/>
        <v>0</v>
      </c>
      <c r="D52" s="670">
        <f t="shared" ca="1" si="8"/>
        <v>0</v>
      </c>
      <c r="E52" s="670">
        <f t="shared" ca="1" si="9"/>
        <v>0</v>
      </c>
      <c r="F52" s="77">
        <f ca="1">INDIRECT("'"&amp;$B52&amp;"'!b38")</f>
        <v>0</v>
      </c>
      <c r="G52" s="671">
        <f ca="1">INDIRECT("'"&amp;$B52&amp;"'!d38")</f>
        <v>0</v>
      </c>
      <c r="H52" s="672" t="str">
        <f ca="1">INDIRECT("'"&amp;$B52&amp;"'!e38")</f>
        <v xml:space="preserve"> </v>
      </c>
      <c r="I52" s="77">
        <f ca="1">INDIRECT("'"&amp;$B52&amp;"'!f38")</f>
        <v>0</v>
      </c>
      <c r="J52" s="77">
        <f ca="1">INDIRECT("'"&amp;$B52&amp;"'!g38")</f>
        <v>0</v>
      </c>
      <c r="K52" s="77">
        <f ca="1">INDIRECT("'"&amp;$B52&amp;"'!i38")</f>
        <v>0</v>
      </c>
      <c r="L52" s="338">
        <f ca="1">INDIRECT("'"&amp;$B52&amp;"'!j38")</f>
        <v>0</v>
      </c>
      <c r="M52" s="338">
        <f ca="1">INDIRECT("'"&amp;$B52&amp;"'!k38")</f>
        <v>0</v>
      </c>
      <c r="N52" s="671" t="str">
        <f t="shared" ca="1" si="10"/>
        <v>Number</v>
      </c>
      <c r="O52" s="631">
        <f t="shared" ca="1" si="11"/>
        <v>0</v>
      </c>
    </row>
    <row r="53" spans="1:15" ht="19.5" customHeight="1" thickBot="1" x14ac:dyDescent="0.3">
      <c r="A53">
        <v>35</v>
      </c>
      <c r="B53" s="673" t="str">
        <f t="shared" si="6"/>
        <v>AFalzon</v>
      </c>
      <c r="C53" s="670">
        <f t="shared" ca="1" si="7"/>
        <v>0</v>
      </c>
      <c r="D53" s="670">
        <f t="shared" ca="1" si="8"/>
        <v>0</v>
      </c>
      <c r="E53" s="670">
        <f t="shared" ca="1" si="9"/>
        <v>0</v>
      </c>
      <c r="F53" s="77" t="str">
        <f ca="1">INDIRECT("'"&amp;$B53&amp;"'!b36")</f>
        <v>€</v>
      </c>
      <c r="G53" s="671">
        <f ca="1">INDIRECT("'"&amp;$B53&amp;"'!d36")</f>
        <v>0</v>
      </c>
      <c r="H53" s="672" t="str">
        <f ca="1">INDIRECT("'"&amp;$B53&amp;"'!e36")</f>
        <v>Category</v>
      </c>
      <c r="I53" s="77" t="str">
        <f ca="1">INDIRECT("'"&amp;$B53&amp;"'!f36")</f>
        <v>Payee</v>
      </c>
      <c r="J53" s="77" t="str">
        <f ca="1">INDIRECT("'"&amp;$B53&amp;"'!g36")</f>
        <v>Payer</v>
      </c>
      <c r="K53" s="77" t="str">
        <f ca="1">INDIRECT("'"&amp;$B53&amp;"'!i36")</f>
        <v>Payee</v>
      </c>
      <c r="L53" s="338" t="str">
        <f ca="1">INDIRECT("'"&amp;$B53&amp;"'!j36")</f>
        <v>From</v>
      </c>
      <c r="M53" s="338" t="str">
        <f ca="1">INDIRECT("'"&amp;$B53&amp;"'!k36")</f>
        <v>To</v>
      </c>
      <c r="N53" s="671" t="str">
        <f t="shared" ca="1" si="10"/>
        <v>Number</v>
      </c>
      <c r="O53" s="631">
        <f t="shared" ca="1" si="11"/>
        <v>0</v>
      </c>
    </row>
    <row r="54" spans="1:15" ht="19.5" customHeight="1" thickBot="1" x14ac:dyDescent="0.3">
      <c r="A54">
        <v>35</v>
      </c>
      <c r="B54" s="673" t="str">
        <f t="shared" si="6"/>
        <v>AFalzon</v>
      </c>
      <c r="C54" s="670">
        <f t="shared" ca="1" si="7"/>
        <v>0</v>
      </c>
      <c r="D54" s="670">
        <f t="shared" ca="1" si="8"/>
        <v>0</v>
      </c>
      <c r="E54" s="670">
        <f t="shared" ca="1" si="9"/>
        <v>0</v>
      </c>
      <c r="F54" s="77">
        <f ca="1">INDIRECT("'"&amp;$B54&amp;"'!b37")</f>
        <v>0</v>
      </c>
      <c r="G54" s="671">
        <f ca="1">INDIRECT("'"&amp;$B54&amp;"'!d37")</f>
        <v>0</v>
      </c>
      <c r="H54" s="672" t="str">
        <f ca="1">INDIRECT("'"&amp;$B54&amp;"'!e37")</f>
        <v xml:space="preserve"> </v>
      </c>
      <c r="I54" s="77">
        <f ca="1">INDIRECT("'"&amp;$B54&amp;"'!f37")</f>
        <v>0</v>
      </c>
      <c r="J54" s="77">
        <f ca="1">INDIRECT("'"&amp;$B54&amp;"'!g37")</f>
        <v>0</v>
      </c>
      <c r="K54" s="77">
        <f ca="1">INDIRECT("'"&amp;$B54&amp;"'!i37")</f>
        <v>0</v>
      </c>
      <c r="L54" s="338">
        <f ca="1">INDIRECT("'"&amp;$B54&amp;"'!j37")</f>
        <v>0</v>
      </c>
      <c r="M54" s="338">
        <f ca="1">INDIRECT("'"&amp;$B54&amp;"'!k37")</f>
        <v>0</v>
      </c>
      <c r="N54" s="671" t="str">
        <f t="shared" ca="1" si="10"/>
        <v>Number</v>
      </c>
      <c r="O54" s="631">
        <f t="shared" ca="1" si="11"/>
        <v>0</v>
      </c>
    </row>
    <row r="55" spans="1:15" ht="19.5" customHeight="1" thickBot="1" x14ac:dyDescent="0.3">
      <c r="A55">
        <v>35</v>
      </c>
      <c r="B55" s="673" t="str">
        <f t="shared" si="6"/>
        <v>AFalzon</v>
      </c>
      <c r="C55" s="670">
        <f t="shared" ca="1" si="7"/>
        <v>0</v>
      </c>
      <c r="D55" s="670">
        <f t="shared" ca="1" si="8"/>
        <v>0</v>
      </c>
      <c r="E55" s="670">
        <f t="shared" ca="1" si="9"/>
        <v>0</v>
      </c>
      <c r="F55" s="77">
        <f ca="1">INDIRECT("'"&amp;$B55&amp;"'!b38")</f>
        <v>0</v>
      </c>
      <c r="G55" s="671">
        <f ca="1">INDIRECT("'"&amp;$B55&amp;"'!d38")</f>
        <v>0</v>
      </c>
      <c r="H55" s="672" t="str">
        <f ca="1">INDIRECT("'"&amp;$B55&amp;"'!e38")</f>
        <v xml:space="preserve"> </v>
      </c>
      <c r="I55" s="77">
        <f ca="1">INDIRECT("'"&amp;$B55&amp;"'!f38")</f>
        <v>0</v>
      </c>
      <c r="J55" s="77">
        <f ca="1">INDIRECT("'"&amp;$B55&amp;"'!g38")</f>
        <v>0</v>
      </c>
      <c r="K55" s="77">
        <f ca="1">INDIRECT("'"&amp;$B55&amp;"'!i38")</f>
        <v>0</v>
      </c>
      <c r="L55" s="338">
        <f ca="1">INDIRECT("'"&amp;$B55&amp;"'!j38")</f>
        <v>0</v>
      </c>
      <c r="M55" s="338">
        <f ca="1">INDIRECT("'"&amp;$B55&amp;"'!k38")</f>
        <v>0</v>
      </c>
      <c r="N55" s="671" t="str">
        <f t="shared" ca="1" si="10"/>
        <v>Number</v>
      </c>
      <c r="O55" s="631">
        <f t="shared" ca="1" si="11"/>
        <v>0</v>
      </c>
    </row>
    <row r="56" spans="1:15" ht="19.5" customHeight="1" thickBot="1" x14ac:dyDescent="0.3">
      <c r="A56">
        <v>36</v>
      </c>
      <c r="B56" s="673" t="str">
        <f t="shared" si="6"/>
        <v>ZMifsud</v>
      </c>
      <c r="C56" s="670">
        <f t="shared" ca="1" si="7"/>
        <v>0</v>
      </c>
      <c r="D56" s="670">
        <f t="shared" ca="1" si="8"/>
        <v>0</v>
      </c>
      <c r="E56" s="670">
        <f t="shared" ca="1" si="9"/>
        <v>0</v>
      </c>
      <c r="F56" s="77" t="str">
        <f ca="1">INDIRECT("'"&amp;$B56&amp;"'!b36")</f>
        <v>€</v>
      </c>
      <c r="G56" s="671">
        <f ca="1">INDIRECT("'"&amp;$B56&amp;"'!d36")</f>
        <v>0</v>
      </c>
      <c r="H56" s="672" t="str">
        <f ca="1">INDIRECT("'"&amp;$B56&amp;"'!e36")</f>
        <v>Category</v>
      </c>
      <c r="I56" s="77" t="str">
        <f ca="1">INDIRECT("'"&amp;$B56&amp;"'!f36")</f>
        <v>Payee</v>
      </c>
      <c r="J56" s="77" t="str">
        <f ca="1">INDIRECT("'"&amp;$B56&amp;"'!g36")</f>
        <v>Payer</v>
      </c>
      <c r="K56" s="77" t="str">
        <f ca="1">INDIRECT("'"&amp;$B56&amp;"'!i36")</f>
        <v>Payee</v>
      </c>
      <c r="L56" s="338" t="str">
        <f ca="1">INDIRECT("'"&amp;$B56&amp;"'!j36")</f>
        <v>From</v>
      </c>
      <c r="M56" s="338" t="str">
        <f ca="1">INDIRECT("'"&amp;$B56&amp;"'!k36")</f>
        <v>To</v>
      </c>
      <c r="N56" s="671" t="str">
        <f t="shared" ca="1" si="10"/>
        <v>Number</v>
      </c>
      <c r="O56" s="631">
        <f t="shared" ca="1" si="11"/>
        <v>0</v>
      </c>
    </row>
    <row r="57" spans="1:15" ht="19.5" customHeight="1" thickBot="1" x14ac:dyDescent="0.3">
      <c r="A57">
        <v>36</v>
      </c>
      <c r="B57" s="673" t="str">
        <f t="shared" si="6"/>
        <v>ZMifsud</v>
      </c>
      <c r="C57" s="670">
        <f t="shared" ca="1" si="7"/>
        <v>0</v>
      </c>
      <c r="D57" s="670">
        <f t="shared" ca="1" si="8"/>
        <v>0</v>
      </c>
      <c r="E57" s="670">
        <f t="shared" ca="1" si="9"/>
        <v>0</v>
      </c>
      <c r="F57" s="77">
        <f ca="1">INDIRECT("'"&amp;$B57&amp;"'!b37")</f>
        <v>0</v>
      </c>
      <c r="G57" s="671">
        <f ca="1">INDIRECT("'"&amp;$B57&amp;"'!d37")</f>
        <v>0</v>
      </c>
      <c r="H57" s="672" t="str">
        <f ca="1">INDIRECT("'"&amp;$B57&amp;"'!e37")</f>
        <v xml:space="preserve"> </v>
      </c>
      <c r="I57" s="77">
        <f ca="1">INDIRECT("'"&amp;$B57&amp;"'!f37")</f>
        <v>0</v>
      </c>
      <c r="J57" s="77">
        <f ca="1">INDIRECT("'"&amp;$B57&amp;"'!g37")</f>
        <v>0</v>
      </c>
      <c r="K57" s="77">
        <f ca="1">INDIRECT("'"&amp;$B57&amp;"'!i37")</f>
        <v>0</v>
      </c>
      <c r="L57" s="338">
        <f ca="1">INDIRECT("'"&amp;$B57&amp;"'!j37")</f>
        <v>0</v>
      </c>
      <c r="M57" s="338">
        <f ca="1">INDIRECT("'"&amp;$B57&amp;"'!k37")</f>
        <v>0</v>
      </c>
      <c r="N57" s="671" t="str">
        <f t="shared" ca="1" si="10"/>
        <v>Number</v>
      </c>
      <c r="O57" s="631">
        <f t="shared" ca="1" si="11"/>
        <v>0</v>
      </c>
    </row>
    <row r="58" spans="1:15" ht="19.5" customHeight="1" thickBot="1" x14ac:dyDescent="0.3">
      <c r="A58">
        <v>36</v>
      </c>
      <c r="B58" s="673" t="str">
        <f t="shared" si="6"/>
        <v>ZMifsud</v>
      </c>
      <c r="C58" s="670">
        <f t="shared" ca="1" si="7"/>
        <v>0</v>
      </c>
      <c r="D58" s="670">
        <f t="shared" ca="1" si="8"/>
        <v>0</v>
      </c>
      <c r="E58" s="670">
        <f t="shared" ca="1" si="9"/>
        <v>0</v>
      </c>
      <c r="F58" s="77">
        <f ca="1">INDIRECT("'"&amp;$B58&amp;"'!b38")</f>
        <v>0</v>
      </c>
      <c r="G58" s="671">
        <f ca="1">INDIRECT("'"&amp;$B58&amp;"'!d38")</f>
        <v>0</v>
      </c>
      <c r="H58" s="672" t="str">
        <f ca="1">INDIRECT("'"&amp;$B58&amp;"'!e38")</f>
        <v xml:space="preserve"> </v>
      </c>
      <c r="I58" s="77">
        <f ca="1">INDIRECT("'"&amp;$B58&amp;"'!f38")</f>
        <v>0</v>
      </c>
      <c r="J58" s="77">
        <f ca="1">INDIRECT("'"&amp;$B58&amp;"'!g38")</f>
        <v>0</v>
      </c>
      <c r="K58" s="77">
        <f ca="1">INDIRECT("'"&amp;$B58&amp;"'!i38")</f>
        <v>0</v>
      </c>
      <c r="L58" s="338">
        <f ca="1">INDIRECT("'"&amp;$B58&amp;"'!j38")</f>
        <v>0</v>
      </c>
      <c r="M58" s="338">
        <f ca="1">INDIRECT("'"&amp;$B58&amp;"'!k38")</f>
        <v>0</v>
      </c>
      <c r="N58" s="671" t="str">
        <f t="shared" ca="1" si="10"/>
        <v>Number</v>
      </c>
      <c r="O58" s="631">
        <f t="shared" ca="1" si="11"/>
        <v>0</v>
      </c>
    </row>
    <row r="59" spans="1:15" ht="19.5" customHeight="1" thickBot="1" x14ac:dyDescent="0.3">
      <c r="A59">
        <v>37</v>
      </c>
      <c r="B59" s="673" t="str">
        <f t="shared" si="6"/>
        <v>DIVP6</v>
      </c>
      <c r="C59" s="670">
        <f t="shared" ca="1" si="7"/>
        <v>0</v>
      </c>
      <c r="D59" s="670">
        <f t="shared" ca="1" si="8"/>
        <v>0</v>
      </c>
      <c r="E59" s="670">
        <f t="shared" ca="1" si="9"/>
        <v>0</v>
      </c>
      <c r="F59" s="77">
        <f ca="1">INDIRECT("'"&amp;$B59&amp;"'!b36")</f>
        <v>0</v>
      </c>
      <c r="G59" s="671">
        <f ca="1">INDIRECT("'"&amp;$B59&amp;"'!d36")</f>
        <v>0</v>
      </c>
      <c r="H59" s="672">
        <f ca="1">INDIRECT("'"&amp;$B59&amp;"'!e36")</f>
        <v>0</v>
      </c>
      <c r="I59" s="77">
        <f ca="1">INDIRECT("'"&amp;$B59&amp;"'!f36")</f>
        <v>0</v>
      </c>
      <c r="J59" s="77">
        <f ca="1">INDIRECT("'"&amp;$B59&amp;"'!g36")</f>
        <v>0</v>
      </c>
      <c r="K59" s="77">
        <f ca="1">INDIRECT("'"&amp;$B59&amp;"'!i36")</f>
        <v>0</v>
      </c>
      <c r="L59" s="338">
        <f ca="1">INDIRECT("'"&amp;$B59&amp;"'!j36")</f>
        <v>0</v>
      </c>
      <c r="M59" s="338">
        <f ca="1">INDIRECT("'"&amp;$B59&amp;"'!k36")</f>
        <v>0</v>
      </c>
      <c r="N59" s="671">
        <f t="shared" ca="1" si="10"/>
        <v>0</v>
      </c>
      <c r="O59" s="631">
        <f t="shared" ca="1" si="11"/>
        <v>0</v>
      </c>
    </row>
    <row r="60" spans="1:15" ht="19.5" customHeight="1" thickBot="1" x14ac:dyDescent="0.3">
      <c r="A60">
        <v>37</v>
      </c>
      <c r="B60" s="673" t="str">
        <f t="shared" si="6"/>
        <v>DIVP6</v>
      </c>
      <c r="C60" s="670">
        <f t="shared" ca="1" si="7"/>
        <v>0</v>
      </c>
      <c r="D60" s="670">
        <f t="shared" ca="1" si="8"/>
        <v>0</v>
      </c>
      <c r="E60" s="670">
        <f t="shared" ca="1" si="9"/>
        <v>0</v>
      </c>
      <c r="F60" s="77">
        <f ca="1">INDIRECT("'"&amp;$B60&amp;"'!b37")</f>
        <v>0</v>
      </c>
      <c r="G60" s="671">
        <f ca="1">INDIRECT("'"&amp;$B60&amp;"'!d37")</f>
        <v>0</v>
      </c>
      <c r="H60" s="672">
        <f ca="1">INDIRECT("'"&amp;$B60&amp;"'!e37")</f>
        <v>0</v>
      </c>
      <c r="I60" s="77">
        <f ca="1">INDIRECT("'"&amp;$B60&amp;"'!f37")</f>
        <v>0</v>
      </c>
      <c r="J60" s="77">
        <f ca="1">INDIRECT("'"&amp;$B60&amp;"'!g37")</f>
        <v>0</v>
      </c>
      <c r="K60" s="77">
        <f ca="1">INDIRECT("'"&amp;$B60&amp;"'!i37")</f>
        <v>0</v>
      </c>
      <c r="L60" s="338">
        <f ca="1">INDIRECT("'"&amp;$B60&amp;"'!j37")</f>
        <v>0</v>
      </c>
      <c r="M60" s="338">
        <f ca="1">INDIRECT("'"&amp;$B60&amp;"'!k37")</f>
        <v>0</v>
      </c>
      <c r="N60" s="671">
        <f t="shared" ca="1" si="10"/>
        <v>0</v>
      </c>
      <c r="O60" s="631">
        <f t="shared" ca="1" si="11"/>
        <v>0</v>
      </c>
    </row>
    <row r="61" spans="1:15" ht="19.5" customHeight="1" thickBot="1" x14ac:dyDescent="0.3">
      <c r="A61">
        <v>37</v>
      </c>
      <c r="B61" s="673" t="str">
        <f t="shared" si="6"/>
        <v>DIVP6</v>
      </c>
      <c r="C61" s="670">
        <f t="shared" ca="1" si="7"/>
        <v>0</v>
      </c>
      <c r="D61" s="670">
        <f t="shared" ca="1" si="8"/>
        <v>0</v>
      </c>
      <c r="E61" s="670">
        <f t="shared" ca="1" si="9"/>
        <v>0</v>
      </c>
      <c r="F61" s="77">
        <f ca="1">INDIRECT("'"&amp;$B61&amp;"'!b38")</f>
        <v>0</v>
      </c>
      <c r="G61" s="671">
        <f ca="1">INDIRECT("'"&amp;$B61&amp;"'!d38")</f>
        <v>0</v>
      </c>
      <c r="H61" s="672">
        <f ca="1">INDIRECT("'"&amp;$B61&amp;"'!e38")</f>
        <v>0</v>
      </c>
      <c r="I61" s="77">
        <f ca="1">INDIRECT("'"&amp;$B61&amp;"'!f38")</f>
        <v>0</v>
      </c>
      <c r="J61" s="77">
        <f ca="1">INDIRECT("'"&amp;$B61&amp;"'!g38")</f>
        <v>0</v>
      </c>
      <c r="K61" s="77">
        <f ca="1">INDIRECT("'"&amp;$B61&amp;"'!i38")</f>
        <v>0</v>
      </c>
      <c r="L61" s="338">
        <f ca="1">INDIRECT("'"&amp;$B61&amp;"'!j38")</f>
        <v>0</v>
      </c>
      <c r="M61" s="338">
        <f ca="1">INDIRECT("'"&amp;$B61&amp;"'!k38")</f>
        <v>0</v>
      </c>
      <c r="N61" s="671">
        <f t="shared" ca="1" si="10"/>
        <v>0</v>
      </c>
      <c r="O61" s="631">
        <f t="shared" ca="1" si="11"/>
        <v>0</v>
      </c>
    </row>
    <row r="62" spans="1:15" ht="19.5" customHeight="1" thickBot="1" x14ac:dyDescent="0.3">
      <c r="A62">
        <v>40</v>
      </c>
      <c r="B62" s="673" t="str">
        <f t="shared" si="6"/>
        <v>PTBLANKE</v>
      </c>
      <c r="C62" s="670">
        <f t="shared" ca="1" si="7"/>
        <v>0</v>
      </c>
      <c r="D62" s="670">
        <f t="shared" ca="1" si="8"/>
        <v>0</v>
      </c>
      <c r="E62" s="670">
        <f t="shared" ca="1" si="9"/>
        <v>0</v>
      </c>
      <c r="F62" s="77">
        <f ca="1">INDIRECT("'"&amp;$B62&amp;"'!b36")</f>
        <v>0</v>
      </c>
      <c r="G62" s="671">
        <f ca="1">INDIRECT("'"&amp;$B62&amp;"'!d36")</f>
        <v>0</v>
      </c>
      <c r="H62" s="672">
        <f ca="1">INDIRECT("'"&amp;$B62&amp;"'!e36")</f>
        <v>0</v>
      </c>
      <c r="I62" s="77">
        <f ca="1">INDIRECT("'"&amp;$B62&amp;"'!f36")</f>
        <v>0</v>
      </c>
      <c r="J62" s="77">
        <f ca="1">INDIRECT("'"&amp;$B62&amp;"'!g36")</f>
        <v>0</v>
      </c>
      <c r="K62" s="77">
        <f ca="1">INDIRECT("'"&amp;$B62&amp;"'!i36")</f>
        <v>0</v>
      </c>
      <c r="L62" s="338">
        <f ca="1">INDIRECT("'"&amp;$B62&amp;"'!j36")</f>
        <v>0</v>
      </c>
      <c r="M62" s="338">
        <f ca="1">INDIRECT("'"&amp;$B62&amp;"'!k36")</f>
        <v>0</v>
      </c>
      <c r="N62" s="671">
        <f t="shared" ca="1" si="10"/>
        <v>0</v>
      </c>
      <c r="O62" s="631">
        <f t="shared" ca="1" si="11"/>
        <v>0</v>
      </c>
    </row>
    <row r="63" spans="1:15" ht="19.5" customHeight="1" thickBot="1" x14ac:dyDescent="0.3">
      <c r="A63">
        <v>41</v>
      </c>
      <c r="B63" s="673" t="str">
        <f t="shared" si="6"/>
        <v>Summary</v>
      </c>
      <c r="C63" s="670">
        <f t="shared" ca="1" si="7"/>
        <v>0</v>
      </c>
      <c r="D63" s="670">
        <f t="shared" ca="1" si="8"/>
        <v>0</v>
      </c>
      <c r="E63" s="670">
        <f t="shared" ca="1" si="9"/>
        <v>2021009</v>
      </c>
      <c r="F63" s="77">
        <f ca="1">INDIRECT("'"&amp;$B63&amp;"'!b36")</f>
        <v>7822.7066666666615</v>
      </c>
      <c r="G63" s="671">
        <f ca="1">INDIRECT("'"&amp;$B63&amp;"'!d36")</f>
        <v>6413.5066666666626</v>
      </c>
      <c r="H63" s="672">
        <f ca="1">INDIRECT("'"&amp;$B63&amp;"'!e36")</f>
        <v>5569.3733333333294</v>
      </c>
      <c r="I63" s="77">
        <f ca="1">INDIRECT("'"&amp;$B63&amp;"'!f36")</f>
        <v>6609.3733333333284</v>
      </c>
      <c r="J63" s="77">
        <f ca="1">INDIRECT("'"&amp;$B63&amp;"'!g36")</f>
        <v>330</v>
      </c>
      <c r="K63" s="77">
        <f ca="1">INDIRECT("'"&amp;$B63&amp;"'!i36")</f>
        <v>1513.3733333333323</v>
      </c>
      <c r="L63" s="338">
        <f ca="1">INDIRECT("'"&amp;$B63&amp;"'!j36")</f>
        <v>1258.5733333333324</v>
      </c>
      <c r="M63" s="338">
        <f ca="1">INDIRECT("'"&amp;$B63&amp;"'!k36")</f>
        <v>1575.8733333333323</v>
      </c>
      <c r="N63" s="671">
        <f t="shared" ca="1" si="10"/>
        <v>1778.5733333333324</v>
      </c>
      <c r="O63" s="631">
        <f t="shared" ca="1" si="11"/>
        <v>0</v>
      </c>
    </row>
    <row r="64" spans="1:15" ht="19.5" customHeight="1" thickBot="1" x14ac:dyDescent="0.3">
      <c r="A64">
        <v>19</v>
      </c>
      <c r="B64" s="673" t="str">
        <f t="shared" si="6"/>
        <v>RSreejith</v>
      </c>
      <c r="C64" s="670">
        <f t="shared" ca="1" si="7"/>
        <v>0</v>
      </c>
      <c r="D64" s="670" t="s">
        <v>629</v>
      </c>
      <c r="E64" s="670">
        <f t="shared" ca="1" si="9"/>
        <v>0</v>
      </c>
      <c r="F64" s="77">
        <f ca="1">INDIRECT("'"&amp;$B64&amp;"'!b38")</f>
        <v>0</v>
      </c>
      <c r="G64" s="671">
        <f ca="1">INDIRECT("'"&amp;$B64&amp;"'!d38")</f>
        <v>0</v>
      </c>
      <c r="H64" s="672" t="str">
        <f ca="1">INDIRECT("'"&amp;$B64&amp;"'!e38")</f>
        <v xml:space="preserve"> </v>
      </c>
      <c r="I64" s="77">
        <f ca="1">INDIRECT("'"&amp;$B64&amp;"'!f38")</f>
        <v>0</v>
      </c>
      <c r="J64" s="77">
        <f ca="1">INDIRECT("'"&amp;$B64&amp;"'!g38")</f>
        <v>0</v>
      </c>
      <c r="K64" s="77">
        <f ca="1">INDIRECT("'"&amp;$B64&amp;"'!i38")</f>
        <v>0</v>
      </c>
      <c r="L64" s="338">
        <f ca="1">INDIRECT("'"&amp;$B64&amp;"'!j38")</f>
        <v>0</v>
      </c>
      <c r="M64" s="338">
        <f ca="1">INDIRECT("'"&amp;$B64&amp;"'!k38")</f>
        <v>0</v>
      </c>
      <c r="N64" s="671" t="str">
        <f t="shared" ca="1" si="10"/>
        <v>Number</v>
      </c>
      <c r="O64" s="631">
        <f t="shared" ca="1" si="11"/>
        <v>0</v>
      </c>
    </row>
    <row r="65" spans="6:14" x14ac:dyDescent="0.25">
      <c r="F65" s="77"/>
      <c r="G65" s="671"/>
      <c r="H65" s="672"/>
      <c r="I65" s="77"/>
      <c r="J65" s="77"/>
      <c r="K65" s="670"/>
      <c r="L65" s="338"/>
      <c r="M65" s="338"/>
      <c r="N65" s="671"/>
    </row>
  </sheetData>
  <pageMargins left="0.7" right="0.7" top="0.75" bottom="0.75" header="0.3" footer="0.3"/>
  <legacyDrawing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01">
    <tabColor rgb="FF0070C0"/>
  </sheetPr>
  <dimension ref="A1:BJ149"/>
  <sheetViews>
    <sheetView workbookViewId="0"/>
  </sheetViews>
  <sheetFormatPr defaultColWidth="17.28515625" defaultRowHeight="15" customHeight="1" x14ac:dyDescent="0.25"/>
  <cols>
    <col min="1" max="1" width="6.28515625" style="73" customWidth="1"/>
    <col min="2" max="2" width="14.28515625" style="73" customWidth="1"/>
    <col min="3" max="3" width="4" style="73" customWidth="1"/>
    <col min="4" max="4" width="6.7109375" style="73" customWidth="1"/>
    <col min="5" max="5" width="13.28515625" style="73" customWidth="1"/>
    <col min="6" max="6" width="18" style="73" customWidth="1"/>
    <col min="7" max="7" width="13.7109375" style="73" customWidth="1"/>
    <col min="8" max="8" width="14.7109375" style="73" customWidth="1"/>
    <col min="9" max="9" width="12" style="73" customWidth="1"/>
    <col min="10" max="10" width="13.7109375" style="73" customWidth="1"/>
    <col min="11" max="11" width="13.5703125" style="73" customWidth="1"/>
    <col min="12" max="12" width="12.42578125" style="73" customWidth="1"/>
    <col min="13" max="13" width="10.7109375" style="73" customWidth="1"/>
    <col min="14" max="14" width="9.140625" style="29" customWidth="1"/>
    <col min="15" max="15" width="23.42578125" style="73" customWidth="1"/>
    <col min="16" max="16" width="11.85546875" style="73" customWidth="1"/>
    <col min="17" max="17" width="15.140625" style="73" customWidth="1"/>
    <col min="18" max="18" width="12.5703125" style="73" customWidth="1"/>
    <col min="19" max="19" width="19.85546875" style="73" customWidth="1"/>
    <col min="20" max="20" width="13" style="73" customWidth="1"/>
    <col min="21" max="21" width="13.7109375" style="73" customWidth="1"/>
    <col min="22" max="22" width="19" style="73" customWidth="1"/>
    <col min="23" max="23" width="16.42578125" style="73" customWidth="1"/>
    <col min="24" max="24" width="15.42578125" style="73" customWidth="1"/>
    <col min="25" max="25" width="13.7109375" style="73" customWidth="1"/>
    <col min="28" max="28" width="13.28515625" style="73" customWidth="1"/>
    <col min="29" max="29" width="13.140625" style="73" customWidth="1"/>
    <col min="30" max="30" width="14.140625" style="73" customWidth="1"/>
    <col min="31" max="31" width="13.42578125" style="73" customWidth="1"/>
    <col min="32" max="32" width="12.7109375" style="73" customWidth="1"/>
    <col min="33" max="33" width="12" style="73" customWidth="1"/>
    <col min="34" max="34" width="13.85546875" style="73" customWidth="1"/>
    <col min="35" max="35" width="13.5703125" style="73" customWidth="1"/>
    <col min="36" max="36" width="13.7109375" style="73" customWidth="1"/>
    <col min="37" max="37" width="10.42578125" style="73" customWidth="1"/>
    <col min="38" max="38" width="17.28515625" style="73" customWidth="1"/>
    <col min="39" max="39" width="10.28515625" style="73" customWidth="1"/>
    <col min="40" max="40" width="8.140625" style="73" customWidth="1"/>
    <col min="41" max="41" width="7.5703125" style="73" customWidth="1"/>
    <col min="42" max="43" width="17.28515625" style="73" customWidth="1"/>
    <col min="44" max="44" width="8" style="73" customWidth="1"/>
    <col min="45" max="45" width="11.28515625" style="73" customWidth="1"/>
    <col min="46" max="46" width="6.42578125" style="73" customWidth="1"/>
    <col min="47" max="47" width="8.140625" style="73" customWidth="1"/>
    <col min="48" max="48" width="17.28515625" style="73" customWidth="1"/>
    <col min="49" max="16384" width="17.28515625" style="73"/>
  </cols>
  <sheetData>
    <row r="1" spans="1:62" ht="18" customHeight="1" thickBot="1" x14ac:dyDescent="0.35">
      <c r="A1" s="304" t="str">
        <f ca="1">MID(CELL("filename",A1),FIND("]",CELL("filename",A1))+1,256)</f>
        <v>SPare</v>
      </c>
      <c r="B1" s="305"/>
      <c r="C1" s="305"/>
      <c r="D1" s="305"/>
      <c r="E1" s="305"/>
      <c r="F1" s="305"/>
      <c r="G1" s="305"/>
      <c r="H1" s="305"/>
      <c r="I1" s="305"/>
      <c r="J1" s="305"/>
      <c r="K1" s="305"/>
      <c r="L1" s="306"/>
      <c r="M1" s="264">
        <v>1</v>
      </c>
      <c r="N1" s="265">
        <v>2</v>
      </c>
      <c r="O1" s="264">
        <v>3</v>
      </c>
      <c r="P1" s="265">
        <v>4</v>
      </c>
      <c r="Q1" s="264">
        <v>5</v>
      </c>
      <c r="R1" s="265">
        <v>6</v>
      </c>
      <c r="S1" s="264">
        <v>7</v>
      </c>
      <c r="T1" s="265">
        <v>8</v>
      </c>
      <c r="U1" s="264">
        <v>9</v>
      </c>
      <c r="V1" s="265">
        <v>10</v>
      </c>
      <c r="W1" s="264">
        <v>11</v>
      </c>
      <c r="X1" s="265">
        <v>12</v>
      </c>
      <c r="Y1" s="264">
        <v>13</v>
      </c>
      <c r="Z1" s="265">
        <v>14</v>
      </c>
      <c r="AA1" s="264">
        <v>15</v>
      </c>
      <c r="AB1" s="265">
        <v>16</v>
      </c>
      <c r="AC1" s="264">
        <v>17</v>
      </c>
      <c r="AD1" s="265">
        <v>18</v>
      </c>
      <c r="AE1" s="264">
        <v>19</v>
      </c>
      <c r="AF1" s="265">
        <v>20</v>
      </c>
      <c r="AG1" s="264">
        <v>21</v>
      </c>
      <c r="AH1" s="265">
        <v>22</v>
      </c>
      <c r="AI1" s="264">
        <v>23</v>
      </c>
      <c r="AJ1" s="265">
        <v>24</v>
      </c>
      <c r="AK1" s="264">
        <v>25</v>
      </c>
      <c r="AL1" s="265">
        <v>26</v>
      </c>
      <c r="AM1" s="264">
        <v>27</v>
      </c>
      <c r="AN1" s="265">
        <v>28</v>
      </c>
      <c r="AO1" s="264">
        <v>29</v>
      </c>
      <c r="AP1" s="265">
        <v>30</v>
      </c>
      <c r="AQ1" s="264">
        <v>31</v>
      </c>
      <c r="AR1" s="265">
        <v>32</v>
      </c>
      <c r="AS1" s="264">
        <v>33</v>
      </c>
      <c r="AT1" s="265">
        <v>34</v>
      </c>
      <c r="AU1" s="264">
        <v>35</v>
      </c>
      <c r="AV1" s="265">
        <v>36</v>
      </c>
      <c r="AW1" s="264">
        <v>37</v>
      </c>
      <c r="AX1" s="265">
        <v>38</v>
      </c>
      <c r="AY1" s="264">
        <v>39</v>
      </c>
      <c r="AZ1" s="265">
        <v>40</v>
      </c>
      <c r="BA1" s="264">
        <v>41</v>
      </c>
      <c r="BB1" s="285">
        <v>42</v>
      </c>
      <c r="BC1" s="208">
        <v>43</v>
      </c>
      <c r="BD1" s="255"/>
    </row>
    <row r="2" spans="1:62" ht="43.5" customHeight="1" thickBot="1" x14ac:dyDescent="0.35">
      <c r="A2" s="307"/>
      <c r="B2" s="942" t="s">
        <v>89</v>
      </c>
      <c r="C2" s="84"/>
      <c r="D2" s="90" t="s">
        <v>1</v>
      </c>
      <c r="E2" s="84"/>
      <c r="F2" s="84"/>
      <c r="G2" s="84"/>
      <c r="H2" s="84"/>
      <c r="L2" s="309"/>
      <c r="M2" s="301" t="s">
        <v>90</v>
      </c>
      <c r="N2" s="570"/>
      <c r="O2" s="227" t="e">
        <f>CONCATENATE(LEFT(Name,1),Surname)</f>
        <v>#N/A</v>
      </c>
      <c r="P2" s="219" t="s">
        <v>91</v>
      </c>
      <c r="Q2" s="215" t="s">
        <v>92</v>
      </c>
      <c r="R2" s="547" t="s">
        <v>93</v>
      </c>
      <c r="S2" s="216" t="s">
        <v>94</v>
      </c>
      <c r="T2" s="229" t="s">
        <v>95</v>
      </c>
      <c r="U2" s="230" t="s">
        <v>96</v>
      </c>
      <c r="V2" s="228" t="s">
        <v>97</v>
      </c>
      <c r="W2" s="202" t="s">
        <v>98</v>
      </c>
      <c r="X2" s="231" t="s">
        <v>99</v>
      </c>
      <c r="Y2" s="232" t="s">
        <v>100</v>
      </c>
      <c r="Z2" s="218" t="s">
        <v>101</v>
      </c>
      <c r="AA2" s="228" t="s">
        <v>102</v>
      </c>
      <c r="AB2" s="230" t="s">
        <v>103</v>
      </c>
      <c r="AC2" s="228" t="s">
        <v>104</v>
      </c>
      <c r="AD2" s="230" t="s">
        <v>105</v>
      </c>
      <c r="AE2" s="228" t="s">
        <v>106</v>
      </c>
      <c r="AF2" s="233" t="s">
        <v>107</v>
      </c>
      <c r="AG2" s="234" t="s">
        <v>108</v>
      </c>
      <c r="AH2" s="233" t="s">
        <v>109</v>
      </c>
      <c r="AI2" s="234" t="s">
        <v>110</v>
      </c>
      <c r="AJ2" s="233" t="s">
        <v>111</v>
      </c>
      <c r="AK2" s="234" t="s">
        <v>72</v>
      </c>
      <c r="AL2" s="233" t="s">
        <v>112</v>
      </c>
      <c r="AM2" s="234" t="s">
        <v>113</v>
      </c>
      <c r="AN2" s="233" t="s">
        <v>114</v>
      </c>
      <c r="AO2" s="235" t="s">
        <v>115</v>
      </c>
      <c r="AP2" s="236" t="s">
        <v>116</v>
      </c>
      <c r="AQ2" s="235" t="s">
        <v>117</v>
      </c>
      <c r="AR2" s="236" t="s">
        <v>118</v>
      </c>
      <c r="AS2" s="235" t="s">
        <v>119</v>
      </c>
      <c r="AT2" s="236" t="s">
        <v>120</v>
      </c>
      <c r="AU2" s="240" t="str">
        <f>+[1]RGaldes!N2</f>
        <v>SL Balance</v>
      </c>
      <c r="AV2" s="242" t="s">
        <v>121</v>
      </c>
      <c r="AW2" s="243" t="s">
        <v>122</v>
      </c>
      <c r="AX2" s="235" t="s">
        <v>123</v>
      </c>
      <c r="AY2" s="237" t="s">
        <v>124</v>
      </c>
      <c r="AZ2" s="238">
        <v>0</v>
      </c>
      <c r="BA2" s="235" t="s">
        <v>125</v>
      </c>
      <c r="BB2" s="280" t="s">
        <v>126</v>
      </c>
      <c r="BC2" s="281" t="s">
        <v>127</v>
      </c>
      <c r="BD2" s="255"/>
      <c r="BE2" s="29"/>
    </row>
    <row r="3" spans="1:62" ht="37.5" customHeight="1" thickBot="1" x14ac:dyDescent="0.35">
      <c r="A3" s="54"/>
      <c r="B3" s="901"/>
      <c r="D3" s="308"/>
      <c r="L3" s="309"/>
      <c r="M3" s="748" t="s">
        <v>128</v>
      </c>
      <c r="N3" s="571"/>
      <c r="O3" s="246">
        <f>+O4-1</f>
        <v>46022</v>
      </c>
      <c r="P3" s="245"/>
      <c r="Q3" s="247"/>
      <c r="R3" s="548" t="s">
        <v>129</v>
      </c>
      <c r="S3" s="245"/>
      <c r="T3" s="245"/>
      <c r="U3" s="245"/>
      <c r="V3" s="245"/>
      <c r="W3" s="245"/>
      <c r="X3" s="249"/>
      <c r="Y3" s="250"/>
      <c r="Z3" s="245"/>
      <c r="AA3" s="245"/>
      <c r="AB3" s="245"/>
      <c r="AC3" s="245"/>
      <c r="AD3" s="245"/>
      <c r="AE3" s="245"/>
      <c r="AF3" s="251"/>
      <c r="AG3" s="251"/>
      <c r="AH3" s="251"/>
      <c r="AI3" s="251"/>
      <c r="AJ3" s="251"/>
      <c r="AK3" s="251"/>
      <c r="AL3" s="251"/>
      <c r="AM3" s="251"/>
      <c r="AN3" s="251"/>
      <c r="AO3" s="252" t="e">
        <f>IF((O21-StartEmp&gt;92),92,(IF(OR(StartEmp=O21,StartEmp&gt;O21),0,(O21-StartEmp))))</f>
        <v>#N/A</v>
      </c>
      <c r="AP3" s="251" t="e">
        <f ca="1">+INDIRECT("[EMPINFO.xlsm]"&amp;$O$2&amp;"!o3")</f>
        <v>#N/A</v>
      </c>
      <c r="AQ3" s="251" t="e">
        <f ca="1">+INDIRECT("[EMPINFO.xlsm]"&amp;$O$2&amp;"!p3")</f>
        <v>#N/A</v>
      </c>
      <c r="AR3" s="251" t="e">
        <f ca="1">+INDIRECT("[EMPINFO.xlsm]"&amp;$O$2&amp;"!j3")</f>
        <v>#N/A</v>
      </c>
      <c r="AS3" s="251" t="e">
        <f ca="1">+INDIRECT("[EMPINFO.xlsm]"&amp;$O$2&amp;"!k3")</f>
        <v>#N/A</v>
      </c>
      <c r="AT3" s="251"/>
      <c r="AU3" s="251" t="e">
        <f ca="1">+INDIRECT("[EMPINFO.xlsm]"&amp;$O$2&amp;"!n3")</f>
        <v>#N/A</v>
      </c>
      <c r="AV3" s="253"/>
      <c r="AW3" s="254"/>
      <c r="AX3" s="251" t="e">
        <f ca="1">+INDIRECT("[EMPINFO.xlsm]"&amp;$O$2&amp;"!u3")</f>
        <v>#N/A</v>
      </c>
      <c r="AY3" s="251"/>
      <c r="AZ3" s="251"/>
      <c r="BA3" s="251"/>
      <c r="BB3" s="283" t="s">
        <v>130</v>
      </c>
      <c r="BC3" s="284"/>
      <c r="BD3" s="255"/>
      <c r="BE3" s="29"/>
    </row>
    <row r="4" spans="1:62" ht="18.75" customHeight="1" thickBot="1" x14ac:dyDescent="0.35">
      <c r="A4" s="54"/>
      <c r="B4" s="901"/>
      <c r="D4" s="308" t="s">
        <v>131</v>
      </c>
      <c r="E4" s="308"/>
      <c r="F4" s="308"/>
      <c r="G4" s="310"/>
      <c r="L4" s="101"/>
      <c r="M4" s="248" t="s">
        <v>132</v>
      </c>
      <c r="N4" s="211" t="e">
        <f t="shared" ref="N4:N15" ca="1" si="0">+((X4+Y4)*0.230769230769231/40)+R4</f>
        <v>#N/A</v>
      </c>
      <c r="O4" s="213">
        <f>+DATA!A3</f>
        <v>46023</v>
      </c>
      <c r="P4" s="219" t="e">
        <f ca="1">+INDIRECT("[EMPINFO.xlsm]"&amp;$O$2&amp;"!G4")</f>
        <v>#N/A</v>
      </c>
      <c r="Q4" s="215" t="e">
        <f ca="1">IF(AZ4="active",INDIRECT("[EMPINFO.xlsm]"&amp;$O$2&amp;"!H4"),0)</f>
        <v>#N/A</v>
      </c>
      <c r="R4" s="239" t="e">
        <f ca="1">IF(AZ4&lt;&gt;"active",0,N3+COLA)</f>
        <v>#N/A</v>
      </c>
      <c r="S4" s="216" t="e">
        <f t="shared" ref="S4:S15" ca="1" si="1">+Q4*R4*4.33333333333333*AO4/AX4</f>
        <v>#N/A</v>
      </c>
      <c r="T4" s="220" t="e">
        <f t="shared" ref="T4:T15" ca="1" si="2">+BA4*R4</f>
        <v>#N/A</v>
      </c>
      <c r="U4" s="218" t="e">
        <f t="shared" ref="U4:U15" ca="1" si="3">-AY4*R4</f>
        <v>#N/A</v>
      </c>
      <c r="V4" s="220" t="e">
        <f ca="1">+janoth*janhrrt</f>
        <v>#N/A</v>
      </c>
      <c r="W4" s="201"/>
      <c r="X4" s="218">
        <f t="shared" ref="X4:X15" si="4">IF((AT3=0),AV3,(AV3-(AV3/(Q3*P3)*AT3)))</f>
        <v>0</v>
      </c>
      <c r="Y4" s="220">
        <f t="shared" ref="Y4:Y15" si="5">IF((AT3=0),AW3,(AW3-(AW3/(Q3*P3)*AT3*1.5)))</f>
        <v>0</v>
      </c>
      <c r="Z4" s="218" t="e">
        <f t="shared" ref="Z4:Z15" ca="1" si="6">+SUM(S4:Y4)</f>
        <v>#N/A</v>
      </c>
      <c r="AA4" s="220" t="e">
        <f t="shared" ref="AA4:AA15" ca="1" si="7">IF(OR(AN4="PT",AN4="PT_Casual"),TRUNC((Z4*PT_Rate),0),(TRUNC((Z4*BB4)-(BC4/12),0)))</f>
        <v>#N/A</v>
      </c>
      <c r="AB4" s="218" t="e">
        <f ca="1">+INDIRECT("[EMPINFO.xlsm]"&amp;$O$2&amp;"!s4")</f>
        <v>#N/A</v>
      </c>
      <c r="AC4" s="292">
        <v>1.5</v>
      </c>
      <c r="AD4" s="218" t="e">
        <f t="shared" ref="AD4:AD15" ca="1" si="8">+AB4*(R4*AC4)</f>
        <v>#N/A</v>
      </c>
      <c r="AE4" s="220" t="e">
        <f t="shared" ref="AE4:AE15" ca="1" si="9">+TRUNC((AD4*0.15),0)</f>
        <v>#N/A</v>
      </c>
      <c r="AF4" s="218" t="e">
        <f t="shared" ref="AF4:AF15" ca="1" si="10">+AA4+AE4</f>
        <v>#N/A</v>
      </c>
      <c r="AG4" s="220" t="e">
        <f t="shared" ref="AG4:AG15" ca="1" si="11">+R4*Q4</f>
        <v>#N/A</v>
      </c>
      <c r="AH4" s="218" t="e">
        <f t="shared" ref="AH4:AH15" ca="1" si="12">ROUND(IF(AN4="",0,IF(OR(AN4="PT",AN4="PT_Casual"),0,IF(AM4="B",ROUND(SSCBemployermultiplier*P4,2),IF(AM4="c",SOCSECCRATE*AG4*P4,IF(AM4="D",ROUND(socsecrateD*P4,2)))))),2)</f>
        <v>#N/A</v>
      </c>
      <c r="AI4" s="220" t="e">
        <f t="shared" ref="AI4:AI15" ca="1" si="13">ROUND(IF(AN4="",0,IF(OR(AN4="PT",AN4="PT_Casual"),0,IF(AM4="B",ROUND(SSCBemployermultiplier*P4,2),IF(AM4="c",SOCSECCRATE*AG4*P4,IF(AM4="D",ROUND(socsecrateD*P4,2)))))),2)</f>
        <v>#N/A</v>
      </c>
      <c r="AJ4" s="218" t="e">
        <f t="shared" ref="AJ4:AJ16" ca="1" si="14">+AH4+AI4</f>
        <v>#N/A</v>
      </c>
      <c r="AK4" s="220" t="e">
        <f t="shared" ref="AK4:AK15" ca="1" si="15">ROUND(IF(AN4="",0,IF(OR(AN4="PT",AN4="PT_Casual"),0,IF(AM4="B",SSCBmlfmultiplier*P4,IF(AM4="c",SSCCmlfmultiplier*P4*AG4,IF(AM4="D",SSCDmlfmultiplier*P4))))),2)</f>
        <v>#N/A</v>
      </c>
      <c r="AL4" s="218" t="e">
        <f ca="1">+Z4+AH4+AK4</f>
        <v>#N/A</v>
      </c>
      <c r="AM4" s="290" t="e">
        <f t="shared" ref="AM4:AM15" ca="1" si="16">IF(AZ4="Active",IF(OR(AN4="PT",AN4="PT_Casual"),0,(IF(AG4&lt;SSCcatBMAX,"B",(IF(AG4&lt;SSCcatCMAX,"C","D"))))),0)</f>
        <v>#N/A</v>
      </c>
      <c r="AN4" s="291" t="e">
        <f t="shared" ref="AN4:AN15" ca="1" si="17">IF(AZ4="active",+Timer,"")</f>
        <v>#N/A</v>
      </c>
      <c r="AO4" s="223" t="e">
        <f ca="1">+INDIRECT("[EMPINFO.xlsm]"&amp;$O$2&amp;"!t4")</f>
        <v>#N/A</v>
      </c>
      <c r="AP4" s="226" t="e">
        <f ca="1">+INDIRECT("[EMPINFO.xlsm]"&amp;$O$2&amp;"!o4")</f>
        <v>#N/A</v>
      </c>
      <c r="AQ4" s="223" t="e">
        <f ca="1">+INDIRECT("[EMPINFO.xlsm]"&amp;$O$2&amp;"!p4")</f>
        <v>#N/A</v>
      </c>
      <c r="AR4" s="226" t="e">
        <f ca="1">+INDIRECT("[EMPINFO.xlsm]"&amp;$O$2&amp;"!j4")</f>
        <v>#N/A</v>
      </c>
      <c r="AS4" s="223" t="e">
        <f ca="1">+INDIRECT("[EMPINFO.xlsm]"&amp;$O$2&amp;"!k4")</f>
        <v>#N/A</v>
      </c>
      <c r="AT4" s="226" t="e">
        <f ca="1">+INDIRECT("[EMPINFO.xlsm]"&amp;$O$2&amp;"!m4")</f>
        <v>#N/A</v>
      </c>
      <c r="AU4" s="241" t="e">
        <f ca="1">+INDIRECT("[EMPINFO.xlsm]"&amp;$O$2&amp;"!n4")</f>
        <v>#N/A</v>
      </c>
      <c r="AV4" s="244">
        <f t="shared" ref="AV4:AV15" si="18">+AV3</f>
        <v>0</v>
      </c>
      <c r="AW4" s="244">
        <f t="shared" ref="AW4:AW15" si="19">+AW3</f>
        <v>0</v>
      </c>
      <c r="AX4" s="223" t="e">
        <f ca="1">+INDIRECT("[EMPINFO.xlsm]"&amp;$O$2&amp;"!u4")</f>
        <v>#N/A</v>
      </c>
      <c r="AY4" s="215" t="e">
        <f ca="1">+INDIRECT("[EMPINFO.xlsm]"&amp;$O$2&amp;"!v4")</f>
        <v>#N/A</v>
      </c>
      <c r="AZ4" s="207" t="e">
        <f ca="1">+INDIRECT("[EMPINFO.xlsm]"&amp;$O$2&amp;"!x4")</f>
        <v>#N/A</v>
      </c>
      <c r="BA4" s="241" t="e">
        <f ca="1">+INDIRECT("[EMPINFO.xlsm]"&amp;$O$2&amp;"!w4")</f>
        <v>#N/A</v>
      </c>
      <c r="BB4" s="288" t="e">
        <f t="shared" ref="BB4:BB15" ca="1" si="20">IF(AND(Timer="pt",(Z4*12)&lt;10000),+ptrate,IF((Z4*12)&lt;$F$68,$G$68,IF((Z4*12)&lt;$F$69,$G$69,IF((Z4*12)&lt;$F$70,$G$70,IF((Z4*12)&lt;$F$71,$G$71,$G$72)))))</f>
        <v>#N/A</v>
      </c>
      <c r="BC4" s="289" t="e">
        <f t="shared" ref="BC4:BC15" ca="1" si="21">IF((Z4*12)&lt;$F$68,$H$68,IF((Z4*12)&lt;$F$69,$H$69,IF((Z4*12)&lt;$F$70,$H$70,IF((Z4*12)&lt;$F$71,$H$71,$H$72))))</f>
        <v>#N/A</v>
      </c>
      <c r="BD4" s="255"/>
      <c r="BE4" s="204"/>
      <c r="BG4" s="32"/>
      <c r="BH4" s="28"/>
      <c r="BJ4" s="28"/>
    </row>
    <row r="5" spans="1:62" ht="15.75" customHeight="1" thickBot="1" x14ac:dyDescent="0.3">
      <c r="A5" s="311" t="s">
        <v>3</v>
      </c>
      <c r="B5" s="948" t="s">
        <v>133</v>
      </c>
      <c r="C5" s="886"/>
      <c r="D5" s="308"/>
      <c r="E5" s="308"/>
      <c r="F5" s="308"/>
      <c r="G5" s="312" t="s">
        <v>7</v>
      </c>
      <c r="J5" s="312" t="s">
        <v>9</v>
      </c>
      <c r="K5" s="22">
        <f>+O4</f>
        <v>46023</v>
      </c>
      <c r="L5" s="101"/>
      <c r="M5" s="302" t="s">
        <v>134</v>
      </c>
      <c r="N5" s="211" t="e">
        <f t="shared" ca="1" si="0"/>
        <v>#N/A</v>
      </c>
      <c r="O5" s="213">
        <f>+DATA!A4</f>
        <v>46054</v>
      </c>
      <c r="P5" s="219" t="e">
        <f ca="1">+INDIRECT("[EMPINFO.xlsm]"&amp;$O$2&amp;"!G5")</f>
        <v>#N/A</v>
      </c>
      <c r="Q5" s="215" t="e">
        <f ca="1">IF(AZ5="active",INDIRECT("[EMPINFO.xlsm]"&amp;$O$2&amp;"!H5"),0)</f>
        <v>#N/A</v>
      </c>
      <c r="R5" s="239" t="e">
        <f t="shared" ref="R5:R15" ca="1" si="22">+R4</f>
        <v>#N/A</v>
      </c>
      <c r="S5" s="216" t="e">
        <f t="shared" ca="1" si="1"/>
        <v>#N/A</v>
      </c>
      <c r="T5" s="220" t="e">
        <f t="shared" ca="1" si="2"/>
        <v>#N/A</v>
      </c>
      <c r="U5" s="218" t="e">
        <f t="shared" ca="1" si="3"/>
        <v>#N/A</v>
      </c>
      <c r="V5" s="220" t="e">
        <f ca="1">+feboth*febhrrt</f>
        <v>#N/A</v>
      </c>
      <c r="W5" s="201"/>
      <c r="X5" s="218" t="e">
        <f t="shared" ca="1" si="4"/>
        <v>#N/A</v>
      </c>
      <c r="Y5" s="220" t="e">
        <f t="shared" ca="1" si="5"/>
        <v>#N/A</v>
      </c>
      <c r="Z5" s="218" t="e">
        <f t="shared" ca="1" si="6"/>
        <v>#N/A</v>
      </c>
      <c r="AA5" s="220" t="e">
        <f t="shared" ca="1" si="7"/>
        <v>#N/A</v>
      </c>
      <c r="AB5" s="218" t="e">
        <f ca="1">+INDIRECT("[EMPINFO.xlsm]"&amp;$O$2&amp;"!s5")</f>
        <v>#N/A</v>
      </c>
      <c r="AC5" s="292">
        <v>1.5</v>
      </c>
      <c r="AD5" s="218" t="e">
        <f t="shared" ca="1" si="8"/>
        <v>#N/A</v>
      </c>
      <c r="AE5" s="220" t="e">
        <f t="shared" ca="1" si="9"/>
        <v>#N/A</v>
      </c>
      <c r="AF5" s="218" t="e">
        <f t="shared" ca="1" si="10"/>
        <v>#N/A</v>
      </c>
      <c r="AG5" s="220" t="e">
        <f t="shared" ca="1" si="11"/>
        <v>#N/A</v>
      </c>
      <c r="AH5" s="218" t="e">
        <f t="shared" ca="1" si="12"/>
        <v>#N/A</v>
      </c>
      <c r="AI5" s="220" t="e">
        <f t="shared" ca="1" si="13"/>
        <v>#N/A</v>
      </c>
      <c r="AJ5" s="218" t="e">
        <f t="shared" ca="1" si="14"/>
        <v>#N/A</v>
      </c>
      <c r="AK5" s="220" t="e">
        <f t="shared" ca="1" si="15"/>
        <v>#N/A</v>
      </c>
      <c r="AL5" s="218" t="e">
        <f t="shared" ref="AL5:AL15" ca="1" si="23">+Z5+AI5+AK5</f>
        <v>#N/A</v>
      </c>
      <c r="AM5" s="290" t="e">
        <f t="shared" ca="1" si="16"/>
        <v>#N/A</v>
      </c>
      <c r="AN5" s="291" t="e">
        <f t="shared" ca="1" si="17"/>
        <v>#N/A</v>
      </c>
      <c r="AO5" s="223" t="e">
        <f ca="1">+INDIRECT("[EMPINFO.xlsm]"&amp;$O$2&amp;"!t5")</f>
        <v>#N/A</v>
      </c>
      <c r="AP5" s="226" t="e">
        <f ca="1">+INDIRECT("[EMPINFO.xlsm]"&amp;$O$2&amp;"!o5")</f>
        <v>#N/A</v>
      </c>
      <c r="AQ5" s="223" t="e">
        <f ca="1">+INDIRECT("[EMPINFO.xlsm]"&amp;$O$2&amp;"!p5")</f>
        <v>#N/A</v>
      </c>
      <c r="AR5" s="226" t="e">
        <f ca="1">+INDIRECT("[EMPINFO.xlsm]"&amp;$O$2&amp;"!j5")</f>
        <v>#N/A</v>
      </c>
      <c r="AS5" s="223" t="e">
        <f ca="1">+INDIRECT("[EMPINFO.xlsm]"&amp;$O$2&amp;"!k5")</f>
        <v>#N/A</v>
      </c>
      <c r="AT5" s="226" t="e">
        <f ca="1">+INDIRECT("[EMPINFO.xlsm]"&amp;$O$2&amp;"!m5")</f>
        <v>#N/A</v>
      </c>
      <c r="AU5" s="241" t="e">
        <f ca="1">+INDIRECT("[EMPINFO.xlsm]"&amp;$O$2&amp;"!n5")</f>
        <v>#N/A</v>
      </c>
      <c r="AV5" s="244">
        <f t="shared" si="18"/>
        <v>0</v>
      </c>
      <c r="AW5" s="244">
        <f t="shared" si="19"/>
        <v>0</v>
      </c>
      <c r="AX5" s="223" t="e">
        <f ca="1">+INDIRECT("[EMPINFO.xlsm]"&amp;$O$2&amp;"!u5")</f>
        <v>#N/A</v>
      </c>
      <c r="AY5" s="215" t="e">
        <f ca="1">+INDIRECT("[EMPINFO.xlsm]"&amp;$O$2&amp;"!v5")</f>
        <v>#N/A</v>
      </c>
      <c r="AZ5" s="207" t="e">
        <f ca="1">+INDIRECT("[EMPINFO.xlsm]"&amp;$O$2&amp;"!x5")</f>
        <v>#N/A</v>
      </c>
      <c r="BA5" s="241" t="e">
        <f ca="1">+INDIRECT("[EMPINFO.xlsm]"&amp;$O$2&amp;"!w5")</f>
        <v>#N/A</v>
      </c>
      <c r="BB5" s="288" t="e">
        <f t="shared" ca="1" si="20"/>
        <v>#N/A</v>
      </c>
      <c r="BC5" s="289" t="e">
        <f t="shared" ca="1" si="21"/>
        <v>#N/A</v>
      </c>
      <c r="BD5" s="255"/>
      <c r="BE5" s="205"/>
      <c r="BG5" s="27"/>
      <c r="BH5" s="28"/>
    </row>
    <row r="6" spans="1:62" ht="15.75" customHeight="1" thickBot="1" x14ac:dyDescent="0.3">
      <c r="A6" s="54"/>
      <c r="B6" s="2" t="s">
        <v>135</v>
      </c>
      <c r="C6" s="921" t="e">
        <f>INDEX([1]!empdata,MATCH(ID,[1]!empid,0),3)</f>
        <v>#N/A</v>
      </c>
      <c r="D6" s="922"/>
      <c r="E6" s="922"/>
      <c r="F6" s="886"/>
      <c r="I6" s="312" t="s">
        <v>136</v>
      </c>
      <c r="L6" s="101"/>
      <c r="M6" s="303"/>
      <c r="N6" s="211" t="e">
        <f t="shared" ca="1" si="0"/>
        <v>#N/A</v>
      </c>
      <c r="O6" s="213">
        <f>+DATA!A5</f>
        <v>46082</v>
      </c>
      <c r="P6" s="219" t="e">
        <f ca="1">+INDIRECT("[EMPINFO.xlsm]"&amp;$O$2&amp;"!G6")</f>
        <v>#N/A</v>
      </c>
      <c r="Q6" s="215" t="e">
        <f ca="1">IF(AZ6="active",INDIRECT("[EMPINFO.xlsm]"&amp;$O$2&amp;"!H6"),0)</f>
        <v>#N/A</v>
      </c>
      <c r="R6" s="239" t="e">
        <f t="shared" ca="1" si="22"/>
        <v>#N/A</v>
      </c>
      <c r="S6" s="216" t="e">
        <f t="shared" ca="1" si="1"/>
        <v>#N/A</v>
      </c>
      <c r="T6" s="220" t="e">
        <f t="shared" ca="1" si="2"/>
        <v>#N/A</v>
      </c>
      <c r="U6" s="218" t="e">
        <f t="shared" ca="1" si="3"/>
        <v>#N/A</v>
      </c>
      <c r="V6" s="220" t="e">
        <f ca="1">+maroth*marhrrt</f>
        <v>#N/A</v>
      </c>
      <c r="W6" s="202" t="e">
        <f ca="1">+IF(AZ6&lt;&gt;"active",0,(IF(Timer="PT_casual",(bonusmar/1040*(BA6+BA5+BA4)),(bonusmar/182*(AO6+AO5+AO4+AO3)*(Q6+Q5+Q4)/120))))</f>
        <v>#N/A</v>
      </c>
      <c r="X6" s="218" t="e">
        <f t="shared" ca="1" si="4"/>
        <v>#N/A</v>
      </c>
      <c r="Y6" s="220" t="e">
        <f t="shared" ca="1" si="5"/>
        <v>#N/A</v>
      </c>
      <c r="Z6" s="218" t="e">
        <f t="shared" ca="1" si="6"/>
        <v>#N/A</v>
      </c>
      <c r="AA6" s="220" t="e">
        <f t="shared" ca="1" si="7"/>
        <v>#N/A</v>
      </c>
      <c r="AB6" s="218" t="e">
        <f ca="1">+INDIRECT("[EMPINFO.xlsm]"&amp;$O$2&amp;"!s6")</f>
        <v>#N/A</v>
      </c>
      <c r="AC6" s="292">
        <v>1.5</v>
      </c>
      <c r="AD6" s="218" t="e">
        <f t="shared" ca="1" si="8"/>
        <v>#N/A</v>
      </c>
      <c r="AE6" s="220" t="e">
        <f t="shared" ca="1" si="9"/>
        <v>#N/A</v>
      </c>
      <c r="AF6" s="218" t="e">
        <f t="shared" ca="1" si="10"/>
        <v>#N/A</v>
      </c>
      <c r="AG6" s="220" t="e">
        <f t="shared" ca="1" si="11"/>
        <v>#N/A</v>
      </c>
      <c r="AH6" s="218" t="e">
        <f t="shared" ca="1" si="12"/>
        <v>#N/A</v>
      </c>
      <c r="AI6" s="220" t="e">
        <f t="shared" ca="1" si="13"/>
        <v>#N/A</v>
      </c>
      <c r="AJ6" s="218" t="e">
        <f t="shared" ca="1" si="14"/>
        <v>#N/A</v>
      </c>
      <c r="AK6" s="220" t="e">
        <f t="shared" ca="1" si="15"/>
        <v>#N/A</v>
      </c>
      <c r="AL6" s="218" t="e">
        <f t="shared" ca="1" si="23"/>
        <v>#N/A</v>
      </c>
      <c r="AM6" s="290" t="e">
        <f t="shared" ca="1" si="16"/>
        <v>#N/A</v>
      </c>
      <c r="AN6" s="291" t="e">
        <f t="shared" ca="1" si="17"/>
        <v>#N/A</v>
      </c>
      <c r="AO6" s="223" t="e">
        <f ca="1">+INDIRECT("[EMPINFO.xlsm]"&amp;$O$2&amp;"!t6")</f>
        <v>#N/A</v>
      </c>
      <c r="AP6" s="226" t="e">
        <f ca="1">+INDIRECT("[EMPINFO.xlsm]"&amp;$O$2&amp;"!o6")</f>
        <v>#N/A</v>
      </c>
      <c r="AQ6" s="223" t="e">
        <f ca="1">+INDIRECT("[EMPINFO.xlsm]"&amp;$O$2&amp;"!p6")</f>
        <v>#N/A</v>
      </c>
      <c r="AR6" s="226" t="e">
        <f ca="1">+INDIRECT("[EMPINFO.xlsm]"&amp;$O$2&amp;"!j6")</f>
        <v>#N/A</v>
      </c>
      <c r="AS6" s="223" t="e">
        <f ca="1">+INDIRECT("[EMPINFO.xlsm]"&amp;$O$2&amp;"!k6")</f>
        <v>#N/A</v>
      </c>
      <c r="AT6" s="226" t="e">
        <f ca="1">+INDIRECT("[EMPINFO.xlsm]"&amp;$O$2&amp;"!m6")</f>
        <v>#N/A</v>
      </c>
      <c r="AU6" s="241" t="e">
        <f ca="1">+INDIRECT("[EMPINFO.xlsm]"&amp;$O$2&amp;"!n6")</f>
        <v>#N/A</v>
      </c>
      <c r="AV6" s="244">
        <f t="shared" si="18"/>
        <v>0</v>
      </c>
      <c r="AW6" s="244">
        <f t="shared" si="19"/>
        <v>0</v>
      </c>
      <c r="AX6" s="223" t="e">
        <f ca="1">+INDIRECT("[EMPINFO.xlsm]"&amp;$O$2&amp;"!u6")</f>
        <v>#N/A</v>
      </c>
      <c r="AY6" s="215" t="e">
        <f ca="1">+INDIRECT("[EMPINFO.xlsm]"&amp;$O$2&amp;"!v6")</f>
        <v>#N/A</v>
      </c>
      <c r="AZ6" s="207" t="e">
        <f ca="1">+INDIRECT("[EMPINFO.xlsm]"&amp;$O$2&amp;"!x6")</f>
        <v>#N/A</v>
      </c>
      <c r="BA6" s="241" t="e">
        <f ca="1">+INDIRECT("[EMPINFO.xlsm]"&amp;$O$2&amp;"!w6")</f>
        <v>#N/A</v>
      </c>
      <c r="BB6" s="288" t="e">
        <f t="shared" ca="1" si="20"/>
        <v>#N/A</v>
      </c>
      <c r="BC6" s="289" t="e">
        <f t="shared" ca="1" si="21"/>
        <v>#N/A</v>
      </c>
      <c r="BD6" s="255"/>
      <c r="BE6" s="206"/>
    </row>
    <row r="7" spans="1:62" ht="15.75" customHeight="1" thickBot="1" x14ac:dyDescent="0.3">
      <c r="A7" s="54"/>
      <c r="B7" s="3" t="s">
        <v>137</v>
      </c>
      <c r="C7" s="921" t="e">
        <f>INDEX([1]!empdata,MATCH(ID,[1]!empid,0),4)</f>
        <v>#N/A</v>
      </c>
      <c r="D7" s="922"/>
      <c r="E7" s="922"/>
      <c r="F7" s="886"/>
      <c r="H7" s="312" t="s">
        <v>138</v>
      </c>
      <c r="I7" s="927" t="e">
        <f>INDEX([1]!empdata,MATCH(ID,[1]!empid,0),6)</f>
        <v>#N/A</v>
      </c>
      <c r="J7" s="859"/>
      <c r="K7" s="857"/>
      <c r="L7" s="101"/>
      <c r="M7" s="303"/>
      <c r="N7" s="211" t="e">
        <f t="shared" ca="1" si="0"/>
        <v>#N/A</v>
      </c>
      <c r="O7" s="213">
        <f>+DATA!A6</f>
        <v>46113</v>
      </c>
      <c r="P7" s="219" t="e">
        <f ca="1">+INDIRECT("[EMPINFO.xlsm]"&amp;$O$2&amp;"!G7")</f>
        <v>#N/A</v>
      </c>
      <c r="Q7" s="215" t="e">
        <f ca="1">IF(AZ7="active",INDIRECT("[EMPINFO.xlsm]"&amp;$O$2&amp;"!H7"),0)</f>
        <v>#N/A</v>
      </c>
      <c r="R7" s="239" t="e">
        <f t="shared" ca="1" si="22"/>
        <v>#N/A</v>
      </c>
      <c r="S7" s="216" t="e">
        <f t="shared" ca="1" si="1"/>
        <v>#N/A</v>
      </c>
      <c r="T7" s="220" t="e">
        <f t="shared" ca="1" si="2"/>
        <v>#N/A</v>
      </c>
      <c r="U7" s="218" t="e">
        <f t="shared" ca="1" si="3"/>
        <v>#N/A</v>
      </c>
      <c r="V7" s="220" t="e">
        <f ca="1">+aproth*aprhrrt</f>
        <v>#N/A</v>
      </c>
      <c r="W7" s="201"/>
      <c r="X7" s="218" t="e">
        <f t="shared" ca="1" si="4"/>
        <v>#N/A</v>
      </c>
      <c r="Y7" s="220" t="e">
        <f t="shared" ca="1" si="5"/>
        <v>#N/A</v>
      </c>
      <c r="Z7" s="218" t="e">
        <f t="shared" ca="1" si="6"/>
        <v>#N/A</v>
      </c>
      <c r="AA7" s="220" t="e">
        <f t="shared" ca="1" si="7"/>
        <v>#N/A</v>
      </c>
      <c r="AB7" s="218" t="e">
        <f ca="1">+INDIRECT("[EMPINFO.xlsm]"&amp;$O$2&amp;"!s7")</f>
        <v>#N/A</v>
      </c>
      <c r="AC7" s="292">
        <v>1.5</v>
      </c>
      <c r="AD7" s="218" t="e">
        <f t="shared" ca="1" si="8"/>
        <v>#N/A</v>
      </c>
      <c r="AE7" s="220" t="e">
        <f t="shared" ca="1" si="9"/>
        <v>#N/A</v>
      </c>
      <c r="AF7" s="218" t="e">
        <f t="shared" ca="1" si="10"/>
        <v>#N/A</v>
      </c>
      <c r="AG7" s="220" t="e">
        <f t="shared" ca="1" si="11"/>
        <v>#N/A</v>
      </c>
      <c r="AH7" s="218" t="e">
        <f t="shared" ca="1" si="12"/>
        <v>#N/A</v>
      </c>
      <c r="AI7" s="220" t="e">
        <f t="shared" ca="1" si="13"/>
        <v>#N/A</v>
      </c>
      <c r="AJ7" s="218" t="e">
        <f t="shared" ca="1" si="14"/>
        <v>#N/A</v>
      </c>
      <c r="AK7" s="220" t="e">
        <f t="shared" ca="1" si="15"/>
        <v>#N/A</v>
      </c>
      <c r="AL7" s="218" t="e">
        <f t="shared" ca="1" si="23"/>
        <v>#N/A</v>
      </c>
      <c r="AM7" s="290" t="e">
        <f t="shared" ca="1" si="16"/>
        <v>#N/A</v>
      </c>
      <c r="AN7" s="291" t="e">
        <f t="shared" ca="1" si="17"/>
        <v>#N/A</v>
      </c>
      <c r="AO7" s="223" t="e">
        <f ca="1">+INDIRECT("[EMPINFO.xlsm]"&amp;$O$2&amp;"!t7")</f>
        <v>#N/A</v>
      </c>
      <c r="AP7" s="226" t="e">
        <f ca="1">+INDIRECT("[EMPINFO.xlsm]"&amp;$O$2&amp;"!o7")</f>
        <v>#N/A</v>
      </c>
      <c r="AQ7" s="223" t="e">
        <f ca="1">+INDIRECT("[EMPINFO.xlsm]"&amp;$O$2&amp;"!p7")</f>
        <v>#N/A</v>
      </c>
      <c r="AR7" s="226" t="e">
        <f ca="1">+INDIRECT("[EMPINFO.xlsm]"&amp;$O$2&amp;"!j7")</f>
        <v>#N/A</v>
      </c>
      <c r="AS7" s="223" t="e">
        <f ca="1">+INDIRECT("[EMPINFO.xlsm]"&amp;$O$2&amp;"!k7")</f>
        <v>#N/A</v>
      </c>
      <c r="AT7" s="226" t="e">
        <f ca="1">+INDIRECT("[EMPINFO.xlsm]"&amp;$O$2&amp;"!m7")</f>
        <v>#N/A</v>
      </c>
      <c r="AU7" s="241" t="e">
        <f ca="1">+INDIRECT("[EMPINFO.xlsm]"&amp;$O$2&amp;"!n7")</f>
        <v>#N/A</v>
      </c>
      <c r="AV7" s="244">
        <f t="shared" si="18"/>
        <v>0</v>
      </c>
      <c r="AW7" s="244">
        <f t="shared" si="19"/>
        <v>0</v>
      </c>
      <c r="AX7" s="223" t="e">
        <f ca="1">+INDIRECT("[EMPINFO.xlsm]"&amp;$O$2&amp;"!u7")</f>
        <v>#N/A</v>
      </c>
      <c r="AY7" s="215" t="e">
        <f ca="1">+INDIRECT("[EMPINFO.xlsm]"&amp;$O$2&amp;"!v7")</f>
        <v>#N/A</v>
      </c>
      <c r="AZ7" s="207" t="e">
        <f ca="1">+INDIRECT("[EMPINFO.xlsm]"&amp;$O$2&amp;"!x7")</f>
        <v>#N/A</v>
      </c>
      <c r="BA7" s="241" t="e">
        <f ca="1">+INDIRECT("[EMPINFO.xlsm]"&amp;$O$2&amp;"!w7")</f>
        <v>#N/A</v>
      </c>
      <c r="BB7" s="288" t="e">
        <f t="shared" ca="1" si="20"/>
        <v>#N/A</v>
      </c>
      <c r="BC7" s="289" t="e">
        <f t="shared" ca="1" si="21"/>
        <v>#N/A</v>
      </c>
      <c r="BD7" s="255"/>
      <c r="BE7" s="206"/>
    </row>
    <row r="8" spans="1:62" ht="15.75" customHeight="1" thickBot="1" x14ac:dyDescent="0.3">
      <c r="A8" s="54"/>
      <c r="B8" s="3" t="s">
        <v>139</v>
      </c>
      <c r="C8" s="921" t="e">
        <f>INDEX([1]!empdata,MATCH(ID,[1]!empid,0),18)</f>
        <v>#N/A</v>
      </c>
      <c r="D8" s="922"/>
      <c r="E8" s="922"/>
      <c r="F8" s="886"/>
      <c r="I8" s="312" t="s">
        <v>140</v>
      </c>
      <c r="L8" s="101"/>
      <c r="M8" s="303"/>
      <c r="N8" s="211" t="e">
        <f t="shared" ca="1" si="0"/>
        <v>#N/A</v>
      </c>
      <c r="O8" s="213">
        <f>+DATA!A7</f>
        <v>46143</v>
      </c>
      <c r="P8" s="219" t="e">
        <f ca="1">+INDIRECT("[EMPINFO.xlsm]"&amp;$O$2&amp;"!G8")</f>
        <v>#N/A</v>
      </c>
      <c r="Q8" s="215" t="e">
        <f ca="1">IF(AZ8="active",INDIRECT("[EMPINFO.xlsm]"&amp;$O$2&amp;"!H8"),0)</f>
        <v>#N/A</v>
      </c>
      <c r="R8" s="239" t="e">
        <f t="shared" ca="1" si="22"/>
        <v>#N/A</v>
      </c>
      <c r="S8" s="216" t="e">
        <f t="shared" ca="1" si="1"/>
        <v>#N/A</v>
      </c>
      <c r="T8" s="220" t="e">
        <f t="shared" ca="1" si="2"/>
        <v>#N/A</v>
      </c>
      <c r="U8" s="218" t="e">
        <f t="shared" ca="1" si="3"/>
        <v>#N/A</v>
      </c>
      <c r="V8" s="220" t="e">
        <f ca="1">+mayoth*mayhrrt</f>
        <v>#N/A</v>
      </c>
      <c r="W8" s="201"/>
      <c r="X8" s="218" t="e">
        <f t="shared" ca="1" si="4"/>
        <v>#N/A</v>
      </c>
      <c r="Y8" s="220" t="e">
        <f t="shared" ca="1" si="5"/>
        <v>#N/A</v>
      </c>
      <c r="Z8" s="218" t="e">
        <f t="shared" ca="1" si="6"/>
        <v>#N/A</v>
      </c>
      <c r="AA8" s="220" t="e">
        <f t="shared" ca="1" si="7"/>
        <v>#N/A</v>
      </c>
      <c r="AB8" s="218" t="e">
        <f ca="1">+INDIRECT("[EMPINFO.xlsm]"&amp;$O$2&amp;"!s8")</f>
        <v>#N/A</v>
      </c>
      <c r="AC8" s="292">
        <v>1.5</v>
      </c>
      <c r="AD8" s="218" t="e">
        <f t="shared" ca="1" si="8"/>
        <v>#N/A</v>
      </c>
      <c r="AE8" s="220" t="e">
        <f t="shared" ca="1" si="9"/>
        <v>#N/A</v>
      </c>
      <c r="AF8" s="218" t="e">
        <f t="shared" ca="1" si="10"/>
        <v>#N/A</v>
      </c>
      <c r="AG8" s="220" t="e">
        <f t="shared" ca="1" si="11"/>
        <v>#N/A</v>
      </c>
      <c r="AH8" s="218" t="e">
        <f t="shared" ca="1" si="12"/>
        <v>#N/A</v>
      </c>
      <c r="AI8" s="220" t="e">
        <f t="shared" ca="1" si="13"/>
        <v>#N/A</v>
      </c>
      <c r="AJ8" s="218" t="e">
        <f t="shared" ca="1" si="14"/>
        <v>#N/A</v>
      </c>
      <c r="AK8" s="220" t="e">
        <f t="shared" ca="1" si="15"/>
        <v>#N/A</v>
      </c>
      <c r="AL8" s="218" t="e">
        <f t="shared" ca="1" si="23"/>
        <v>#N/A</v>
      </c>
      <c r="AM8" s="290" t="e">
        <f t="shared" ca="1" si="16"/>
        <v>#N/A</v>
      </c>
      <c r="AN8" s="291" t="e">
        <f t="shared" ca="1" si="17"/>
        <v>#N/A</v>
      </c>
      <c r="AO8" s="223" t="e">
        <f ca="1">+INDIRECT("[EMPINFO.xlsm]"&amp;$O$2&amp;"!t8")</f>
        <v>#N/A</v>
      </c>
      <c r="AP8" s="226" t="e">
        <f ca="1">+INDIRECT("[EMPINFO.xlsm]"&amp;$O$2&amp;"!o8")</f>
        <v>#N/A</v>
      </c>
      <c r="AQ8" s="223" t="e">
        <f ca="1">+INDIRECT("[EMPINFO.xlsm]"&amp;$O$2&amp;"!p8")</f>
        <v>#N/A</v>
      </c>
      <c r="AR8" s="226" t="e">
        <f ca="1">+INDIRECT("[EMPINFO.xlsm]"&amp;$O$2&amp;"!j8")</f>
        <v>#N/A</v>
      </c>
      <c r="AS8" s="223" t="e">
        <f ca="1">+INDIRECT("[EMPINFO.xlsm]"&amp;$O$2&amp;"!k8")</f>
        <v>#N/A</v>
      </c>
      <c r="AT8" s="226" t="e">
        <f ca="1">+INDIRECT("[EMPINFO.xlsm]"&amp;$O$2&amp;"!m8")</f>
        <v>#N/A</v>
      </c>
      <c r="AU8" s="241" t="e">
        <f ca="1">+INDIRECT("[EMPINFO.xlsm]"&amp;$O$2&amp;"!n8")</f>
        <v>#N/A</v>
      </c>
      <c r="AV8" s="244">
        <f t="shared" si="18"/>
        <v>0</v>
      </c>
      <c r="AW8" s="244">
        <f t="shared" si="19"/>
        <v>0</v>
      </c>
      <c r="AX8" s="223" t="e">
        <f ca="1">+INDIRECT("[EMPINFO.xlsm]"&amp;$O$2&amp;"!u8")</f>
        <v>#N/A</v>
      </c>
      <c r="AY8" s="215" t="e">
        <f ca="1">+INDIRECT("[EMPINFO.xlsm]"&amp;$O$2&amp;"!v8")</f>
        <v>#N/A</v>
      </c>
      <c r="AZ8" s="207" t="e">
        <f ca="1">+INDIRECT("[EMPINFO.xlsm]"&amp;$O$2&amp;"!x8")</f>
        <v>#N/A</v>
      </c>
      <c r="BA8" s="241" t="e">
        <f ca="1">+INDIRECT("[EMPINFO.xlsm]"&amp;$O$2&amp;"!w8")</f>
        <v>#N/A</v>
      </c>
      <c r="BB8" s="288" t="e">
        <f t="shared" ca="1" si="20"/>
        <v>#N/A</v>
      </c>
      <c r="BC8" s="289" t="e">
        <f t="shared" ca="1" si="21"/>
        <v>#N/A</v>
      </c>
      <c r="BD8" s="255"/>
      <c r="BE8" s="206"/>
    </row>
    <row r="9" spans="1:62" ht="15.75" customHeight="1" thickBot="1" x14ac:dyDescent="0.3">
      <c r="A9" s="54"/>
      <c r="B9" s="4" t="s">
        <v>141</v>
      </c>
      <c r="C9" s="921" t="e">
        <f>INDEX([1]!empdata,MATCH(ID,[1]!empid,0),19)</f>
        <v>#N/A</v>
      </c>
      <c r="D9" s="922"/>
      <c r="E9" s="922"/>
      <c r="F9" s="886"/>
      <c r="H9" s="312" t="s">
        <v>20</v>
      </c>
      <c r="I9" s="927" t="e">
        <f>INDEX([1]!empdata,MATCH(ID,[1]!empid,0),14)</f>
        <v>#N/A</v>
      </c>
      <c r="J9" s="859"/>
      <c r="K9" s="857"/>
      <c r="L9" s="101"/>
      <c r="M9" s="303"/>
      <c r="N9" s="211" t="e">
        <f t="shared" ca="1" si="0"/>
        <v>#N/A</v>
      </c>
      <c r="O9" s="213">
        <f>+DATA!A8</f>
        <v>46174</v>
      </c>
      <c r="P9" s="219" t="e">
        <f ca="1">+INDIRECT("[EMPINFO.xlsm]"&amp;$O$2&amp;"!G9")</f>
        <v>#N/A</v>
      </c>
      <c r="Q9" s="215" t="e">
        <f ca="1">IF(AZ9="active",INDIRECT("[EMPINFO.xlsm]"&amp;$O$2&amp;"!H9"),0)</f>
        <v>#N/A</v>
      </c>
      <c r="R9" s="239" t="e">
        <f t="shared" ca="1" si="22"/>
        <v>#N/A</v>
      </c>
      <c r="S9" s="216" t="e">
        <f t="shared" ca="1" si="1"/>
        <v>#N/A</v>
      </c>
      <c r="T9" s="220" t="e">
        <f t="shared" ca="1" si="2"/>
        <v>#N/A</v>
      </c>
      <c r="U9" s="218" t="e">
        <f t="shared" ca="1" si="3"/>
        <v>#N/A</v>
      </c>
      <c r="V9" s="220" t="e">
        <f ca="1">+junoth*junhrrt</f>
        <v>#N/A</v>
      </c>
      <c r="W9" s="202" t="e">
        <f ca="1">IF(AZ9&lt;&gt;"active",0,(IF(Timer="PT_casual",(BONUSJUN/1040*(BA9+BA8+BA7+BA6+BA5+BA4)),(BONUSJUN*(SUM(AO4:AO9)/SUM(AX4:AX9))*(SUM(Q4:Q9)/240)))))</f>
        <v>#N/A</v>
      </c>
      <c r="X9" s="218" t="e">
        <f t="shared" ca="1" si="4"/>
        <v>#N/A</v>
      </c>
      <c r="Y9" s="220" t="e">
        <f t="shared" ca="1" si="5"/>
        <v>#N/A</v>
      </c>
      <c r="Z9" s="218" t="e">
        <f t="shared" ca="1" si="6"/>
        <v>#N/A</v>
      </c>
      <c r="AA9" s="220" t="e">
        <f t="shared" ca="1" si="7"/>
        <v>#N/A</v>
      </c>
      <c r="AB9" s="218" t="e">
        <f ca="1">+INDIRECT("[EMPINFO.xlsm]"&amp;$O$2&amp;"!s9")</f>
        <v>#N/A</v>
      </c>
      <c r="AC9" s="292">
        <v>1.5</v>
      </c>
      <c r="AD9" s="218" t="e">
        <f t="shared" ca="1" si="8"/>
        <v>#N/A</v>
      </c>
      <c r="AE9" s="220" t="e">
        <f t="shared" ca="1" si="9"/>
        <v>#N/A</v>
      </c>
      <c r="AF9" s="218" t="e">
        <f t="shared" ca="1" si="10"/>
        <v>#N/A</v>
      </c>
      <c r="AG9" s="220" t="e">
        <f t="shared" ca="1" si="11"/>
        <v>#N/A</v>
      </c>
      <c r="AH9" s="218" t="e">
        <f t="shared" ca="1" si="12"/>
        <v>#N/A</v>
      </c>
      <c r="AI9" s="220" t="e">
        <f t="shared" ca="1" si="13"/>
        <v>#N/A</v>
      </c>
      <c r="AJ9" s="218" t="e">
        <f t="shared" ca="1" si="14"/>
        <v>#N/A</v>
      </c>
      <c r="AK9" s="220" t="e">
        <f t="shared" ca="1" si="15"/>
        <v>#N/A</v>
      </c>
      <c r="AL9" s="218" t="e">
        <f t="shared" ca="1" si="23"/>
        <v>#N/A</v>
      </c>
      <c r="AM9" s="290" t="e">
        <f t="shared" ca="1" si="16"/>
        <v>#N/A</v>
      </c>
      <c r="AN9" s="291" t="e">
        <f t="shared" ca="1" si="17"/>
        <v>#N/A</v>
      </c>
      <c r="AO9" s="223" t="e">
        <f ca="1">+INDIRECT("[EMPINFO.xlsm]"&amp;$O$2&amp;"!t9")</f>
        <v>#N/A</v>
      </c>
      <c r="AP9" s="226" t="e">
        <f ca="1">+INDIRECT("[EMPINFO.xlsm]"&amp;$O$2&amp;"!o9")</f>
        <v>#N/A</v>
      </c>
      <c r="AQ9" s="223" t="e">
        <f ca="1">+INDIRECT("[EMPINFO.xlsm]"&amp;$O$2&amp;"!p9")</f>
        <v>#N/A</v>
      </c>
      <c r="AR9" s="226" t="e">
        <f ca="1">+INDIRECT("[EMPINFO.xlsm]"&amp;$O$2&amp;"!j9")</f>
        <v>#N/A</v>
      </c>
      <c r="AS9" s="223" t="e">
        <f ca="1">+INDIRECT("[EMPINFO.xlsm]"&amp;$O$2&amp;"!k9")</f>
        <v>#N/A</v>
      </c>
      <c r="AT9" s="226" t="e">
        <f ca="1">+INDIRECT("[EMPINFO.xlsm]"&amp;$O$2&amp;"!m9")</f>
        <v>#N/A</v>
      </c>
      <c r="AU9" s="241" t="e">
        <f ca="1">+INDIRECT("[EMPINFO.xlsm]"&amp;$O$2&amp;"!n9")</f>
        <v>#N/A</v>
      </c>
      <c r="AV9" s="244">
        <f t="shared" si="18"/>
        <v>0</v>
      </c>
      <c r="AW9" s="244">
        <f t="shared" si="19"/>
        <v>0</v>
      </c>
      <c r="AX9" s="223" t="e">
        <f ca="1">+INDIRECT("[EMPINFO.xlsm]"&amp;$O$2&amp;"!u9")</f>
        <v>#N/A</v>
      </c>
      <c r="AY9" s="215" t="e">
        <f ca="1">+INDIRECT("[EMPINFO.xlsm]"&amp;$O$2&amp;"!v9")</f>
        <v>#N/A</v>
      </c>
      <c r="AZ9" s="207" t="e">
        <f ca="1">+INDIRECT("[EMPINFO.xlsm]"&amp;$O$2&amp;"!x9")</f>
        <v>#N/A</v>
      </c>
      <c r="BA9" s="241" t="e">
        <f ca="1">+INDIRECT("[EMPINFO.xlsm]"&amp;$O$2&amp;"!w9")</f>
        <v>#N/A</v>
      </c>
      <c r="BB9" s="288" t="e">
        <f t="shared" ca="1" si="20"/>
        <v>#N/A</v>
      </c>
      <c r="BC9" s="289" t="e">
        <f t="shared" ca="1" si="21"/>
        <v>#N/A</v>
      </c>
      <c r="BD9" s="255"/>
      <c r="BE9" s="206"/>
    </row>
    <row r="10" spans="1:62" ht="15.75" customHeight="1" thickBot="1" x14ac:dyDescent="0.3">
      <c r="A10" s="54"/>
      <c r="B10" s="5" t="s">
        <v>142</v>
      </c>
      <c r="C10" s="921" t="e">
        <f>INDEX([1]!empdata,MATCH(ID,[1]!empid,0),20)</f>
        <v>#N/A</v>
      </c>
      <c r="D10" s="922"/>
      <c r="E10" s="922"/>
      <c r="F10" s="886"/>
      <c r="I10" s="312" t="s">
        <v>143</v>
      </c>
      <c r="L10" s="101"/>
      <c r="M10" s="303"/>
      <c r="N10" s="211" t="e">
        <f t="shared" ca="1" si="0"/>
        <v>#N/A</v>
      </c>
      <c r="O10" s="213">
        <f>+DATA!A9</f>
        <v>46204</v>
      </c>
      <c r="P10" s="219" t="e">
        <f ca="1">+INDIRECT("[EMPINFO.xlsm]"&amp;$O$2&amp;"!G10")</f>
        <v>#N/A</v>
      </c>
      <c r="Q10" s="215" t="e">
        <f ca="1">IF(AZ10="active",INDIRECT("[EMPINFO.xlsm]"&amp;$O$2&amp;"!H10"),0)</f>
        <v>#N/A</v>
      </c>
      <c r="R10" s="239" t="e">
        <f t="shared" ca="1" si="22"/>
        <v>#N/A</v>
      </c>
      <c r="S10" s="216" t="e">
        <f t="shared" ca="1" si="1"/>
        <v>#N/A</v>
      </c>
      <c r="T10" s="220" t="e">
        <f t="shared" ca="1" si="2"/>
        <v>#N/A</v>
      </c>
      <c r="U10" s="218" t="e">
        <f t="shared" ca="1" si="3"/>
        <v>#N/A</v>
      </c>
      <c r="V10" s="220" t="e">
        <f ca="1">+juloth*julhrrt</f>
        <v>#N/A</v>
      </c>
      <c r="W10" s="201"/>
      <c r="X10" s="218" t="e">
        <f t="shared" ca="1" si="4"/>
        <v>#N/A</v>
      </c>
      <c r="Y10" s="220" t="e">
        <f t="shared" ca="1" si="5"/>
        <v>#N/A</v>
      </c>
      <c r="Z10" s="218" t="e">
        <f t="shared" ca="1" si="6"/>
        <v>#N/A</v>
      </c>
      <c r="AA10" s="220" t="e">
        <f t="shared" ca="1" si="7"/>
        <v>#N/A</v>
      </c>
      <c r="AB10" s="218" t="e">
        <f ca="1">+INDIRECT("[EMPINFO.xlsm]"&amp;$O$2&amp;"!s10")</f>
        <v>#N/A</v>
      </c>
      <c r="AC10" s="292">
        <v>1.5</v>
      </c>
      <c r="AD10" s="218" t="e">
        <f t="shared" ca="1" si="8"/>
        <v>#N/A</v>
      </c>
      <c r="AE10" s="220" t="e">
        <f t="shared" ca="1" si="9"/>
        <v>#N/A</v>
      </c>
      <c r="AF10" s="218" t="e">
        <f t="shared" ca="1" si="10"/>
        <v>#N/A</v>
      </c>
      <c r="AG10" s="220" t="e">
        <f t="shared" ca="1" si="11"/>
        <v>#N/A</v>
      </c>
      <c r="AH10" s="218" t="e">
        <f t="shared" ca="1" si="12"/>
        <v>#N/A</v>
      </c>
      <c r="AI10" s="220" t="e">
        <f t="shared" ca="1" si="13"/>
        <v>#N/A</v>
      </c>
      <c r="AJ10" s="218" t="e">
        <f t="shared" ca="1" si="14"/>
        <v>#N/A</v>
      </c>
      <c r="AK10" s="220" t="e">
        <f t="shared" ca="1" si="15"/>
        <v>#N/A</v>
      </c>
      <c r="AL10" s="218" t="e">
        <f t="shared" ca="1" si="23"/>
        <v>#N/A</v>
      </c>
      <c r="AM10" s="290" t="e">
        <f t="shared" ca="1" si="16"/>
        <v>#N/A</v>
      </c>
      <c r="AN10" s="291" t="e">
        <f t="shared" ca="1" si="17"/>
        <v>#N/A</v>
      </c>
      <c r="AO10" s="223" t="e">
        <f ca="1">+INDIRECT("[EMPINFO.xlsm]"&amp;$O$2&amp;"!t10")</f>
        <v>#N/A</v>
      </c>
      <c r="AP10" s="226" t="e">
        <f ca="1">+INDIRECT("[EMPINFO.xlsm]"&amp;$O$2&amp;"!o10")</f>
        <v>#N/A</v>
      </c>
      <c r="AQ10" s="223" t="e">
        <f ca="1">+INDIRECT("[EMPINFO.xlsm]"&amp;$O$2&amp;"!p10")</f>
        <v>#N/A</v>
      </c>
      <c r="AR10" s="226" t="e">
        <f ca="1">+INDIRECT("[EMPINFO.xlsm]"&amp;$O$2&amp;"!j10")</f>
        <v>#N/A</v>
      </c>
      <c r="AS10" s="223" t="e">
        <f ca="1">+INDIRECT("[EMPINFO.xlsm]"&amp;$O$2&amp;"!k10")</f>
        <v>#N/A</v>
      </c>
      <c r="AT10" s="226" t="e">
        <f ca="1">+INDIRECT("[EMPINFO.xlsm]"&amp;$O$2&amp;"!m10")</f>
        <v>#N/A</v>
      </c>
      <c r="AU10" s="241" t="e">
        <f ca="1">+INDIRECT("[EMPINFO.xlsm]"&amp;$O$2&amp;"!n10")</f>
        <v>#N/A</v>
      </c>
      <c r="AV10" s="244">
        <f t="shared" si="18"/>
        <v>0</v>
      </c>
      <c r="AW10" s="244">
        <f t="shared" si="19"/>
        <v>0</v>
      </c>
      <c r="AX10" s="223" t="e">
        <f ca="1">+INDIRECT("[EMPINFO.xlsm]"&amp;$O$2&amp;"!u10")</f>
        <v>#N/A</v>
      </c>
      <c r="AY10" s="215" t="e">
        <f ca="1">+INDIRECT("[EMPINFO.xlsm]"&amp;$O$2&amp;"!v10")</f>
        <v>#N/A</v>
      </c>
      <c r="AZ10" s="207" t="e">
        <f ca="1">+INDIRECT("[EMPINFO.xlsm]"&amp;$O$2&amp;"!x10")</f>
        <v>#N/A</v>
      </c>
      <c r="BA10" s="241" t="e">
        <f ca="1">+INDIRECT("[EMPINFO.xlsm]"&amp;$O$2&amp;"!w10")</f>
        <v>#N/A</v>
      </c>
      <c r="BB10" s="288" t="e">
        <f t="shared" ca="1" si="20"/>
        <v>#N/A</v>
      </c>
      <c r="BC10" s="289" t="e">
        <f t="shared" ca="1" si="21"/>
        <v>#N/A</v>
      </c>
      <c r="BD10" s="255"/>
      <c r="BE10" s="206"/>
      <c r="BF10" s="32"/>
      <c r="BH10" s="32"/>
      <c r="BI10" s="30"/>
      <c r="BJ10" s="31"/>
    </row>
    <row r="11" spans="1:62" ht="15.75" customHeight="1" thickBot="1" x14ac:dyDescent="0.3">
      <c r="A11" s="54"/>
      <c r="B11" s="6" t="s">
        <v>144</v>
      </c>
      <c r="C11" s="921" t="e">
        <f>INDEX([1]!empdata,MATCH(ID,[1]!empid,0),21)</f>
        <v>#N/A</v>
      </c>
      <c r="D11" s="922"/>
      <c r="E11" s="922"/>
      <c r="F11" s="886"/>
      <c r="H11" s="312" t="s">
        <v>31</v>
      </c>
      <c r="I11" s="927" t="e">
        <f>INDEX([1]!empdata,MATCH(ID,[1]!empid,0),7)</f>
        <v>#N/A</v>
      </c>
      <c r="J11" s="859"/>
      <c r="K11" s="857"/>
      <c r="L11" s="101"/>
      <c r="M11" s="303"/>
      <c r="N11" s="211" t="e">
        <f t="shared" ca="1" si="0"/>
        <v>#N/A</v>
      </c>
      <c r="O11" s="213">
        <f>+DATA!A10</f>
        <v>46235</v>
      </c>
      <c r="P11" s="219" t="e">
        <f ca="1">+INDIRECT("[EMPINFO.xlsm]"&amp;$O$2&amp;"!G11")</f>
        <v>#N/A</v>
      </c>
      <c r="Q11" s="215" t="e">
        <f ca="1">IF(AZ11="active",INDIRECT("[EMPINFO.xlsm]"&amp;$O$2&amp;"!H11"),0)</f>
        <v>#N/A</v>
      </c>
      <c r="R11" s="239" t="e">
        <f t="shared" ca="1" si="22"/>
        <v>#N/A</v>
      </c>
      <c r="S11" s="216" t="e">
        <f t="shared" ca="1" si="1"/>
        <v>#N/A</v>
      </c>
      <c r="T11" s="220" t="e">
        <f t="shared" ca="1" si="2"/>
        <v>#N/A</v>
      </c>
      <c r="U11" s="218" t="e">
        <f t="shared" ca="1" si="3"/>
        <v>#N/A</v>
      </c>
      <c r="V11" s="220" t="e">
        <f ca="1">+augoth*aughrrt</f>
        <v>#N/A</v>
      </c>
      <c r="W11" s="201"/>
      <c r="X11" s="218" t="e">
        <f t="shared" ca="1" si="4"/>
        <v>#N/A</v>
      </c>
      <c r="Y11" s="220" t="e">
        <f t="shared" ca="1" si="5"/>
        <v>#N/A</v>
      </c>
      <c r="Z11" s="218" t="e">
        <f t="shared" ca="1" si="6"/>
        <v>#N/A</v>
      </c>
      <c r="AA11" s="220" t="e">
        <f t="shared" ca="1" si="7"/>
        <v>#N/A</v>
      </c>
      <c r="AB11" s="218" t="e">
        <f ca="1">+INDIRECT("[EMPINFO.xlsm]"&amp;$O$2&amp;"!s11")</f>
        <v>#N/A</v>
      </c>
      <c r="AC11" s="292">
        <v>1.5</v>
      </c>
      <c r="AD11" s="218" t="e">
        <f t="shared" ca="1" si="8"/>
        <v>#N/A</v>
      </c>
      <c r="AE11" s="220" t="e">
        <f t="shared" ca="1" si="9"/>
        <v>#N/A</v>
      </c>
      <c r="AF11" s="218" t="e">
        <f t="shared" ca="1" si="10"/>
        <v>#N/A</v>
      </c>
      <c r="AG11" s="220" t="e">
        <f t="shared" ca="1" si="11"/>
        <v>#N/A</v>
      </c>
      <c r="AH11" s="218" t="e">
        <f t="shared" ca="1" si="12"/>
        <v>#N/A</v>
      </c>
      <c r="AI11" s="220" t="e">
        <f t="shared" ca="1" si="13"/>
        <v>#N/A</v>
      </c>
      <c r="AJ11" s="218" t="e">
        <f t="shared" ca="1" si="14"/>
        <v>#N/A</v>
      </c>
      <c r="AK11" s="220" t="e">
        <f t="shared" ca="1" si="15"/>
        <v>#N/A</v>
      </c>
      <c r="AL11" s="218" t="e">
        <f t="shared" ca="1" si="23"/>
        <v>#N/A</v>
      </c>
      <c r="AM11" s="290" t="e">
        <f t="shared" ca="1" si="16"/>
        <v>#N/A</v>
      </c>
      <c r="AN11" s="291" t="e">
        <f t="shared" ca="1" si="17"/>
        <v>#N/A</v>
      </c>
      <c r="AO11" s="223" t="e">
        <f ca="1">+INDIRECT("[EMPINFO.xlsm]"&amp;$O$2&amp;"!t11")</f>
        <v>#N/A</v>
      </c>
      <c r="AP11" s="226" t="e">
        <f ca="1">+INDIRECT("[EMPINFO.xlsm]"&amp;$O$2&amp;"!o11")</f>
        <v>#N/A</v>
      </c>
      <c r="AQ11" s="223" t="e">
        <f ca="1">+INDIRECT("[EMPINFO.xlsm]"&amp;$O$2&amp;"!p11")</f>
        <v>#N/A</v>
      </c>
      <c r="AR11" s="226" t="e">
        <f ca="1">+INDIRECT("[EMPINFO.xlsm]"&amp;$O$2&amp;"!j11")</f>
        <v>#N/A</v>
      </c>
      <c r="AS11" s="223" t="e">
        <f ca="1">+INDIRECT("[EMPINFO.xlsm]"&amp;$O$2&amp;"!k11")</f>
        <v>#N/A</v>
      </c>
      <c r="AT11" s="226" t="e">
        <f ca="1">+INDIRECT("[EMPINFO.xlsm]"&amp;$O$2&amp;"!m11")</f>
        <v>#N/A</v>
      </c>
      <c r="AU11" s="241" t="e">
        <f ca="1">+INDIRECT("[EMPINFO.xlsm]"&amp;$O$2&amp;"!n11")</f>
        <v>#N/A</v>
      </c>
      <c r="AV11" s="244">
        <f t="shared" si="18"/>
        <v>0</v>
      </c>
      <c r="AW11" s="244">
        <f t="shared" si="19"/>
        <v>0</v>
      </c>
      <c r="AX11" s="223" t="e">
        <f ca="1">+INDIRECT("[EMPINFO.xlsm]"&amp;$O$2&amp;"!u11")</f>
        <v>#N/A</v>
      </c>
      <c r="AY11" s="215" t="e">
        <f ca="1">+INDIRECT("[EMPINFO.xlsm]"&amp;$O$2&amp;"!v11")</f>
        <v>#N/A</v>
      </c>
      <c r="AZ11" s="207" t="e">
        <f ca="1">+INDIRECT("[EMPINFO.xlsm]"&amp;$O$2&amp;"!x11")</f>
        <v>#N/A</v>
      </c>
      <c r="BA11" s="241" t="e">
        <f ca="1">+INDIRECT("[EMPINFO.xlsm]"&amp;$O$2&amp;"!w11")</f>
        <v>#N/A</v>
      </c>
      <c r="BB11" s="288" t="e">
        <f t="shared" ca="1" si="20"/>
        <v>#N/A</v>
      </c>
      <c r="BC11" s="289" t="e">
        <f t="shared" ca="1" si="21"/>
        <v>#N/A</v>
      </c>
      <c r="BD11" s="255"/>
      <c r="BE11" s="206"/>
      <c r="BF11" s="27"/>
      <c r="BH11" s="27"/>
    </row>
    <row r="12" spans="1:62" ht="17.45" customHeight="1" thickBot="1" x14ac:dyDescent="0.3">
      <c r="A12" s="313"/>
      <c r="B12" s="91" t="s">
        <v>14</v>
      </c>
      <c r="C12" s="945" t="e">
        <f>INDEX([1]!empdata,MATCH(ID,[1]!empid,0),10)</f>
        <v>#N/A</v>
      </c>
      <c r="D12" s="946"/>
      <c r="E12" s="946"/>
      <c r="F12" s="947"/>
      <c r="G12" s="85"/>
      <c r="H12" s="85"/>
      <c r="I12" s="85"/>
      <c r="J12" s="85"/>
      <c r="K12" s="85"/>
      <c r="L12" s="314"/>
      <c r="M12" s="303"/>
      <c r="N12" s="211" t="e">
        <f t="shared" ca="1" si="0"/>
        <v>#N/A</v>
      </c>
      <c r="O12" s="213">
        <f>+DATA!A11</f>
        <v>46266</v>
      </c>
      <c r="P12" s="219" t="e">
        <f ca="1">+INDIRECT("[EMPINFO.xlsm]"&amp;$O$2&amp;"!G12")</f>
        <v>#N/A</v>
      </c>
      <c r="Q12" s="215" t="e">
        <f ca="1">IF(AZ12="active",INDIRECT("[EMPINFO.xlsm]"&amp;$O$2&amp;"!H12"),0)</f>
        <v>#N/A</v>
      </c>
      <c r="R12" s="239" t="e">
        <f t="shared" ca="1" si="22"/>
        <v>#N/A</v>
      </c>
      <c r="S12" s="216" t="e">
        <f t="shared" ca="1" si="1"/>
        <v>#N/A</v>
      </c>
      <c r="T12" s="220" t="e">
        <f t="shared" ca="1" si="2"/>
        <v>#N/A</v>
      </c>
      <c r="U12" s="218" t="e">
        <f t="shared" ca="1" si="3"/>
        <v>#N/A</v>
      </c>
      <c r="V12" s="220" t="e">
        <f ca="1">+sepoth*sephrrt</f>
        <v>#N/A</v>
      </c>
      <c r="W12" s="202" t="e">
        <f ca="1">IF(AZ12&lt;&gt;"active",0,(IF(Timer="PT_casual",(bonussep/1040*(BA7:BA12)),(bonussep*(SUM(AO7:AO12)/SUM(AX7:AX12))*(SUM(Q7:Q12)/240)))))</f>
        <v>#N/A</v>
      </c>
      <c r="X12" s="218" t="e">
        <f t="shared" ca="1" si="4"/>
        <v>#N/A</v>
      </c>
      <c r="Y12" s="220" t="e">
        <f t="shared" ca="1" si="5"/>
        <v>#N/A</v>
      </c>
      <c r="Z12" s="218" t="e">
        <f t="shared" ca="1" si="6"/>
        <v>#N/A</v>
      </c>
      <c r="AA12" s="220" t="e">
        <f t="shared" ca="1" si="7"/>
        <v>#N/A</v>
      </c>
      <c r="AB12" s="218" t="e">
        <f ca="1">+INDIRECT("[EMPINFO.xlsm]"&amp;$O$2&amp;"!s12")</f>
        <v>#N/A</v>
      </c>
      <c r="AC12" s="292">
        <v>1.5</v>
      </c>
      <c r="AD12" s="218" t="e">
        <f t="shared" ca="1" si="8"/>
        <v>#N/A</v>
      </c>
      <c r="AE12" s="220" t="e">
        <f t="shared" ca="1" si="9"/>
        <v>#N/A</v>
      </c>
      <c r="AF12" s="218" t="e">
        <f t="shared" ca="1" si="10"/>
        <v>#N/A</v>
      </c>
      <c r="AG12" s="220" t="e">
        <f t="shared" ca="1" si="11"/>
        <v>#N/A</v>
      </c>
      <c r="AH12" s="218" t="e">
        <f t="shared" ca="1" si="12"/>
        <v>#N/A</v>
      </c>
      <c r="AI12" s="220" t="e">
        <f t="shared" ca="1" si="13"/>
        <v>#N/A</v>
      </c>
      <c r="AJ12" s="218" t="e">
        <f t="shared" ca="1" si="14"/>
        <v>#N/A</v>
      </c>
      <c r="AK12" s="220" t="e">
        <f t="shared" ca="1" si="15"/>
        <v>#N/A</v>
      </c>
      <c r="AL12" s="218" t="e">
        <f t="shared" ca="1" si="23"/>
        <v>#N/A</v>
      </c>
      <c r="AM12" s="290" t="e">
        <f t="shared" ca="1" si="16"/>
        <v>#N/A</v>
      </c>
      <c r="AN12" s="291" t="e">
        <f t="shared" ca="1" si="17"/>
        <v>#N/A</v>
      </c>
      <c r="AO12" s="223" t="e">
        <f ca="1">+INDIRECT("[EMPINFO.xlsm]"&amp;$O$2&amp;"!t12")</f>
        <v>#N/A</v>
      </c>
      <c r="AP12" s="226" t="e">
        <f ca="1">+INDIRECT("[EMPINFO.xlsm]"&amp;$O$2&amp;"!o12")</f>
        <v>#N/A</v>
      </c>
      <c r="AQ12" s="223" t="e">
        <f ca="1">+INDIRECT("[EMPINFO.xlsm]"&amp;$O$2&amp;"!p12")</f>
        <v>#N/A</v>
      </c>
      <c r="AR12" s="226" t="e">
        <f ca="1">+INDIRECT("[EMPINFO.xlsm]"&amp;$O$2&amp;"!j12")</f>
        <v>#N/A</v>
      </c>
      <c r="AS12" s="223" t="e">
        <f ca="1">+INDIRECT("[EMPINFO.xlsm]"&amp;$O$2&amp;"!k12")</f>
        <v>#N/A</v>
      </c>
      <c r="AT12" s="226" t="e">
        <f ca="1">+INDIRECT("[EMPINFO.xlsm]"&amp;$O$2&amp;"!m12")</f>
        <v>#N/A</v>
      </c>
      <c r="AU12" s="241" t="e">
        <f ca="1">+INDIRECT("[EMPINFO.xlsm]"&amp;$O$2&amp;"!n12")</f>
        <v>#N/A</v>
      </c>
      <c r="AV12" s="244">
        <f t="shared" si="18"/>
        <v>0</v>
      </c>
      <c r="AW12" s="244">
        <f t="shared" si="19"/>
        <v>0</v>
      </c>
      <c r="AX12" s="223" t="e">
        <f ca="1">+INDIRECT("[EMPINFO.xlsm]"&amp;$O$2&amp;"!u12")</f>
        <v>#N/A</v>
      </c>
      <c r="AY12" s="215" t="e">
        <f ca="1">+INDIRECT("[EMPINFO.xlsm]"&amp;$O$2&amp;"!v12")</f>
        <v>#N/A</v>
      </c>
      <c r="AZ12" s="207" t="e">
        <f ca="1">+INDIRECT("[EMPINFO.xlsm]"&amp;$O$2&amp;"!x12")</f>
        <v>#N/A</v>
      </c>
      <c r="BA12" s="241" t="e">
        <f ca="1">+INDIRECT("[EMPINFO.xlsm]"&amp;$O$2&amp;"!w12")</f>
        <v>#N/A</v>
      </c>
      <c r="BB12" s="288" t="e">
        <f t="shared" ca="1" si="20"/>
        <v>#N/A</v>
      </c>
      <c r="BC12" s="289" t="e">
        <f t="shared" ca="1" si="21"/>
        <v>#N/A</v>
      </c>
      <c r="BD12" s="255"/>
      <c r="BE12" s="206"/>
    </row>
    <row r="13" spans="1:62" ht="15.75" customHeight="1" thickBot="1" x14ac:dyDescent="0.3">
      <c r="A13" s="54"/>
      <c r="L13" s="101"/>
      <c r="M13" s="303"/>
      <c r="N13" s="211" t="e">
        <f t="shared" ca="1" si="0"/>
        <v>#N/A</v>
      </c>
      <c r="O13" s="213">
        <f>+DATA!A12</f>
        <v>46296</v>
      </c>
      <c r="P13" s="219" t="e">
        <f ca="1">+INDIRECT("[EMPINFO.xlsm]"&amp;$O$2&amp;"!G13")</f>
        <v>#N/A</v>
      </c>
      <c r="Q13" s="215" t="e">
        <f ca="1">IF(AZ13="active",INDIRECT("[EMPINFO.xlsm]"&amp;$O$2&amp;"!H13"),0)</f>
        <v>#N/A</v>
      </c>
      <c r="R13" s="239" t="e">
        <f t="shared" ca="1" si="22"/>
        <v>#N/A</v>
      </c>
      <c r="S13" s="216" t="e">
        <f t="shared" ca="1" si="1"/>
        <v>#N/A</v>
      </c>
      <c r="T13" s="220" t="e">
        <f t="shared" ca="1" si="2"/>
        <v>#N/A</v>
      </c>
      <c r="U13" s="218" t="e">
        <f t="shared" ca="1" si="3"/>
        <v>#N/A</v>
      </c>
      <c r="V13" s="220" t="e">
        <f ca="1">+octoth*octhrrt</f>
        <v>#N/A</v>
      </c>
      <c r="W13" s="201"/>
      <c r="X13" s="218" t="e">
        <f t="shared" ca="1" si="4"/>
        <v>#N/A</v>
      </c>
      <c r="Y13" s="220" t="e">
        <f t="shared" ca="1" si="5"/>
        <v>#N/A</v>
      </c>
      <c r="Z13" s="218" t="e">
        <f t="shared" ca="1" si="6"/>
        <v>#N/A</v>
      </c>
      <c r="AA13" s="220" t="e">
        <f t="shared" ca="1" si="7"/>
        <v>#N/A</v>
      </c>
      <c r="AB13" s="218" t="e">
        <f ca="1">+INDIRECT("[EMPINFO.xlsm]"&amp;$O$2&amp;"!s13")</f>
        <v>#N/A</v>
      </c>
      <c r="AC13" s="292">
        <v>1.5</v>
      </c>
      <c r="AD13" s="218" t="e">
        <f t="shared" ca="1" si="8"/>
        <v>#N/A</v>
      </c>
      <c r="AE13" s="220" t="e">
        <f t="shared" ca="1" si="9"/>
        <v>#N/A</v>
      </c>
      <c r="AF13" s="218" t="e">
        <f t="shared" ca="1" si="10"/>
        <v>#N/A</v>
      </c>
      <c r="AG13" s="220" t="e">
        <f t="shared" ca="1" si="11"/>
        <v>#N/A</v>
      </c>
      <c r="AH13" s="218" t="e">
        <f t="shared" ca="1" si="12"/>
        <v>#N/A</v>
      </c>
      <c r="AI13" s="220" t="e">
        <f t="shared" ca="1" si="13"/>
        <v>#N/A</v>
      </c>
      <c r="AJ13" s="218" t="e">
        <f t="shared" ca="1" si="14"/>
        <v>#N/A</v>
      </c>
      <c r="AK13" s="220" t="e">
        <f t="shared" ca="1" si="15"/>
        <v>#N/A</v>
      </c>
      <c r="AL13" s="218" t="e">
        <f t="shared" ca="1" si="23"/>
        <v>#N/A</v>
      </c>
      <c r="AM13" s="290" t="e">
        <f t="shared" ca="1" si="16"/>
        <v>#N/A</v>
      </c>
      <c r="AN13" s="291" t="e">
        <f t="shared" ca="1" si="17"/>
        <v>#N/A</v>
      </c>
      <c r="AO13" s="223" t="e">
        <f ca="1">+INDIRECT("[EMPINFO.xlsm]"&amp;$O$2&amp;"!t13")</f>
        <v>#N/A</v>
      </c>
      <c r="AP13" s="226" t="e">
        <f ca="1">+INDIRECT("[EMPINFO.xlsm]"&amp;$O$2&amp;"!o13")</f>
        <v>#N/A</v>
      </c>
      <c r="AQ13" s="223" t="e">
        <f ca="1">+INDIRECT("[EMPINFO.xlsm]"&amp;$O$2&amp;"!p13")</f>
        <v>#N/A</v>
      </c>
      <c r="AR13" s="226" t="e">
        <f ca="1">+INDIRECT("[EMPINFO.xlsm]"&amp;$O$2&amp;"!j13")</f>
        <v>#N/A</v>
      </c>
      <c r="AS13" s="223" t="e">
        <f ca="1">+INDIRECT("[EMPINFO.xlsm]"&amp;$O$2&amp;"!k13")</f>
        <v>#N/A</v>
      </c>
      <c r="AT13" s="226" t="e">
        <f ca="1">+INDIRECT("[EMPINFO.xlsm]"&amp;$O$2&amp;"!m13")</f>
        <v>#N/A</v>
      </c>
      <c r="AU13" s="241" t="e">
        <f ca="1">+INDIRECT("[EMPINFO.xlsm]"&amp;$O$2&amp;"!n13")</f>
        <v>#N/A</v>
      </c>
      <c r="AV13" s="244">
        <f t="shared" si="18"/>
        <v>0</v>
      </c>
      <c r="AW13" s="244">
        <f t="shared" si="19"/>
        <v>0</v>
      </c>
      <c r="AX13" s="223" t="e">
        <f ca="1">+INDIRECT("[EMPINFO.xlsm]"&amp;$O$2&amp;"!u13")</f>
        <v>#N/A</v>
      </c>
      <c r="AY13" s="215" t="e">
        <f ca="1">+INDIRECT("[EMPINFO.xlsm]"&amp;$O$2&amp;"!v13")</f>
        <v>#N/A</v>
      </c>
      <c r="AZ13" s="207" t="e">
        <f ca="1">+INDIRECT("[EMPINFO.xlsm]"&amp;$O$2&amp;"!x13")</f>
        <v>#N/A</v>
      </c>
      <c r="BA13" s="241" t="e">
        <f ca="1">+INDIRECT("[EMPINFO.xlsm]"&amp;$O$2&amp;"!w13")</f>
        <v>#N/A</v>
      </c>
      <c r="BB13" s="288" t="e">
        <f t="shared" ca="1" si="20"/>
        <v>#N/A</v>
      </c>
      <c r="BC13" s="289" t="e">
        <f t="shared" ca="1" si="21"/>
        <v>#N/A</v>
      </c>
      <c r="BD13" s="255"/>
      <c r="BE13" s="206"/>
    </row>
    <row r="14" spans="1:62" ht="23.25" customHeight="1" thickBot="1" x14ac:dyDescent="0.3">
      <c r="A14" s="69" t="s">
        <v>32</v>
      </c>
      <c r="B14" s="937" t="s">
        <v>145</v>
      </c>
      <c r="C14" s="938"/>
      <c r="D14" s="939"/>
      <c r="E14" s="70" t="s">
        <v>146</v>
      </c>
      <c r="F14" s="450" t="e">
        <f>IF(StartEmp&gt;O4,StartEmp,O4)</f>
        <v>#N/A</v>
      </c>
      <c r="G14" s="451"/>
      <c r="H14" s="71" t="s">
        <v>147</v>
      </c>
      <c r="I14" s="452" t="e">
        <f>+TERMDATE</f>
        <v>#N/A</v>
      </c>
      <c r="J14" s="453"/>
      <c r="K14" s="454"/>
      <c r="L14" s="63"/>
      <c r="M14" s="303"/>
      <c r="N14" s="211" t="e">
        <f t="shared" ca="1" si="0"/>
        <v>#N/A</v>
      </c>
      <c r="O14" s="213">
        <f>+DATA!A13</f>
        <v>46327</v>
      </c>
      <c r="P14" s="219" t="e">
        <f ca="1">+INDIRECT("[EMPINFO.xlsm]"&amp;$O$2&amp;"!G14")</f>
        <v>#N/A</v>
      </c>
      <c r="Q14" s="215" t="e">
        <f ca="1">IF(AZ14="active",INDIRECT("[EMPINFO.xlsm]"&amp;$O$2&amp;"!H14"),0)</f>
        <v>#N/A</v>
      </c>
      <c r="R14" s="239" t="e">
        <f t="shared" ca="1" si="22"/>
        <v>#N/A</v>
      </c>
      <c r="S14" s="216" t="e">
        <f t="shared" ca="1" si="1"/>
        <v>#N/A</v>
      </c>
      <c r="T14" s="220" t="e">
        <f t="shared" ca="1" si="2"/>
        <v>#N/A</v>
      </c>
      <c r="U14" s="218" t="e">
        <f t="shared" ca="1" si="3"/>
        <v>#N/A</v>
      </c>
      <c r="V14" s="220" t="e">
        <f ca="1">+novoth*novhrrt</f>
        <v>#N/A</v>
      </c>
      <c r="W14" s="201"/>
      <c r="X14" s="218" t="e">
        <f t="shared" ca="1" si="4"/>
        <v>#N/A</v>
      </c>
      <c r="Y14" s="220" t="e">
        <f t="shared" ca="1" si="5"/>
        <v>#N/A</v>
      </c>
      <c r="Z14" s="218" t="e">
        <f t="shared" ca="1" si="6"/>
        <v>#N/A</v>
      </c>
      <c r="AA14" s="220" t="e">
        <f t="shared" ca="1" si="7"/>
        <v>#N/A</v>
      </c>
      <c r="AB14" s="218" t="e">
        <f ca="1">+INDIRECT("[EMPINFO.xlsm]"&amp;$O$2&amp;"!s14")</f>
        <v>#N/A</v>
      </c>
      <c r="AC14" s="292">
        <v>1.5</v>
      </c>
      <c r="AD14" s="218" t="e">
        <f t="shared" ca="1" si="8"/>
        <v>#N/A</v>
      </c>
      <c r="AE14" s="220" t="e">
        <f t="shared" ca="1" si="9"/>
        <v>#N/A</v>
      </c>
      <c r="AF14" s="218" t="e">
        <f t="shared" ca="1" si="10"/>
        <v>#N/A</v>
      </c>
      <c r="AG14" s="220" t="e">
        <f t="shared" ca="1" si="11"/>
        <v>#N/A</v>
      </c>
      <c r="AH14" s="218" t="e">
        <f t="shared" ca="1" si="12"/>
        <v>#N/A</v>
      </c>
      <c r="AI14" s="220" t="e">
        <f t="shared" ca="1" si="13"/>
        <v>#N/A</v>
      </c>
      <c r="AJ14" s="218" t="e">
        <f t="shared" ca="1" si="14"/>
        <v>#N/A</v>
      </c>
      <c r="AK14" s="220" t="e">
        <f t="shared" ca="1" si="15"/>
        <v>#N/A</v>
      </c>
      <c r="AL14" s="218" t="e">
        <f t="shared" ca="1" si="23"/>
        <v>#N/A</v>
      </c>
      <c r="AM14" s="290" t="e">
        <f t="shared" ca="1" si="16"/>
        <v>#N/A</v>
      </c>
      <c r="AN14" s="291" t="e">
        <f t="shared" ca="1" si="17"/>
        <v>#N/A</v>
      </c>
      <c r="AO14" s="223" t="e">
        <f ca="1">+INDIRECT("[EMPINFO.xlsm]"&amp;$O$2&amp;"!t14")</f>
        <v>#N/A</v>
      </c>
      <c r="AP14" s="226" t="e">
        <f ca="1">+INDIRECT("[EMPINFO.xlsm]"&amp;$O$2&amp;"!o14")</f>
        <v>#N/A</v>
      </c>
      <c r="AQ14" s="223" t="e">
        <f ca="1">+INDIRECT("[EMPINFO.xlsm]"&amp;$O$2&amp;"!p14")</f>
        <v>#N/A</v>
      </c>
      <c r="AR14" s="226" t="e">
        <f ca="1">+INDIRECT("[EMPINFO.xlsm]"&amp;$O$2&amp;"!j14")</f>
        <v>#N/A</v>
      </c>
      <c r="AS14" s="223" t="e">
        <f ca="1">+INDIRECT("[EMPINFO.xlsm]"&amp;$O$2&amp;"!k14")</f>
        <v>#N/A</v>
      </c>
      <c r="AT14" s="226" t="e">
        <f ca="1">+INDIRECT("[EMPINFO.xlsm]"&amp;$O$2&amp;"!m14")</f>
        <v>#N/A</v>
      </c>
      <c r="AU14" s="241" t="e">
        <f ca="1">+INDIRECT("[EMPINFO.xlsm]"&amp;$O$2&amp;"!n14")</f>
        <v>#N/A</v>
      </c>
      <c r="AV14" s="244">
        <f t="shared" si="18"/>
        <v>0</v>
      </c>
      <c r="AW14" s="244">
        <f t="shared" si="19"/>
        <v>0</v>
      </c>
      <c r="AX14" s="223" t="e">
        <f ca="1">+INDIRECT("[EMPINFO.xlsm]"&amp;$O$2&amp;"!u14")</f>
        <v>#N/A</v>
      </c>
      <c r="AY14" s="215" t="e">
        <f ca="1">+INDIRECT("[EMPINFO.xlsm]"&amp;$O$2&amp;"!v14")</f>
        <v>#N/A</v>
      </c>
      <c r="AZ14" s="207" t="e">
        <f ca="1">+INDIRECT("[EMPINFO.xlsm]"&amp;$O$2&amp;"!x14")</f>
        <v>#N/A</v>
      </c>
      <c r="BA14" s="241" t="e">
        <f ca="1">+INDIRECT("[EMPINFO.xlsm]"&amp;$O$2&amp;"!w14")</f>
        <v>#N/A</v>
      </c>
      <c r="BB14" s="288" t="e">
        <f t="shared" ca="1" si="20"/>
        <v>#N/A</v>
      </c>
      <c r="BC14" s="289" t="e">
        <f t="shared" ca="1" si="21"/>
        <v>#N/A</v>
      </c>
      <c r="BD14" s="255"/>
      <c r="BE14" s="206"/>
      <c r="BF14" s="32"/>
      <c r="BH14" s="32"/>
    </row>
    <row r="15" spans="1:62" ht="15.75" customHeight="1" thickBot="1" x14ac:dyDescent="0.3">
      <c r="A15" s="54"/>
      <c r="L15" s="101"/>
      <c r="M15" s="303"/>
      <c r="N15" s="211" t="e">
        <f t="shared" ca="1" si="0"/>
        <v>#N/A</v>
      </c>
      <c r="O15" s="213">
        <f>+DATA!A14</f>
        <v>46357</v>
      </c>
      <c r="P15" s="219" t="e">
        <f ca="1">+INDIRECT("[EMPINFO.xlsm]"&amp;$O$2&amp;"!G15")</f>
        <v>#N/A</v>
      </c>
      <c r="Q15" s="215" t="e">
        <f ca="1">IF(AZ15="active",INDIRECT("[EMPINFO.xlsm]"&amp;$O$2&amp;"!H15"),0)</f>
        <v>#N/A</v>
      </c>
      <c r="R15" s="239" t="e">
        <f t="shared" ca="1" si="22"/>
        <v>#N/A</v>
      </c>
      <c r="S15" s="216" t="e">
        <f t="shared" ca="1" si="1"/>
        <v>#N/A</v>
      </c>
      <c r="T15" s="220" t="e">
        <f t="shared" ca="1" si="2"/>
        <v>#N/A</v>
      </c>
      <c r="U15" s="218" t="e">
        <f t="shared" ca="1" si="3"/>
        <v>#N/A</v>
      </c>
      <c r="V15" s="220" t="e">
        <f ca="1">+decoth*dechrrt</f>
        <v>#N/A</v>
      </c>
      <c r="W15" s="202" t="e">
        <f ca="1">IF(AZ15&lt;&gt;"active",0,(IF(Timer="PT_casual",(bonusdec/1040*(BA10:BA15)),(bonusdec*(SUM(AO10:AO15)/SUM(AX10:AX15))*(SUM(Q10:Q15)/240)))))</f>
        <v>#N/A</v>
      </c>
      <c r="X15" s="218" t="e">
        <f t="shared" ca="1" si="4"/>
        <v>#N/A</v>
      </c>
      <c r="Y15" s="220" t="e">
        <f t="shared" ca="1" si="5"/>
        <v>#N/A</v>
      </c>
      <c r="Z15" s="218" t="e">
        <f t="shared" ca="1" si="6"/>
        <v>#N/A</v>
      </c>
      <c r="AA15" s="220" t="e">
        <f t="shared" ca="1" si="7"/>
        <v>#N/A</v>
      </c>
      <c r="AB15" s="218" t="e">
        <f ca="1">+INDIRECT("[EMPINFO.xlsm]"&amp;$O$2&amp;"!s15")</f>
        <v>#N/A</v>
      </c>
      <c r="AC15" s="292">
        <v>1.5</v>
      </c>
      <c r="AD15" s="218" t="e">
        <f t="shared" ca="1" si="8"/>
        <v>#N/A</v>
      </c>
      <c r="AE15" s="220" t="e">
        <f t="shared" ca="1" si="9"/>
        <v>#N/A</v>
      </c>
      <c r="AF15" s="218" t="e">
        <f t="shared" ca="1" si="10"/>
        <v>#N/A</v>
      </c>
      <c r="AG15" s="220" t="e">
        <f t="shared" ca="1" si="11"/>
        <v>#N/A</v>
      </c>
      <c r="AH15" s="218" t="e">
        <f t="shared" ca="1" si="12"/>
        <v>#N/A</v>
      </c>
      <c r="AI15" s="220" t="e">
        <f t="shared" ca="1" si="13"/>
        <v>#N/A</v>
      </c>
      <c r="AJ15" s="218" t="e">
        <f t="shared" ca="1" si="14"/>
        <v>#N/A</v>
      </c>
      <c r="AK15" s="220" t="e">
        <f t="shared" ca="1" si="15"/>
        <v>#N/A</v>
      </c>
      <c r="AL15" s="218" t="e">
        <f t="shared" ca="1" si="23"/>
        <v>#N/A</v>
      </c>
      <c r="AM15" s="290" t="e">
        <f t="shared" ca="1" si="16"/>
        <v>#N/A</v>
      </c>
      <c r="AN15" s="291" t="e">
        <f t="shared" ca="1" si="17"/>
        <v>#N/A</v>
      </c>
      <c r="AO15" s="223" t="e">
        <f ca="1">+INDIRECT("[EMPINFO.xlsm]"&amp;$O$2&amp;"!t15")</f>
        <v>#N/A</v>
      </c>
      <c r="AP15" s="226" t="e">
        <f ca="1">+INDIRECT("[EMPINFO.xlsm]"&amp;$O$2&amp;"!o15")</f>
        <v>#N/A</v>
      </c>
      <c r="AQ15" s="223" t="e">
        <f ca="1">+INDIRECT("[EMPINFO.xlsm]"&amp;$O$2&amp;"!p15")</f>
        <v>#N/A</v>
      </c>
      <c r="AR15" s="226" t="e">
        <f ca="1">+INDIRECT("[EMPINFO.xlsm]"&amp;$O$2&amp;"!j15")</f>
        <v>#N/A</v>
      </c>
      <c r="AS15" s="223" t="e">
        <f ca="1">+INDIRECT("[EMPINFO.xlsm]"&amp;$O$2&amp;"!k15")</f>
        <v>#N/A</v>
      </c>
      <c r="AT15" s="226" t="e">
        <f ca="1">+INDIRECT("[EMPINFO.xlsm]"&amp;$O$2&amp;"!m15")</f>
        <v>#N/A</v>
      </c>
      <c r="AU15" s="241" t="e">
        <f ca="1">+INDIRECT("[EMPINFO.xlsm]"&amp;$O$2&amp;"!n15")</f>
        <v>#N/A</v>
      </c>
      <c r="AV15" s="244">
        <f t="shared" si="18"/>
        <v>0</v>
      </c>
      <c r="AW15" s="244">
        <f t="shared" si="19"/>
        <v>0</v>
      </c>
      <c r="AX15" s="223" t="e">
        <f ca="1">+INDIRECT("[EMPINFO.xlsm]"&amp;$O$2&amp;"!u15")</f>
        <v>#N/A</v>
      </c>
      <c r="AY15" s="215" t="e">
        <f ca="1">+INDIRECT("[EMPINFO.xlsm]"&amp;$O$2&amp;"!v15")</f>
        <v>#N/A</v>
      </c>
      <c r="AZ15" s="207" t="e">
        <f ca="1">+INDIRECT("[EMPINFO.xlsm]"&amp;$O$2&amp;"!x15")</f>
        <v>#N/A</v>
      </c>
      <c r="BA15" s="241" t="e">
        <f ca="1">+INDIRECT("[EMPINFO.xlsm]"&amp;$O$2&amp;"!w15")</f>
        <v>#N/A</v>
      </c>
      <c r="BB15" s="288" t="e">
        <f t="shared" ca="1" si="20"/>
        <v>#N/A</v>
      </c>
      <c r="BC15" s="289" t="e">
        <f t="shared" ca="1" si="21"/>
        <v>#N/A</v>
      </c>
      <c r="BD15" s="255"/>
      <c r="BE15" s="206"/>
    </row>
    <row r="16" spans="1:62" ht="27" customHeight="1" thickBot="1" x14ac:dyDescent="0.3">
      <c r="A16" s="315" t="s">
        <v>35</v>
      </c>
      <c r="B16" s="896" t="s">
        <v>36</v>
      </c>
      <c r="C16" s="897"/>
      <c r="D16" s="898"/>
      <c r="E16" s="84"/>
      <c r="F16" s="84"/>
      <c r="G16" s="84"/>
      <c r="H16" s="892" t="s">
        <v>37</v>
      </c>
      <c r="I16" s="893"/>
      <c r="J16" s="84"/>
      <c r="K16" s="84"/>
      <c r="L16" s="316"/>
      <c r="M16" s="748" t="s">
        <v>148</v>
      </c>
      <c r="N16" s="212"/>
      <c r="O16" s="214" t="s">
        <v>149</v>
      </c>
      <c r="P16" s="279" t="e">
        <f ca="1">+INDIRECT("[EMPINFO.xlsm]"&amp;$O$2&amp;"!G16")</f>
        <v>#N/A</v>
      </c>
      <c r="Q16" s="222"/>
      <c r="R16" s="209"/>
      <c r="S16" s="217" t="e">
        <f t="shared" ref="S16:AA16" ca="1" si="24">SUM(S4:S15)</f>
        <v>#N/A</v>
      </c>
      <c r="T16" s="221" t="e">
        <f t="shared" ca="1" si="24"/>
        <v>#N/A</v>
      </c>
      <c r="U16" s="217" t="e">
        <f t="shared" ca="1" si="24"/>
        <v>#N/A</v>
      </c>
      <c r="V16" s="221" t="e">
        <f t="shared" ca="1" si="24"/>
        <v>#N/A</v>
      </c>
      <c r="W16" s="217" t="e">
        <f t="shared" ca="1" si="24"/>
        <v>#N/A</v>
      </c>
      <c r="X16" s="217" t="e">
        <f t="shared" ca="1" si="24"/>
        <v>#N/A</v>
      </c>
      <c r="Y16" s="221" t="e">
        <f t="shared" ca="1" si="24"/>
        <v>#N/A</v>
      </c>
      <c r="Z16" s="217" t="e">
        <f t="shared" ca="1" si="24"/>
        <v>#N/A</v>
      </c>
      <c r="AA16" s="221" t="e">
        <f t="shared" ca="1" si="24"/>
        <v>#N/A</v>
      </c>
      <c r="AB16" s="217" t="e">
        <f ca="1">+INDIRECT("[EMPINFO.xlsm]"&amp;$O$2&amp;"!S16")</f>
        <v>#N/A</v>
      </c>
      <c r="AC16" s="221" t="s">
        <v>150</v>
      </c>
      <c r="AD16" s="217" t="e">
        <f ca="1">SUM(AD4:AD15)</f>
        <v>#N/A</v>
      </c>
      <c r="AE16" s="221" t="e">
        <f ca="1">SUM(AE4:AE15)</f>
        <v>#N/A</v>
      </c>
      <c r="AF16" s="217" t="e">
        <f ca="1">SUM(AF4:AF15)</f>
        <v>#N/A</v>
      </c>
      <c r="AG16" s="221"/>
      <c r="AH16" s="217" t="e">
        <f ca="1">SUM(AH4:AH15)</f>
        <v>#N/A</v>
      </c>
      <c r="AI16" s="220" t="e">
        <f ca="1">SUM(AI4:AI15)</f>
        <v>#N/A</v>
      </c>
      <c r="AJ16" s="217" t="e">
        <f t="shared" ca="1" si="14"/>
        <v>#N/A</v>
      </c>
      <c r="AK16" s="266" t="e">
        <f ca="1">SUM(AK4:AK15)</f>
        <v>#N/A</v>
      </c>
      <c r="AL16" s="217" t="e">
        <f ca="1">+SUM(AL4:AL15)</f>
        <v>#N/A</v>
      </c>
      <c r="AM16" s="298"/>
      <c r="AN16" s="297"/>
      <c r="AO16" s="224" t="e">
        <f ca="1">+INDIRECT("[EMPINFO.xlsm]"&amp;$O$2&amp;"!T16")</f>
        <v>#N/A</v>
      </c>
      <c r="AP16" s="299">
        <f>+[1]RGaldes!O16</f>
        <v>0</v>
      </c>
      <c r="AQ16" s="224" t="e">
        <f ca="1">+INDIRECT("[EMPINFO.xlsm]"&amp;$O$2&amp;"!p16")</f>
        <v>#N/A</v>
      </c>
      <c r="AR16" s="299"/>
      <c r="AS16" s="224" t="e">
        <f ca="1">+INDIRECT("[EMPINFO.xlsm]"&amp;$O$2&amp;"!k16")</f>
        <v>#N/A</v>
      </c>
      <c r="AT16" s="299" t="e">
        <f ca="1">+INDIRECT("[EMPINFO.xlsm]"&amp;$O$2&amp;"!m16")</f>
        <v>#N/A</v>
      </c>
      <c r="AU16" s="224" t="e">
        <f ca="1">+INDIRECT("[EMPINFO.xlsm]"&amp;$O$2&amp;"!n16")</f>
        <v>#N/A</v>
      </c>
      <c r="AV16" s="208"/>
      <c r="AW16" s="208"/>
      <c r="AX16" s="210">
        <f>+[1]RGaldes!U16</f>
        <v>0</v>
      </c>
      <c r="AY16" s="225" t="e">
        <f ca="1">SUM(AY4:AY15)</f>
        <v>#N/A</v>
      </c>
      <c r="AZ16" s="180">
        <f>+[1]RGaldes!X16</f>
        <v>0</v>
      </c>
      <c r="BA16" s="282"/>
      <c r="BB16" s="286"/>
      <c r="BC16" s="287"/>
      <c r="BD16" s="255"/>
    </row>
    <row r="17" spans="1:56" ht="28.9" customHeight="1" thickBot="1" x14ac:dyDescent="0.45">
      <c r="A17" s="54"/>
      <c r="B17" s="312" t="s">
        <v>38</v>
      </c>
      <c r="C17" s="312"/>
      <c r="D17" s="312"/>
      <c r="E17" s="312"/>
      <c r="F17" s="312"/>
      <c r="G17" s="73" t="s">
        <v>39</v>
      </c>
      <c r="H17" s="455" t="e">
        <f>TRUNC(IF(OR(Timer="PT", Timer="PT_casual"),0,Z16),0)</f>
        <v>#N/A</v>
      </c>
      <c r="I17" s="456"/>
      <c r="K17" s="317" t="s">
        <v>151</v>
      </c>
      <c r="L17" s="101"/>
      <c r="M17" s="256"/>
      <c r="N17" s="257" t="s">
        <v>152</v>
      </c>
      <c r="O17" s="258" t="e">
        <f ca="1">+Med_Tot</f>
        <v>#N/A</v>
      </c>
      <c r="P17" s="248"/>
      <c r="Q17" s="248"/>
      <c r="R17" s="248"/>
      <c r="S17" s="248"/>
      <c r="T17" s="248"/>
      <c r="U17" s="248"/>
      <c r="V17" s="248"/>
      <c r="W17" s="248"/>
      <c r="X17" s="248"/>
      <c r="Y17" s="248"/>
      <c r="Z17" s="248"/>
      <c r="AA17" s="259"/>
      <c r="AB17" s="259"/>
      <c r="AC17" s="248"/>
      <c r="AD17" s="248"/>
      <c r="AE17" s="248"/>
      <c r="AF17" s="248"/>
      <c r="AG17" s="248"/>
      <c r="AH17" s="248"/>
      <c r="AI17" s="248"/>
      <c r="AJ17" s="248"/>
      <c r="AK17" s="248"/>
      <c r="AL17" s="248"/>
      <c r="AM17" s="248"/>
      <c r="AN17" s="248"/>
      <c r="AO17" s="248"/>
      <c r="AP17" s="248"/>
      <c r="AQ17" s="260" t="e">
        <f ca="1">+AQ16</f>
        <v>#N/A</v>
      </c>
      <c r="AR17" s="248"/>
      <c r="AS17" s="261">
        <f>+[1]RGaldes!K17</f>
        <v>223.99999999999997</v>
      </c>
      <c r="AT17" s="262">
        <f>+[1]RGaldes!M17</f>
        <v>0</v>
      </c>
      <c r="AU17" s="262">
        <f>+[1]RGaldes!N17</f>
        <v>0</v>
      </c>
      <c r="AV17" s="248"/>
      <c r="AW17" s="248"/>
      <c r="AX17" s="248"/>
      <c r="AY17" s="248"/>
      <c r="AZ17" s="248"/>
      <c r="BA17" s="263"/>
      <c r="BB17" s="255"/>
      <c r="BC17" s="255"/>
      <c r="BD17" s="255"/>
    </row>
    <row r="18" spans="1:56" ht="15.6" customHeight="1" thickBot="1" x14ac:dyDescent="0.3">
      <c r="A18" s="54"/>
      <c r="B18" s="317" t="s">
        <v>153</v>
      </c>
      <c r="G18" s="73" t="s">
        <v>41</v>
      </c>
      <c r="H18" s="455" t="e">
        <f ca="1">+TRUNC(AD16,0)</f>
        <v>#N/A</v>
      </c>
      <c r="I18" s="456"/>
      <c r="K18" s="954" t="e">
        <f ca="1">+AB16</f>
        <v>#N/A</v>
      </c>
      <c r="L18" s="911"/>
      <c r="M18" s="7"/>
      <c r="N18" s="347"/>
      <c r="O18" s="54"/>
      <c r="Z18" s="73"/>
    </row>
    <row r="19" spans="1:56" ht="32.25" customHeight="1" thickBot="1" x14ac:dyDescent="0.3">
      <c r="A19" s="54"/>
      <c r="B19" s="317" t="s">
        <v>154</v>
      </c>
      <c r="G19" s="73" t="s">
        <v>43</v>
      </c>
      <c r="H19" s="457">
        <v>0</v>
      </c>
      <c r="I19" s="458"/>
      <c r="K19" s="950" t="s">
        <v>155</v>
      </c>
      <c r="L19" s="951"/>
      <c r="M19" s="7"/>
      <c r="N19" s="386" t="e">
        <f ca="1">IF(OR(INDEX(PYRL_Summary,MATCH(O21,months,0),28)="pt",INDEX(PYRL_Summary,MATCH(O21,months,0),28)="pt_casual"),0,IF(N22-N21&gt;=1,1,0))</f>
        <v>#N/A</v>
      </c>
      <c r="O19" s="894" t="e">
        <f>Surname&amp;" "&amp;Name</f>
        <v>#N/A</v>
      </c>
      <c r="P19" s="374" t="e">
        <f>+IDCard</f>
        <v>#N/A</v>
      </c>
      <c r="Q19" s="375" t="e">
        <f>+designation</f>
        <v>#N/A</v>
      </c>
      <c r="R19" s="376" t="s">
        <v>156</v>
      </c>
      <c r="S19" s="377" t="e">
        <f ca="1">+S20+S23+S22+S24+S25+S26+S21</f>
        <v>#N/A</v>
      </c>
      <c r="T19" s="378" t="e">
        <f>+FS4_Status</f>
        <v>#N/A</v>
      </c>
      <c r="U19" s="572" t="e">
        <f ca="1">INDEX(INDAT,MATCH(O21,(INDIRECT(("months"),TRUE)),0),26)</f>
        <v>#N/A</v>
      </c>
      <c r="V19" s="379" t="e">
        <f ca="1">INDEX(INDAT,MATCH(O21,(INDIRECT(("months"),TRUE)),0),25)</f>
        <v>#N/A</v>
      </c>
      <c r="W19" s="422">
        <f>+$O$4</f>
        <v>46023</v>
      </c>
      <c r="X19" s="423"/>
      <c r="Y19" s="423"/>
      <c r="Z19" s="439" t="s">
        <v>157</v>
      </c>
      <c r="AA19" s="440" t="s">
        <v>158</v>
      </c>
      <c r="AB19" s="441"/>
      <c r="AC19" s="442"/>
      <c r="AD19" s="443" t="s">
        <v>159</v>
      </c>
    </row>
    <row r="20" spans="1:56" ht="15.6" customHeight="1" thickBot="1" x14ac:dyDescent="0.3">
      <c r="A20" s="54"/>
      <c r="B20" s="312" t="s">
        <v>44</v>
      </c>
      <c r="C20" s="312"/>
      <c r="D20" s="312"/>
      <c r="E20" s="312"/>
      <c r="F20" s="312"/>
      <c r="G20" s="73" t="s">
        <v>45</v>
      </c>
      <c r="H20" s="459" t="e">
        <f>TRUNC(IF(OR(Timer="PT", Timer="PT_Casual"),Med_Tot,0),0)</f>
        <v>#N/A</v>
      </c>
      <c r="I20" s="460"/>
      <c r="J20" s="318" t="s">
        <v>160</v>
      </c>
      <c r="K20" s="910"/>
      <c r="L20" s="911"/>
      <c r="N20" s="387" t="e">
        <f ca="1">IF(AND(OR((INDEX(PYRL_Summary,MATCH(O21,months,0),28))="PT",( INDEX(PYRL_Summary,MATCH(O21,months,0),28))="PT_casual" ),(N22-N21&gt;=1)),1,0)</f>
        <v>#N/A</v>
      </c>
      <c r="O20" s="895"/>
      <c r="P20" s="416" t="s">
        <v>161</v>
      </c>
      <c r="Q20" s="380" t="e">
        <f ca="1">INDEX(PYRL_Summary,MATCH(O21,months,0),5)</f>
        <v>#N/A</v>
      </c>
      <c r="R20" s="381" t="s">
        <v>94</v>
      </c>
      <c r="S20" s="382" t="e">
        <f ca="1">INDEX(PYRL_Summary,MATCH(O21,months,0),7)</f>
        <v>#N/A</v>
      </c>
      <c r="T20" s="383" t="s">
        <v>162</v>
      </c>
      <c r="U20" s="384" t="s">
        <v>163</v>
      </c>
      <c r="V20" s="385" t="s">
        <v>164</v>
      </c>
      <c r="Z20" s="446" t="e">
        <f ca="1">IF((INDIRECT("[EMPINFO.xlsm]"&amp;$O$2&amp;"!M20")) = 0," ",(INDIRECT("[EMPINFO.xlsm]"&amp;$O$2&amp;"!M20")
))</f>
        <v>#N/A</v>
      </c>
      <c r="AA20" s="446" t="e">
        <f ca="1">IF((INDIRECT("[EMPINFO.xlsm]"&amp;$O$2&amp;"!n20")) = 0," ",(INDIRECT("[EMPINFO.xlsm]"&amp;$O$2&amp;"!n20")
))</f>
        <v>#N/A</v>
      </c>
      <c r="AB20" s="444" t="s">
        <v>165</v>
      </c>
      <c r="AC20" s="446" t="e">
        <f ca="1">IF((INDIRECT("[EMPINFO.xlsm]"&amp;$O$2&amp;"!p20")) = 0," ",(INDIRECT("[EMPINFO.xlsm]"&amp;$O$2&amp;"!p20")
))</f>
        <v>#N/A</v>
      </c>
      <c r="AD20" s="446" t="e">
        <f ca="1">IF((INDIRECT("[EMPINFO.xlsm]"&amp;$O$2&amp;"!q20")) = 0," ",(INDIRECT("[EMPINFO.xlsm]"&amp;$O$2&amp;"!q20")
))</f>
        <v>#N/A</v>
      </c>
    </row>
    <row r="21" spans="1:56" ht="22.5" customHeight="1" thickBot="1" x14ac:dyDescent="0.3">
      <c r="A21" s="54"/>
      <c r="B21" s="312" t="s">
        <v>46</v>
      </c>
      <c r="C21" s="312"/>
      <c r="D21" s="312"/>
      <c r="E21" s="312"/>
      <c r="F21" s="312"/>
      <c r="G21" s="73" t="s">
        <v>47</v>
      </c>
      <c r="H21" s="461">
        <v>0</v>
      </c>
      <c r="I21" s="462"/>
      <c r="J21" s="318" t="s">
        <v>166</v>
      </c>
      <c r="K21" s="916"/>
      <c r="L21" s="917"/>
      <c r="M21" s="7"/>
      <c r="N21" s="419" t="e">
        <f>IF(TERMDATE&lt;O21,0,IF(StartEmp&lt;=O21,O21,(IF(AND(StartEmp&gt;=O21,StartEmp&lt;=O31),StartEmp,0))))</f>
        <v>#N/A</v>
      </c>
      <c r="O21" s="343">
        <f>+W19</f>
        <v>46023</v>
      </c>
      <c r="P21" s="371" t="e">
        <f ca="1">IF(AN4="PT","Hours Worked","Extra/ under Hours")</f>
        <v>#N/A</v>
      </c>
      <c r="Q21" s="99"/>
      <c r="R21" s="99" t="e">
        <f ca="1">INDEX(PYRL_Summary,MATCH(O21,months,0),41)&amp;" HRS"</f>
        <v>#N/A</v>
      </c>
      <c r="S21" s="367" t="e">
        <f ca="1">INDEX(PYRL_Summary,MATCH(O21,months,0),41)*janhrrt</f>
        <v>#N/A</v>
      </c>
      <c r="T21" s="372" t="e">
        <f ca="1">+U21+V21</f>
        <v>#N/A</v>
      </c>
      <c r="U21" s="372" t="e">
        <f ca="1">INDEX(PYRL_Summary,MATCH(O21,months,0),22)</f>
        <v>#N/A</v>
      </c>
      <c r="V21" s="373" t="e">
        <f ca="1">INDEX(PYRL_Summary,MATCH(O21,months,0),23)</f>
        <v>#N/A</v>
      </c>
      <c r="Z21" s="446" t="e">
        <f ca="1">IF((INDIRECT("[EMPINFO.xlsm]"&amp;$O$2&amp;"!M21")) = 0," ",(INDIRECT("[EMPINFO.xlsm]"&amp;$O$2&amp;"!M21")
))</f>
        <v>#N/A</v>
      </c>
      <c r="AA21" s="446" t="e">
        <f ca="1">IF((INDIRECT("[EMPINFO.xlsm]"&amp;$O$2&amp;"!n21")) = 0," ",(INDIRECT("[EMPINFO.xlsm]"&amp;$O$2&amp;"!n21")
))</f>
        <v>#N/A</v>
      </c>
      <c r="AB21" s="445" t="s">
        <v>165</v>
      </c>
      <c r="AC21" s="446" t="e">
        <f ca="1">IF((INDIRECT("[EMPINFO.xlsm]"&amp;$O$2&amp;"!p21")) = 0," ",(INDIRECT("[EMPINFO.xlsm]"&amp;$O$2&amp;"!p21")
))</f>
        <v>#N/A</v>
      </c>
      <c r="AD21" s="446" t="e">
        <f ca="1">IF((INDIRECT("[EMPINFO.xlsm]"&amp;$O$2&amp;"!q21")) = 0," ",(INDIRECT("[EMPINFO.xlsm]"&amp;$O$2&amp;"!q21")
))</f>
        <v>#N/A</v>
      </c>
    </row>
    <row r="22" spans="1:56" ht="21" customHeight="1" thickBot="1" x14ac:dyDescent="0.3">
      <c r="A22" s="54"/>
      <c r="B22" s="319" t="s">
        <v>167</v>
      </c>
      <c r="G22" s="73" t="s">
        <v>168</v>
      </c>
      <c r="H22" s="463">
        <v>0</v>
      </c>
      <c r="I22" s="464"/>
      <c r="J22" s="320" t="s">
        <v>169</v>
      </c>
      <c r="K22" s="916"/>
      <c r="L22" s="917"/>
      <c r="N22" s="419" t="e">
        <f>+IF(StartEmp&gt;=O31,0,IF(TERMDATE&gt;=O31,O31-1,(IF(AND(TERMDATE&lt;O31,TERMDATE&gt;=O21),TERMDATE,0))))</f>
        <v>#N/A</v>
      </c>
      <c r="O22" s="341" t="s">
        <v>170</v>
      </c>
      <c r="P22" s="342" t="s">
        <v>171</v>
      </c>
      <c r="Q22" s="300">
        <f>+P28</f>
        <v>46022</v>
      </c>
      <c r="R22" s="184" t="str">
        <f>INDEX(PYRL_Summary,MATCH(P28,months,0),39)&amp;" HRS"</f>
        <v xml:space="preserve"> HRS</v>
      </c>
      <c r="S22" s="193">
        <f>INDEX(PYRL_Summary,MATCH(P28,months,0),9)</f>
        <v>0</v>
      </c>
      <c r="T22" s="186" t="s">
        <v>72</v>
      </c>
      <c r="U22" s="187" t="e">
        <f ca="1">INDEX(PYRL_Summary,MATCH(O21,months,0),25)</f>
        <v>#N/A</v>
      </c>
      <c r="V22" s="348"/>
      <c r="Z22" s="446" t="e">
        <f ca="1">IF((INDIRECT("[EMPINFO.xlsm]"&amp;$O$2&amp;"!M22")) = 0," ",(INDIRECT("[EMPINFO.xlsm]"&amp;$O$2&amp;"!M22")
))</f>
        <v>#N/A</v>
      </c>
      <c r="AA22" s="446" t="e">
        <f ca="1">IF((INDIRECT("[EMPINFO.xlsm]"&amp;$O$2&amp;"!n22")) = 0," ",(INDIRECT("[EMPINFO.xlsm]"&amp;$O$2&amp;"!n22")
))</f>
        <v>#N/A</v>
      </c>
      <c r="AB22" s="445" t="s">
        <v>165</v>
      </c>
      <c r="AC22" s="446" t="e">
        <f ca="1">IF((INDIRECT("[EMPINFO.xlsm]"&amp;$O$2&amp;"!p22")) = 0," ",(INDIRECT("[EMPINFO.xlsm]"&amp;$O$2&amp;"!p22")
))</f>
        <v>#N/A</v>
      </c>
      <c r="AD22" s="446" t="e">
        <f ca="1">IF((INDIRECT("[EMPINFO.xlsm]"&amp;$O$2&amp;"!q22")) = 0," ",(INDIRECT("[EMPINFO.xlsm]"&amp;$O$2&amp;"!q22")
))</f>
        <v>#N/A</v>
      </c>
      <c r="AE22" s="29"/>
    </row>
    <row r="23" spans="1:56" ht="21" customHeight="1" thickBot="1" x14ac:dyDescent="0.3">
      <c r="A23" s="54"/>
      <c r="B23" s="312" t="s">
        <v>48</v>
      </c>
      <c r="C23" s="312"/>
      <c r="D23" s="312"/>
      <c r="E23" s="312"/>
      <c r="F23" s="312"/>
      <c r="G23" s="73" t="s">
        <v>49</v>
      </c>
      <c r="H23" s="465" t="e">
        <f>+SUM(H17:I21)</f>
        <v>#N/A</v>
      </c>
      <c r="I23" s="466"/>
      <c r="J23" s="318" t="s">
        <v>169</v>
      </c>
      <c r="K23" s="916"/>
      <c r="L23" s="917"/>
      <c r="N23" s="420"/>
      <c r="O23" s="344">
        <f>+ID</f>
        <v>0</v>
      </c>
      <c r="P23" s="365"/>
      <c r="Q23" s="365"/>
      <c r="R23" s="366" t="s">
        <v>172</v>
      </c>
      <c r="S23" s="367">
        <f>INDEX(PYRL_Summary,MATCH(O21,months,0),11)</f>
        <v>0</v>
      </c>
      <c r="T23" s="368" t="e">
        <f ca="1">IF((INDEX(PYRL_Summary,MATCH(O21,months,0),19))&gt;=0.01, "Overtime Tax"," ")</f>
        <v>#N/A</v>
      </c>
      <c r="U23" s="369"/>
      <c r="V23" s="370" t="e">
        <f ca="1">INDEX(PYRL_Summary,MATCH(O21,months,0),19)</f>
        <v>#N/A</v>
      </c>
      <c r="X23" s="422">
        <f>+W19</f>
        <v>46023</v>
      </c>
    </row>
    <row r="24" spans="1:56" ht="17.25" customHeight="1" thickBot="1" x14ac:dyDescent="0.35">
      <c r="A24" s="313"/>
      <c r="B24" s="86"/>
      <c r="C24" s="86"/>
      <c r="D24" s="86"/>
      <c r="E24" s="86"/>
      <c r="F24" s="86"/>
      <c r="G24" s="85"/>
      <c r="H24" s="95"/>
      <c r="I24" s="87" t="s">
        <v>173</v>
      </c>
      <c r="J24" s="88" t="s">
        <v>174</v>
      </c>
      <c r="K24" s="89"/>
      <c r="L24" s="321"/>
      <c r="M24" s="76"/>
      <c r="N24" s="420"/>
      <c r="O24" s="188" t="s">
        <v>175</v>
      </c>
      <c r="P24" s="188"/>
      <c r="Q24" s="188"/>
      <c r="R24" s="200">
        <v>0</v>
      </c>
      <c r="S24" s="185" t="e">
        <f ca="1">INDEX(PYRL_Summary,MATCH(O21,months,0),10)</f>
        <v>#N/A</v>
      </c>
      <c r="T24" s="189" t="s">
        <v>176</v>
      </c>
      <c r="U24" s="190"/>
      <c r="V24" s="350" t="e">
        <f ca="1">INDEX(PYRL_Summary,MATCH(O21,months,0),15)</f>
        <v>#N/A</v>
      </c>
      <c r="X24" s="577"/>
    </row>
    <row r="25" spans="1:56" ht="14.45" customHeight="1" thickBot="1" x14ac:dyDescent="0.3">
      <c r="A25" s="54"/>
      <c r="L25" s="101"/>
      <c r="M25" s="76"/>
      <c r="N25" s="420"/>
      <c r="O25" s="345" t="e">
        <f ca="1">IF(INDEX(INDAT,MATCH(O21,(INDIRECT(("months"),TRUE)),0),4)&gt;=0.01, "Performance Bonus"," ")</f>
        <v>#N/A</v>
      </c>
      <c r="P25" s="100">
        <f>IF((INDEX(PYRL_Summary,MATCH(O21,months,0),12)&gt;=0.01),(INDEX(PYRL_Summary,MATCH(O21,months,0),12)),0)</f>
        <v>0</v>
      </c>
      <c r="Q25" s="99" t="e">
        <f ca="1">IF(INDEX(INDAT,MATCH(O21,(INDIRECT(("months"),TRUE)),0),5)&gt;=0.01, "Sup
 Bonus"," ")</f>
        <v>#N/A</v>
      </c>
      <c r="R25" s="100">
        <f>IF((INDEX(PYRL_Summary,MATCH(O21,months,0),13)&gt;=0.01),(INDEX(PYRL_Summary,MATCH(O21,months,0),13)),0)</f>
        <v>0</v>
      </c>
      <c r="S25" s="102">
        <f>+P25+R25</f>
        <v>0</v>
      </c>
      <c r="T25" s="889" t="e">
        <f>+IBAN</f>
        <v>#N/A</v>
      </c>
      <c r="U25" s="890"/>
      <c r="V25" s="891"/>
    </row>
    <row r="26" spans="1:56" ht="15.75" customHeight="1" thickBot="1" x14ac:dyDescent="0.3">
      <c r="A26" s="315" t="s">
        <v>50</v>
      </c>
      <c r="B26" s="899" t="s">
        <v>177</v>
      </c>
      <c r="C26" s="897"/>
      <c r="D26" s="897"/>
      <c r="E26" s="897"/>
      <c r="F26" s="898"/>
      <c r="G26" s="84"/>
      <c r="H26" s="84"/>
      <c r="I26" s="84"/>
      <c r="J26" s="84"/>
      <c r="K26" s="84"/>
      <c r="L26" s="316"/>
      <c r="M26" s="76"/>
      <c r="N26" s="420"/>
      <c r="O26" s="346" t="e">
        <f ca="1">IF(INDEX(INDAT,MATCH(O21,(INDIRECT(("months"),TRUE)),0),14)&gt;=0.01, "Overtime Hours"," ")</f>
        <v>#N/A</v>
      </c>
      <c r="P26" s="199"/>
      <c r="Q26" s="199" t="e">
        <f ca="1">IF((INDEX(PYRL_Summary,MATCH(O21,months,0),16)&gt;=0.01),(INDEX(PYRL_Summary,MATCH(O21,months,0),16)&amp;" HRS"),0)</f>
        <v>#N/A</v>
      </c>
      <c r="R26" s="198"/>
      <c r="S26" s="355" t="e">
        <f ca="1">IF((INDEX(PYRL_Summary,MATCH(O21,months,0),18)&gt;=0.01),(INDEX(PYRL_Summary,MATCH(O21,months,0),18)&amp;" HRS"),0)</f>
        <v>#N/A</v>
      </c>
      <c r="T26" s="417" t="s">
        <v>178</v>
      </c>
      <c r="U26" s="418" t="e">
        <f ca="1">+(SUM(S20:S26))-(SUM(V21:V24))</f>
        <v>#N/A</v>
      </c>
      <c r="V26" s="418"/>
      <c r="X26" s="575"/>
    </row>
    <row r="27" spans="1:56" ht="24" customHeight="1" thickBot="1" x14ac:dyDescent="0.3">
      <c r="A27" s="54"/>
      <c r="B27" s="73" t="s">
        <v>52</v>
      </c>
      <c r="G27" s="73" t="s">
        <v>53</v>
      </c>
      <c r="H27" s="8" t="e">
        <f>IF(OR(Timer="PT", Timer="pt_casual"),0,AA16)</f>
        <v>#N/A</v>
      </c>
      <c r="I27" s="319" t="s">
        <v>179</v>
      </c>
      <c r="J27" s="96"/>
      <c r="L27" s="322">
        <v>0</v>
      </c>
      <c r="N27" s="421" t="s">
        <v>180</v>
      </c>
      <c r="O27" s="360" t="s">
        <v>181</v>
      </c>
      <c r="P27" s="361">
        <f>+O21-1</f>
        <v>46022</v>
      </c>
      <c r="Q27" s="362"/>
      <c r="R27" s="363" t="s">
        <v>182</v>
      </c>
      <c r="S27" s="364" t="e">
        <f ca="1">(INDEX(PYRL_Summary,MATCH(P27,months,0),33))</f>
        <v>#N/A</v>
      </c>
      <c r="T27" s="544" t="str">
        <f>IF(Y27=0, "DO NOT INPUT HERE. USE HIGHLIGHTED ",Y27)</f>
        <v xml:space="preserve">DO NOT INPUT HERE. USE HIGHLIGHTED </v>
      </c>
      <c r="U27" s="545"/>
      <c r="V27" s="546"/>
      <c r="W27" s="73" t="s">
        <v>183</v>
      </c>
      <c r="Y27" s="436"/>
      <c r="Z27" s="78"/>
    </row>
    <row r="28" spans="1:56" ht="31.5" customHeight="1" thickBot="1" x14ac:dyDescent="0.3">
      <c r="A28" s="54"/>
      <c r="B28" s="73" t="s">
        <v>184</v>
      </c>
      <c r="G28" s="73" t="s">
        <v>185</v>
      </c>
      <c r="H28" s="68" t="e">
        <f ca="1">+AE16</f>
        <v>#N/A</v>
      </c>
      <c r="I28" s="319" t="s">
        <v>186</v>
      </c>
      <c r="L28" s="322">
        <v>0</v>
      </c>
      <c r="N28" s="388" t="e">
        <f ca="1">INDEX(PYRL_Summary,MATCH(O21,months,0),4)</f>
        <v>#N/A</v>
      </c>
      <c r="O28" s="389" t="s">
        <v>187</v>
      </c>
      <c r="P28" s="390">
        <f>+P27</f>
        <v>46022</v>
      </c>
      <c r="Q28" s="391" t="e">
        <f ca="1">INDEX(PYRL_Summary,MATCH(P28,months,0),31)</f>
        <v>#N/A</v>
      </c>
      <c r="R28" s="392" t="s">
        <v>188</v>
      </c>
      <c r="S28" s="393" t="e">
        <f ca="1">INDEX(PYRL_Summary,MATCH(O21,months,0),33)</f>
        <v>#N/A</v>
      </c>
      <c r="T28" s="425" t="str">
        <f>+Clinic_add</f>
        <v>7,  Mediatrix, Sanctuary Str. Zabbar ZBR1010
8, Mediatrix, Guze Duca Str., Qormi QRM9088</v>
      </c>
      <c r="U28" s="426"/>
      <c r="V28" s="427" t="s">
        <v>189</v>
      </c>
    </row>
    <row r="29" spans="1:56" ht="27.75" customHeight="1" thickBot="1" x14ac:dyDescent="0.3">
      <c r="A29" s="54"/>
      <c r="B29" s="73" t="s">
        <v>190</v>
      </c>
      <c r="G29" s="73" t="s">
        <v>57</v>
      </c>
      <c r="H29" s="81" t="e">
        <f>IF(OR( Timer="pt", Timer="pt_casual"),AA16,0)</f>
        <v>#N/A</v>
      </c>
      <c r="L29" s="101"/>
      <c r="N29" s="403" t="e">
        <f ca="1">IF(OR(INDEX(PYRL_Summary,MATCH(O31,months,0),28)="pt",INDEX(PYRL_Summary,MATCH(O31,months,0),28)="pt_casual"),0,IF(N32-N31&gt;=1,1,0))</f>
        <v>#N/A</v>
      </c>
      <c r="O29" s="908" t="e">
        <f>Surname&amp;" "&amp;Name</f>
        <v>#N/A</v>
      </c>
      <c r="P29" s="394" t="e">
        <f>+IDCard</f>
        <v>#N/A</v>
      </c>
      <c r="Q29" s="395" t="e">
        <f>+designation</f>
        <v>#N/A</v>
      </c>
      <c r="R29" s="396" t="s">
        <v>156</v>
      </c>
      <c r="S29" s="397" t="e">
        <f ca="1">+S30+S33+S32+S34+S35+S36+S31</f>
        <v>#N/A</v>
      </c>
      <c r="T29" s="431" t="e">
        <f>+FS4_Status</f>
        <v>#N/A</v>
      </c>
      <c r="U29" s="573" t="e">
        <f ca="1">INDEX(INDAT,MATCH(O31,(INDIRECT(("months"),TRUE)),0),26)</f>
        <v>#N/A</v>
      </c>
      <c r="V29" s="432" t="e">
        <f ca="1">INDEX(INDAT,MATCH(O31,(INDIRECT(("months"),TRUE)),0),25)</f>
        <v>#N/A</v>
      </c>
      <c r="W29" s="412">
        <f>+$O$5</f>
        <v>46054</v>
      </c>
      <c r="X29" s="424"/>
      <c r="Y29" s="424"/>
      <c r="Z29" s="73"/>
      <c r="AA29" s="73"/>
    </row>
    <row r="30" spans="1:56" ht="21" customHeight="1" thickBot="1" x14ac:dyDescent="0.3">
      <c r="A30" s="54"/>
      <c r="B30" s="73" t="s">
        <v>58</v>
      </c>
      <c r="G30" s="73" t="s">
        <v>59</v>
      </c>
      <c r="H30" s="82">
        <v>0</v>
      </c>
      <c r="L30" s="101"/>
      <c r="N30" s="404" t="e">
        <f ca="1">IF(AND(OR((INDEX(PYRL_Summary,MATCH(O31,months,0),28))="PT",( INDEX(PYRL_Summary,MATCH(O31,months,0),28))="PT_casual" ),(N32-N31&gt;=1)),1,0)</f>
        <v>#N/A</v>
      </c>
      <c r="O30" s="909"/>
      <c r="P30" s="415" t="s">
        <v>161</v>
      </c>
      <c r="Q30" s="414" t="e">
        <f ca="1">INDEX(PYRL_Summary,MATCH(O31,months,0),5)</f>
        <v>#N/A</v>
      </c>
      <c r="R30" s="398" t="s">
        <v>94</v>
      </c>
      <c r="S30" s="399" t="e">
        <f ca="1">INDEX(PYRL_Summary,MATCH(O31,months,0),7)</f>
        <v>#N/A</v>
      </c>
      <c r="T30" s="400" t="s">
        <v>162</v>
      </c>
      <c r="U30" s="401" t="s">
        <v>163</v>
      </c>
      <c r="V30" s="402" t="s">
        <v>164</v>
      </c>
      <c r="Z30" s="446" t="e">
        <f ca="1">IF((INDIRECT("[EMPINFO.xlsm]"&amp;$O$2&amp;"!M30")) = 0," ",(INDIRECT("[EMPINFO.xlsm]"&amp;$O$2&amp;"!M30")
))</f>
        <v>#N/A</v>
      </c>
      <c r="AA30" s="446" t="e">
        <f ca="1">IF((INDIRECT("[EMPINFO.xlsm]"&amp;$O$2&amp;"!n30")) = 0," ",(INDIRECT("[EMPINFO.xlsm]"&amp;$O$2&amp;"!n30")
))</f>
        <v>#N/A</v>
      </c>
      <c r="AB30" s="444" t="s">
        <v>165</v>
      </c>
      <c r="AC30" s="446" t="e">
        <f ca="1">IF((INDIRECT("[EMPINFO.xlsm]"&amp;$O$2&amp;"!p30")) = 0," ",(INDIRECT("[EMPINFO.xlsm]"&amp;$O$2&amp;"!p30")
))</f>
        <v>#N/A</v>
      </c>
      <c r="AD30" s="446" t="e">
        <f ca="1">IF((INDIRECT("[EMPINFO.xlsm]"&amp;$O$2&amp;"!q30")) = 0," ",(INDIRECT("[EMPINFO.xlsm]"&amp;$O$2&amp;"!q30")
))</f>
        <v>#N/A</v>
      </c>
    </row>
    <row r="31" spans="1:56" ht="15.75" customHeight="1" thickBot="1" x14ac:dyDescent="0.3">
      <c r="A31" s="900" t="s">
        <v>191</v>
      </c>
      <c r="B31" s="901"/>
      <c r="C31" s="901"/>
      <c r="D31" s="901"/>
      <c r="E31" s="901"/>
      <c r="F31" s="323" t="s">
        <v>60</v>
      </c>
      <c r="K31" s="73" t="s">
        <v>61</v>
      </c>
      <c r="L31" s="324" t="e">
        <f>+SUM(H27:H30)</f>
        <v>#N/A</v>
      </c>
      <c r="M31" s="66"/>
      <c r="N31" s="405" t="e">
        <f>IF(TERMDATE&lt;O31,0,IF(StartEmp&lt;=O31,O31,(IF(AND(StartEmp&gt;=O31,StartEmp&lt;=O41),StartEmp,0))))</f>
        <v>#N/A</v>
      </c>
      <c r="O31" s="343">
        <f>+W29</f>
        <v>46054</v>
      </c>
      <c r="P31" s="191" t="e">
        <f ca="1">IF(AN14="PT","Hours Worked","Extra/ under Hours")</f>
        <v>#N/A</v>
      </c>
      <c r="Q31" s="192"/>
      <c r="R31" s="192" t="e">
        <f ca="1">INDEX(PYRL_Summary,MATCH(O31,months,0),41)&amp;" HRS"</f>
        <v>#N/A</v>
      </c>
      <c r="S31" s="193" t="e">
        <f ca="1">INDEX(PYRL_Summary,MATCH(O31,months,0),41)*febhrrt</f>
        <v>#N/A</v>
      </c>
      <c r="T31" s="357" t="e">
        <f ca="1">+U31+V31</f>
        <v>#N/A</v>
      </c>
      <c r="U31" s="358" t="e">
        <f ca="1">INDEX(PYRL_Summary,MATCH(O31,months,0),22)</f>
        <v>#N/A</v>
      </c>
      <c r="V31" s="359" t="e">
        <f ca="1">INDEX(PYRL_Summary,MATCH(O31,months,0),23)</f>
        <v>#N/A</v>
      </c>
      <c r="Z31" s="446" t="e">
        <f ca="1">IF((INDIRECT("[EMPINFO.xlsm]"&amp;$O$2&amp;"!M31")) = 0," ",(INDIRECT("[EMPINFO.xlsm]"&amp;$O$2&amp;"!M31")
))</f>
        <v>#N/A</v>
      </c>
      <c r="AA31" s="446" t="e">
        <f ca="1">IF((INDIRECT("[EMPINFO.xlsm]"&amp;$O$2&amp;"!n31")) = 0," ",(INDIRECT("[EMPINFO.xlsm]"&amp;$O$2&amp;"!n31")
))</f>
        <v>#N/A</v>
      </c>
      <c r="AB31" s="445" t="s">
        <v>165</v>
      </c>
      <c r="AC31" s="446" t="e">
        <f ca="1">IF((INDIRECT("[EMPINFO.xlsm]"&amp;$O$2&amp;"!p31")) = 0," ",(INDIRECT("[EMPINFO.xlsm]"&amp;$O$2&amp;"!p31")
))</f>
        <v>#N/A</v>
      </c>
      <c r="AD31" s="446" t="e">
        <f ca="1">IF((INDIRECT("[EMPINFO.xlsm]"&amp;$O$2&amp;"!q31")) = 0," ",(INDIRECT("[EMPINFO.xlsm]"&amp;$O$2&amp;"!q31")
))</f>
        <v>#N/A</v>
      </c>
    </row>
    <row r="32" spans="1:56" ht="26.25" customHeight="1" thickBot="1" x14ac:dyDescent="0.3">
      <c r="A32" s="902"/>
      <c r="B32" s="903"/>
      <c r="C32" s="903"/>
      <c r="D32" s="903"/>
      <c r="E32" s="903"/>
      <c r="F32" s="85"/>
      <c r="G32" s="85"/>
      <c r="H32" s="85"/>
      <c r="I32" s="85"/>
      <c r="J32" s="85"/>
      <c r="K32" s="85"/>
      <c r="L32" s="314"/>
      <c r="M32" s="14"/>
      <c r="N32" s="405" t="e">
        <f>+IF(StartEmp&gt;=O41,0,IF(TERMDATE&gt;=O41,O41-1,(IF(AND(TERMDATE&lt;O41,TERMDATE&gt;=O31),TERMDATE,0))))</f>
        <v>#N/A</v>
      </c>
      <c r="O32" s="341" t="s">
        <v>170</v>
      </c>
      <c r="P32" s="342" t="s">
        <v>171</v>
      </c>
      <c r="Q32" s="300">
        <f>+O21</f>
        <v>46023</v>
      </c>
      <c r="R32" s="184" t="e">
        <f ca="1">INDEX(PYRL_Summary,MATCH(O21,months,0),39)&amp;" HRS"</f>
        <v>#N/A</v>
      </c>
      <c r="S32" s="193" t="e">
        <f ca="1">INDEX(PYRL_Summary,MATCH(O21,months,0),9)</f>
        <v>#N/A</v>
      </c>
      <c r="T32" s="186" t="s">
        <v>72</v>
      </c>
      <c r="U32" s="187" t="e">
        <f ca="1">INDEX(PYRL_Summary,MATCH(O31,months,0),25)</f>
        <v>#N/A</v>
      </c>
      <c r="V32" s="348"/>
      <c r="Z32" s="446" t="e">
        <f ca="1">IF((INDIRECT("[EMPINFO.xlsm]"&amp;$O$2&amp;"!M32")) = 0," ",(INDIRECT("[EMPINFO.xlsm]"&amp;$O$2&amp;"!M32")
))</f>
        <v>#N/A</v>
      </c>
      <c r="AA32" s="446" t="e">
        <f ca="1">IF((INDIRECT("[EMPINFO.xlsm]"&amp;$O$2&amp;"!n32")) = 0," ",(INDIRECT("[EMPINFO.xlsm]"&amp;$O$2&amp;"!n32")
))</f>
        <v>#N/A</v>
      </c>
      <c r="AB32" s="445" t="s">
        <v>165</v>
      </c>
      <c r="AC32" s="446" t="e">
        <f ca="1">IF((INDIRECT("[EMPINFO.xlsm]"&amp;$O$2&amp;"!p32")) = 0," ",(INDIRECT("[EMPINFO.xlsm]"&amp;$O$2&amp;"!p32")
))</f>
        <v>#N/A</v>
      </c>
      <c r="AD32" s="446" t="e">
        <f ca="1">IF((INDIRECT("[EMPINFO.xlsm]"&amp;$O$2&amp;"!q32")) = 0," ",(INDIRECT("[EMPINFO.xlsm]"&amp;$O$2&amp;"!q32")
))</f>
        <v>#N/A</v>
      </c>
    </row>
    <row r="33" spans="1:37" ht="16.149999999999999" customHeight="1" thickBot="1" x14ac:dyDescent="0.3">
      <c r="A33" s="54"/>
      <c r="L33" s="101"/>
      <c r="M33" s="14"/>
      <c r="N33" s="404"/>
      <c r="O33" s="344">
        <f>+ID</f>
        <v>0</v>
      </c>
      <c r="P33" s="195" t="s">
        <v>172</v>
      </c>
      <c r="Q33" s="195"/>
      <c r="R33" s="194"/>
      <c r="S33" s="193">
        <f>INDEX(PYRL_Summary,MATCH(O31,months,0),11)</f>
        <v>0</v>
      </c>
      <c r="T33" s="196" t="e">
        <f ca="1">IF((INDEX(PYRL_Summary,MATCH(O31,months,0),19))&gt;=0.01, "Overtime Tax"," ")</f>
        <v>#N/A</v>
      </c>
      <c r="U33" s="197"/>
      <c r="V33" s="349" t="e">
        <f ca="1">INDEX(PYRL_Summary,MATCH(O31,months,0),19)</f>
        <v>#N/A</v>
      </c>
      <c r="X33" s="412">
        <f>+$O$5</f>
        <v>46054</v>
      </c>
    </row>
    <row r="34" spans="1:37" ht="19.5" customHeight="1" thickBot="1" x14ac:dyDescent="0.35">
      <c r="A34" s="325" t="s">
        <v>192</v>
      </c>
      <c r="B34" s="930" t="s">
        <v>193</v>
      </c>
      <c r="C34" s="931"/>
      <c r="D34" s="931"/>
      <c r="E34" s="931"/>
      <c r="F34" s="931"/>
      <c r="G34" s="932"/>
      <c r="H34" s="92"/>
      <c r="I34" s="84"/>
      <c r="J34" s="84"/>
      <c r="K34" s="84"/>
      <c r="L34" s="316"/>
      <c r="N34" s="404"/>
      <c r="O34" s="188" t="s">
        <v>175</v>
      </c>
      <c r="P34" s="188"/>
      <c r="Q34" s="188"/>
      <c r="R34" s="200">
        <v>0</v>
      </c>
      <c r="S34" s="185" t="e">
        <f ca="1">INDEX(PYRL_Summary,MATCH(O31,months,0),10)</f>
        <v>#N/A</v>
      </c>
      <c r="T34" s="189" t="s">
        <v>176</v>
      </c>
      <c r="U34" s="190"/>
      <c r="V34" s="350" t="e">
        <f ca="1">INDEX(PYRL_Summary,MATCH(O31,months,0),15)</f>
        <v>#N/A</v>
      </c>
      <c r="X34" s="577"/>
    </row>
    <row r="35" spans="1:37" ht="17.25" customHeight="1" thickBot="1" x14ac:dyDescent="0.3">
      <c r="A35" s="940" t="s">
        <v>194</v>
      </c>
      <c r="B35" s="919"/>
      <c r="C35" s="919"/>
      <c r="D35" s="919"/>
      <c r="E35" s="920"/>
      <c r="F35" s="918" t="s">
        <v>195</v>
      </c>
      <c r="G35" s="919"/>
      <c r="H35" s="920"/>
      <c r="I35" s="9" t="s">
        <v>196</v>
      </c>
      <c r="J35" s="923" t="s">
        <v>197</v>
      </c>
      <c r="K35" s="919"/>
      <c r="L35" s="924"/>
      <c r="N35" s="404"/>
      <c r="O35" s="345" t="e">
        <f ca="1">IF(INDEX(INDAT,MATCH(O31,(INDIRECT(("months"),TRUE)),0),4)&gt;=0.01, "Performance Bonus"," ")</f>
        <v>#N/A</v>
      </c>
      <c r="P35" s="100" t="e">
        <f ca="1">IF((INDEX(PYRL_Summary,MATCH(O31,months,0),12)&gt;=0.01),(INDEX(PYRL_Summary,MATCH(O31,months,0),12)),0)</f>
        <v>#N/A</v>
      </c>
      <c r="Q35" s="99" t="e">
        <f ca="1">IF(INDEX(INDAT,MATCH(O31,(INDIRECT(("months"),TRUE)),0),5)&gt;=0.01, "Sup
 Bonus"," ")</f>
        <v>#N/A</v>
      </c>
      <c r="R35" s="100" t="e">
        <f ca="1">IF((INDEX(PYRL_Summary,MATCH(O31,months,0),13)&gt;=0.01),(INDEX(PYRL_Summary,MATCH(O31,months,0),13)),0)</f>
        <v>#N/A</v>
      </c>
      <c r="S35" s="102" t="e">
        <f ca="1">+P35+R35</f>
        <v>#N/A</v>
      </c>
      <c r="T35" s="889" t="e">
        <f>+IBAN</f>
        <v>#N/A</v>
      </c>
      <c r="U35" s="890"/>
      <c r="V35" s="891"/>
    </row>
    <row r="36" spans="1:37" ht="16.5" customHeight="1" thickBot="1" x14ac:dyDescent="0.3">
      <c r="A36" s="160"/>
      <c r="B36" s="72" t="s">
        <v>37</v>
      </c>
      <c r="C36" s="933" t="s">
        <v>198</v>
      </c>
      <c r="D36" s="934"/>
      <c r="E36" s="74" t="s">
        <v>199</v>
      </c>
      <c r="F36" s="10" t="s">
        <v>200</v>
      </c>
      <c r="G36" s="11" t="s">
        <v>201</v>
      </c>
      <c r="H36" s="12" t="s">
        <v>202</v>
      </c>
      <c r="I36" s="13" t="s">
        <v>200</v>
      </c>
      <c r="J36" s="75" t="s">
        <v>203</v>
      </c>
      <c r="K36" s="75" t="s">
        <v>204</v>
      </c>
      <c r="L36" s="326" t="s">
        <v>198</v>
      </c>
      <c r="N36" s="404"/>
      <c r="O36" s="346" t="e">
        <f ca="1">IF(INDEX(INDAT,MATCH(O31,(INDIRECT(("months"),TRUE)),0),14)&gt;=0.01, "Overtime Hours"," ")</f>
        <v>#N/A</v>
      </c>
      <c r="P36" s="199"/>
      <c r="Q36" s="199" t="e">
        <f ca="1">IF((INDEX(PYRL_Summary,MATCH(O31,months,0),16)&gt;=0.01),(INDEX(PYRL_Summary,MATCH(O31,months,0),16)&amp;" HRS"),0)</f>
        <v>#N/A</v>
      </c>
      <c r="R36" s="198"/>
      <c r="S36" s="355" t="e">
        <f ca="1">IF((INDEX(PYRL_Summary,MATCH(O31,months,0),18)&gt;=0.01),(INDEX(PYRL_Summary,MATCH(O31,months,0),18)&amp;" HRS"),0)</f>
        <v>#N/A</v>
      </c>
      <c r="T36" s="417" t="s">
        <v>178</v>
      </c>
      <c r="U36" s="418" t="e">
        <f ca="1">+(SUM(S30:S36))-(SUM(V31:V34))</f>
        <v>#N/A</v>
      </c>
      <c r="V36" s="418"/>
    </row>
    <row r="37" spans="1:37" ht="25.5" customHeight="1" thickBot="1" x14ac:dyDescent="0.3">
      <c r="A37" s="327"/>
      <c r="B37" s="331"/>
      <c r="C37" s="437"/>
      <c r="D37" s="438"/>
      <c r="E37" s="94" t="str">
        <f>(IF(B37=0," ",(IF(B37&lt;SSCcatBMAX,"B",(IF(B37&lt;SSCcatCMAX,"C","D"))))))</f>
        <v xml:space="preserve"> </v>
      </c>
      <c r="F37" s="334"/>
      <c r="G37" s="334"/>
      <c r="H37" s="334"/>
      <c r="I37" s="334"/>
      <c r="J37" s="337"/>
      <c r="K37" s="337"/>
      <c r="L37" s="326"/>
      <c r="N37" s="413" t="s">
        <v>180</v>
      </c>
      <c r="O37" s="352" t="s">
        <v>181</v>
      </c>
      <c r="P37" s="351">
        <f>+O21</f>
        <v>46023</v>
      </c>
      <c r="Q37" s="353" t="e">
        <f ca="1">(INDEX(PYRL_Summary,MATCH(P37,months,1),32))</f>
        <v>#N/A</v>
      </c>
      <c r="R37" s="354"/>
      <c r="S37" s="356"/>
      <c r="T37" s="544" t="str">
        <f>IF(Y37=0, "DO NOT INPUT HERE. USE HIGHLIGHTED ",Y37)</f>
        <v xml:space="preserve">DO NOT INPUT HERE. USE HIGHLIGHTED </v>
      </c>
      <c r="U37" s="545"/>
      <c r="V37" s="546"/>
      <c r="W37" s="73" t="s">
        <v>183</v>
      </c>
      <c r="Y37" s="436"/>
      <c r="Z37" s="78"/>
    </row>
    <row r="38" spans="1:37" ht="32.25" customHeight="1" thickBot="1" x14ac:dyDescent="0.3">
      <c r="A38" s="160"/>
      <c r="B38" s="331"/>
      <c r="C38" s="437"/>
      <c r="D38" s="438"/>
      <c r="E38" s="94" t="str">
        <f>(IF(B38=0," ",(IF(B38&lt;SSCcatBMAX,"B",(IF(B38&lt;SSCcatCMAX,"C","D"))))))</f>
        <v xml:space="preserve"> </v>
      </c>
      <c r="F38" s="334"/>
      <c r="G38" s="334"/>
      <c r="H38" s="334"/>
      <c r="I38" s="334"/>
      <c r="J38" s="447"/>
      <c r="K38" s="447"/>
      <c r="L38" s="448"/>
      <c r="N38" s="406" t="e">
        <f ca="1">INDEX(PYRL_Summary,MATCH(O31,months,0),4)</f>
        <v>#N/A</v>
      </c>
      <c r="O38" s="407" t="s">
        <v>187</v>
      </c>
      <c r="P38" s="408">
        <f>+O21</f>
        <v>46023</v>
      </c>
      <c r="Q38" s="409" t="e">
        <f ca="1">INDEX(PYRL_Summary,MATCH(P38,months,0),31)</f>
        <v>#N/A</v>
      </c>
      <c r="R38" s="410" t="s">
        <v>188</v>
      </c>
      <c r="S38" s="411" t="e">
        <f ca="1">INDEX(PYRL_Summary,MATCH(O31,months,0),33)</f>
        <v>#N/A</v>
      </c>
      <c r="T38" s="428" t="str">
        <f>+Clinic_add</f>
        <v>7,  Mediatrix, Sanctuary Str. Zabbar ZBR1010
8, Mediatrix, Guze Duca Str., Qormi QRM9088</v>
      </c>
      <c r="U38" s="429"/>
      <c r="V38" s="430" t="s">
        <v>189</v>
      </c>
    </row>
    <row r="39" spans="1:37" ht="27" customHeight="1" thickBot="1" x14ac:dyDescent="0.3">
      <c r="A39" s="160"/>
      <c r="B39" s="331"/>
      <c r="C39" s="437"/>
      <c r="D39" s="438"/>
      <c r="E39" s="94" t="str">
        <f>(IF(B39=0," ",(IF(B39&lt;SSCcatBMAX,"B",(IF(B39&lt;SSCcatCMAX,"C","D"))))))</f>
        <v xml:space="preserve"> </v>
      </c>
      <c r="F39" s="334"/>
      <c r="G39" s="334"/>
      <c r="H39" s="334"/>
      <c r="I39" s="334"/>
      <c r="J39" s="447"/>
      <c r="K39" s="447"/>
      <c r="L39" s="448"/>
      <c r="N39" s="386" t="e">
        <f ca="1">IF(OR(INDEX(PYRL_Summary,MATCH(O41,months,0),28)="pt",INDEX(PYRL_Summary,MATCH(O41,months,0),28)="pt_casual"),0,IF(N42-N41&gt;=1,1,0))</f>
        <v>#N/A</v>
      </c>
      <c r="O39" s="894" t="e">
        <f>Surname&amp;" "&amp;Name</f>
        <v>#N/A</v>
      </c>
      <c r="P39" s="374" t="e">
        <f>+IDCard</f>
        <v>#N/A</v>
      </c>
      <c r="Q39" s="375" t="e">
        <f>+designation</f>
        <v>#N/A</v>
      </c>
      <c r="R39" s="376" t="s">
        <v>156</v>
      </c>
      <c r="S39" s="377" t="e">
        <f ca="1">+S40+S43+S42+S44+S45+S46+S41</f>
        <v>#N/A</v>
      </c>
      <c r="T39" s="378" t="e">
        <f>+FS4_Status</f>
        <v>#N/A</v>
      </c>
      <c r="U39" s="572" t="e">
        <f ca="1">INDEX(INDAT,MATCH(O41,(INDIRECT(("months"),TRUE)),0),26)</f>
        <v>#N/A</v>
      </c>
      <c r="V39" s="379" t="e">
        <f ca="1">INDEX(INDAT,MATCH(O41,(INDIRECT(("months"),TRUE)),0),25)</f>
        <v>#N/A</v>
      </c>
      <c r="W39" s="422">
        <f>+$O$6</f>
        <v>46082</v>
      </c>
      <c r="X39" s="423"/>
      <c r="Y39" s="423"/>
      <c r="Z39" s="73"/>
      <c r="AA39" s="73"/>
    </row>
    <row r="40" spans="1:37" ht="15" customHeight="1" thickBot="1" x14ac:dyDescent="0.3">
      <c r="A40" s="160"/>
      <c r="B40" s="331"/>
      <c r="C40" s="437"/>
      <c r="D40" s="438"/>
      <c r="E40" s="94" t="str">
        <f>(IF(B40=0," ",(IF(B40&lt;SSCcatBMAX,"B",(IF(B40&lt;SSCcatCMAX,"C","D"))))))</f>
        <v xml:space="preserve"> </v>
      </c>
      <c r="F40" s="334"/>
      <c r="G40" s="334"/>
      <c r="H40" s="334"/>
      <c r="I40" s="334"/>
      <c r="J40" s="447"/>
      <c r="K40" s="447"/>
      <c r="L40" s="448"/>
      <c r="N40" s="387" t="e">
        <f ca="1">IF(AND(OR((INDEX(PYRL_Summary,MATCH(O41,months,0),28))="PT",( INDEX(PYRL_Summary,MATCH(O41,months,0),28))="PT_casual" ),(N42-N41&gt;=1)),1,0)</f>
        <v>#N/A</v>
      </c>
      <c r="O40" s="895"/>
      <c r="P40" s="416" t="s">
        <v>161</v>
      </c>
      <c r="Q40" s="380" t="e">
        <f ca="1">INDEX(PYRL_Summary,MATCH(O41,months,0),5)</f>
        <v>#N/A</v>
      </c>
      <c r="R40" s="381" t="s">
        <v>94</v>
      </c>
      <c r="S40" s="382" t="e">
        <f ca="1">INDEX(PYRL_Summary,MATCH(O41,months,0),7)</f>
        <v>#N/A</v>
      </c>
      <c r="T40" s="383" t="s">
        <v>162</v>
      </c>
      <c r="U40" s="384" t="s">
        <v>163</v>
      </c>
      <c r="V40" s="385" t="s">
        <v>164</v>
      </c>
      <c r="Z40" s="446" t="e">
        <f ca="1">IF((INDIRECT("[EMPINFO.xlsm]"&amp;$O$2&amp;"!M40")) = 0," ",(INDIRECT("[EMPINFO.xlsm]"&amp;$O$2&amp;"!M40")
))</f>
        <v>#N/A</v>
      </c>
      <c r="AA40" s="446" t="e">
        <f ca="1">IF((INDIRECT("[EMPINFO.xlsm]"&amp;$O$2&amp;"!n40")) = 0," ",(INDIRECT("[EMPINFO.xlsm]"&amp;$O$2&amp;"!n40")
))</f>
        <v>#N/A</v>
      </c>
      <c r="AB40" s="444" t="s">
        <v>165</v>
      </c>
      <c r="AC40" s="446" t="e">
        <f ca="1">IF((INDIRECT("[EMPINFO.xlsm]"&amp;$O$2&amp;"!p40")) = 0," ",(INDIRECT("[EMPINFO.xlsm]"&amp;$O$2&amp;"!p40")
))</f>
        <v>#N/A</v>
      </c>
      <c r="AD40" s="446" t="e">
        <f ca="1">IF((INDIRECT("[EMPINFO.xlsm]"&amp;$O$2&amp;"!q40")) = 0," ",(INDIRECT("[EMPINFO.xlsm]"&amp;$O$2&amp;"!q40")
))</f>
        <v>#N/A</v>
      </c>
    </row>
    <row r="41" spans="1:37" ht="15.75" customHeight="1" thickBot="1" x14ac:dyDescent="0.3">
      <c r="A41" s="54"/>
      <c r="B41" s="16"/>
      <c r="E41" s="17" t="s">
        <v>202</v>
      </c>
      <c r="F41" s="83">
        <f>+SUM(F37:F40)</f>
        <v>0</v>
      </c>
      <c r="G41" s="83">
        <f>+SUM(G37:G40)</f>
        <v>0</v>
      </c>
      <c r="H41" s="83">
        <f>+SUM(H37:H40)</f>
        <v>0</v>
      </c>
      <c r="I41" s="83">
        <f>+SUM(I37:I40)</f>
        <v>0</v>
      </c>
      <c r="J41" s="18" t="s">
        <v>62</v>
      </c>
      <c r="K41" s="16"/>
      <c r="L41" s="328"/>
      <c r="N41" s="419" t="e">
        <f>IF(TERMDATE&lt;O41,0,IF(StartEmp&lt;=O41,O41,(IF(AND(StartEmp&gt;=O41,StartEmp&lt;=O51),StartEmp,0))))</f>
        <v>#N/A</v>
      </c>
      <c r="O41" s="343">
        <f>+W39</f>
        <v>46082</v>
      </c>
      <c r="P41" s="371" t="str">
        <f>IF(AN24="PT","Hours Worked","Extra/ under Hours")</f>
        <v>Extra/ under Hours</v>
      </c>
      <c r="Q41" s="99"/>
      <c r="R41" s="99" t="e">
        <f ca="1">INDEX(PYRL_Summary,MATCH(O41,months,0),41)&amp;" HRS"</f>
        <v>#N/A</v>
      </c>
      <c r="S41" s="367" t="e">
        <f ca="1">INDEX(PYRL_Summary,MATCH(O41,months,0),41)*marhrrt</f>
        <v>#N/A</v>
      </c>
      <c r="T41" s="372" t="e">
        <f ca="1">+U41+V41</f>
        <v>#N/A</v>
      </c>
      <c r="U41" s="372" t="e">
        <f ca="1">INDEX(PYRL_Summary,MATCH(O41,months,0),22)</f>
        <v>#N/A</v>
      </c>
      <c r="V41" s="373" t="e">
        <f ca="1">INDEX(PYRL_Summary,MATCH(O41,months,0),23)</f>
        <v>#N/A</v>
      </c>
      <c r="Z41" s="446" t="e">
        <f ca="1">IF((INDIRECT("[EMPINFO.xlsm]"&amp;$O$2&amp;"!M41")) = 0," ",(INDIRECT("[EMPINFO.xlsm]"&amp;$O$2&amp;"!M41")
))</f>
        <v>#N/A</v>
      </c>
      <c r="AA41" s="446" t="e">
        <f ca="1">IF((INDIRECT("[EMPINFO.xlsm]"&amp;$O$2&amp;"!n41")) = 0," ",(INDIRECT("[EMPINFO.xlsm]"&amp;$O$2&amp;"!n41")
))</f>
        <v>#N/A</v>
      </c>
      <c r="AB41" s="445" t="s">
        <v>165</v>
      </c>
      <c r="AC41" s="446" t="e">
        <f ca="1">IF((INDIRECT("[EMPINFO.xlsm]"&amp;$O$2&amp;"!p41")) = 0," ",(INDIRECT("[EMPINFO.xlsm]"&amp;$O$2&amp;"!p41")
))</f>
        <v>#N/A</v>
      </c>
      <c r="AD41" s="446" t="e">
        <f ca="1">IF((INDIRECT("[EMPINFO.xlsm]"&amp;$O$2&amp;"!q41")) = 0," ",(INDIRECT("[EMPINFO.xlsm]"&amp;$O$2&amp;"!q41")
))</f>
        <v>#N/A</v>
      </c>
    </row>
    <row r="42" spans="1:37" ht="20.25" customHeight="1" thickBot="1" x14ac:dyDescent="0.3">
      <c r="A42" s="329" t="s">
        <v>205</v>
      </c>
      <c r="B42" s="85"/>
      <c r="C42" s="85"/>
      <c r="D42" s="85"/>
      <c r="E42" s="85"/>
      <c r="F42" s="85"/>
      <c r="G42" s="85"/>
      <c r="H42" s="943">
        <f>+H41+I41</f>
        <v>0</v>
      </c>
      <c r="I42" s="944"/>
      <c r="J42" s="85"/>
      <c r="K42" s="85"/>
      <c r="L42" s="314"/>
      <c r="N42" s="419" t="e">
        <f>+IF(StartEmp&gt;=O51,0,IF(TERMDATE&gt;=O51,O51-1,(IF(AND(TERMDATE&lt;O51,TERMDATE&gt;=O41),TERMDATE,0))))</f>
        <v>#N/A</v>
      </c>
      <c r="O42" s="341" t="s">
        <v>170</v>
      </c>
      <c r="P42" s="342" t="s">
        <v>171</v>
      </c>
      <c r="Q42" s="300">
        <f>+O31</f>
        <v>46054</v>
      </c>
      <c r="R42" s="184" t="e">
        <f ca="1">INDEX(PYRL_Summary,MATCH(O31,months,0),39)&amp;" HRS"</f>
        <v>#N/A</v>
      </c>
      <c r="S42" s="193" t="e">
        <f ca="1">INDEX(PYRL_Summary,MATCH(O31,months,0),9)</f>
        <v>#N/A</v>
      </c>
      <c r="T42" s="186" t="s">
        <v>72</v>
      </c>
      <c r="U42" s="187" t="e">
        <f ca="1">INDEX(PYRL_Summary,MATCH(O41,months,0),25)</f>
        <v>#N/A</v>
      </c>
      <c r="V42" s="348"/>
      <c r="Z42" s="446" t="e">
        <f ca="1">IF((INDIRECT("[EMPINFO.xlsm]"&amp;$O$2&amp;"!M42")) = 0," ",(INDIRECT("[EMPINFO.xlsm]"&amp;$O$2&amp;"!M42")
))</f>
        <v>#N/A</v>
      </c>
      <c r="AA42" s="446" t="e">
        <f ca="1">IF((INDIRECT("[EMPINFO.xlsm]"&amp;$O$2&amp;"!n42")) = 0," ",(INDIRECT("[EMPINFO.xlsm]"&amp;$O$2&amp;"!n42")
))</f>
        <v>#N/A</v>
      </c>
      <c r="AB42" s="445" t="s">
        <v>165</v>
      </c>
      <c r="AC42" s="446" t="e">
        <f ca="1">IF((INDIRECT("[EMPINFO.xlsm]"&amp;$O$2&amp;"!p42")) = 0," ",(INDIRECT("[EMPINFO.xlsm]"&amp;$O$2&amp;"!p42")
))</f>
        <v>#N/A</v>
      </c>
      <c r="AD42" s="446" t="e">
        <f ca="1">IF((INDIRECT("[EMPINFO.xlsm]"&amp;$O$2&amp;"!q42")) = 0," ",(INDIRECT("[EMPINFO.xlsm]"&amp;$O$2&amp;"!q42")
))</f>
        <v>#N/A</v>
      </c>
      <c r="AJ42" s="55"/>
      <c r="AK42" s="67"/>
    </row>
    <row r="43" spans="1:37" ht="16.149999999999999" customHeight="1" thickBot="1" x14ac:dyDescent="0.3">
      <c r="A43" s="54"/>
      <c r="L43" s="101"/>
      <c r="N43" s="420"/>
      <c r="O43" s="344">
        <f>+ID</f>
        <v>0</v>
      </c>
      <c r="P43" s="365" t="s">
        <v>172</v>
      </c>
      <c r="Q43" s="365"/>
      <c r="R43" s="366"/>
      <c r="S43" s="367" t="e">
        <f ca="1">INDEX(PYRL_Summary,MATCH(O41,months,0),11)</f>
        <v>#N/A</v>
      </c>
      <c r="T43" s="368" t="e">
        <f ca="1">IF((INDEX(PYRL_Summary,MATCH(O41,months,0),19))&gt;=0.01, "Overtime Tax"," ")</f>
        <v>#N/A</v>
      </c>
      <c r="U43" s="369"/>
      <c r="V43" s="370" t="e">
        <f ca="1">INDEX(PYRL_Summary,MATCH(O41,months,0),19)</f>
        <v>#N/A</v>
      </c>
      <c r="X43" s="422">
        <f>+$O$6</f>
        <v>46082</v>
      </c>
      <c r="AJ43" s="55"/>
    </row>
    <row r="44" spans="1:37" ht="20.25" customHeight="1" thickBot="1" x14ac:dyDescent="0.35">
      <c r="A44" s="315" t="s">
        <v>66</v>
      </c>
      <c r="B44" s="899" t="s">
        <v>4</v>
      </c>
      <c r="C44" s="898"/>
      <c r="D44" s="90"/>
      <c r="E44" s="90"/>
      <c r="F44" s="90"/>
      <c r="G44" s="93"/>
      <c r="H44" s="84"/>
      <c r="I44" s="84"/>
      <c r="J44" s="84"/>
      <c r="K44" s="84"/>
      <c r="L44" s="316"/>
      <c r="N44" s="420"/>
      <c r="O44" s="188" t="s">
        <v>175</v>
      </c>
      <c r="P44" s="188"/>
      <c r="Q44" s="188"/>
      <c r="R44" s="200">
        <v>0</v>
      </c>
      <c r="S44" s="185" t="e">
        <f ca="1">INDEX(PYRL_Summary,MATCH(O41,months,0),10)</f>
        <v>#N/A</v>
      </c>
      <c r="T44" s="189" t="s">
        <v>176</v>
      </c>
      <c r="U44" s="190"/>
      <c r="V44" s="350" t="e">
        <f ca="1">INDEX(PYRL_Summary,MATCH(O41,months,0),15)</f>
        <v>#N/A</v>
      </c>
      <c r="X44" s="577"/>
    </row>
    <row r="45" spans="1:37" ht="20.45" customHeight="1" thickBot="1" x14ac:dyDescent="0.3">
      <c r="A45" s="54"/>
      <c r="B45" s="1" t="s">
        <v>206</v>
      </c>
      <c r="C45" s="927" t="s">
        <v>6</v>
      </c>
      <c r="D45" s="859"/>
      <c r="E45" s="859"/>
      <c r="F45" s="857"/>
      <c r="I45" s="73" t="s">
        <v>12</v>
      </c>
      <c r="L45" s="101"/>
      <c r="N45" s="420"/>
      <c r="O45" s="345" t="e">
        <f ca="1">IF(INDEX(INDAT,MATCH(O41,(INDIRECT(("months"),TRUE)),0),4)&gt;=0.01, "Performance Bonus"," ")</f>
        <v>#N/A</v>
      </c>
      <c r="P45" s="100" t="e">
        <f ca="1">IF((INDEX(PYRL_Summary,MATCH(O41,months,0),12)&gt;=0.01),(INDEX(PYRL_Summary,MATCH(O41,months,0),12)),0)</f>
        <v>#N/A</v>
      </c>
      <c r="Q45" s="99" t="e">
        <f ca="1">IF(INDEX(INDAT,MATCH(O41,(INDIRECT(("months"),TRUE)),0),5)&gt;=0.01, "Sup
 Bonus"," ")</f>
        <v>#N/A</v>
      </c>
      <c r="R45" s="100" t="e">
        <f ca="1">IF((INDEX(PYRL_Summary,MATCH(O41,months,0),13)&gt;=0.01),(INDEX(PYRL_Summary,MATCH(O41,months,0),13)),0)</f>
        <v>#N/A</v>
      </c>
      <c r="S45" s="102" t="e">
        <f ca="1">+P45+R45</f>
        <v>#N/A</v>
      </c>
      <c r="T45" s="889" t="e">
        <f>+IBAN</f>
        <v>#N/A</v>
      </c>
      <c r="U45" s="890"/>
      <c r="V45" s="891"/>
    </row>
    <row r="46" spans="1:37" ht="16.5" customHeight="1" thickBot="1" x14ac:dyDescent="0.3">
      <c r="A46" s="54"/>
      <c r="B46" s="2" t="s">
        <v>207</v>
      </c>
      <c r="C46" s="949">
        <v>7</v>
      </c>
      <c r="D46" s="922"/>
      <c r="E46" s="922"/>
      <c r="F46" s="886"/>
      <c r="H46" s="73" t="s">
        <v>80</v>
      </c>
      <c r="I46" s="97">
        <v>474436</v>
      </c>
      <c r="J46" s="98"/>
      <c r="K46" s="53"/>
      <c r="L46" s="101"/>
      <c r="M46" s="76"/>
      <c r="N46" s="420"/>
      <c r="O46" s="346" t="e">
        <f ca="1">IF(INDEX(INDAT,MATCH(O41,(INDIRECT(("months"),TRUE)),0),14)&gt;=0.01, "Overtime Hours"," ")</f>
        <v>#N/A</v>
      </c>
      <c r="P46" s="199"/>
      <c r="Q46" s="199" t="e">
        <f ca="1">IF((INDEX(PYRL_Summary,MATCH(O41,months,0),16)&gt;=0.01),(INDEX(PYRL_Summary,MATCH(O41,months,0),16)&amp;" HRS"),0)</f>
        <v>#N/A</v>
      </c>
      <c r="R46" s="198"/>
      <c r="S46" s="355" t="e">
        <f ca="1">IF((INDEX(PYRL_Summary,MATCH(O41,months,0),18)&gt;=0.01),(INDEX(PYRL_Summary,MATCH(O41,months,0),18)&amp;" HRS"),0)</f>
        <v>#N/A</v>
      </c>
      <c r="T46" s="417" t="s">
        <v>178</v>
      </c>
      <c r="U46" s="418" t="e">
        <f ca="1">+(SUM(S40:S46))-(SUM(V41:V44))</f>
        <v>#N/A</v>
      </c>
      <c r="V46" s="418"/>
    </row>
    <row r="47" spans="1:37" ht="25.5" customHeight="1" thickBot="1" x14ac:dyDescent="0.3">
      <c r="A47" s="54"/>
      <c r="B47" s="3" t="s">
        <v>208</v>
      </c>
      <c r="C47" s="904" t="s">
        <v>209</v>
      </c>
      <c r="D47" s="901"/>
      <c r="E47" s="901"/>
      <c r="F47" s="905"/>
      <c r="L47" s="101"/>
      <c r="M47" s="76"/>
      <c r="N47" s="421" t="s">
        <v>180</v>
      </c>
      <c r="O47" s="360" t="s">
        <v>181</v>
      </c>
      <c r="P47" s="361">
        <f>+O31</f>
        <v>46054</v>
      </c>
      <c r="Q47" s="362" t="e">
        <f ca="1">(INDEX(PYRL_Summary,MATCH(P47,months,1),32))</f>
        <v>#N/A</v>
      </c>
      <c r="R47" s="363"/>
      <c r="S47" s="364"/>
      <c r="T47" s="544" t="str">
        <f>IF(Y47=0, "DO NOT INPUT HERE. USE HIGHLIGHTED ",Y47)</f>
        <v xml:space="preserve">DO NOT INPUT HERE. USE HIGHLIGHTED </v>
      </c>
      <c r="U47" s="545"/>
      <c r="V47" s="546"/>
      <c r="W47" s="73" t="s">
        <v>183</v>
      </c>
      <c r="Y47" s="436"/>
      <c r="Z47" s="78"/>
    </row>
    <row r="48" spans="1:37" ht="36" customHeight="1" thickBot="1" x14ac:dyDescent="0.3">
      <c r="A48" s="54"/>
      <c r="B48" s="19" t="s">
        <v>142</v>
      </c>
      <c r="C48" s="935" t="s">
        <v>210</v>
      </c>
      <c r="D48" s="936"/>
      <c r="E48" s="20" t="s">
        <v>211</v>
      </c>
      <c r="F48" s="21" t="s">
        <v>11</v>
      </c>
      <c r="L48" s="101"/>
      <c r="N48" s="388" t="e">
        <f ca="1">INDEX(PYRL_Summary,MATCH(O41,months,0),4)</f>
        <v>#N/A</v>
      </c>
      <c r="O48" s="389" t="s">
        <v>187</v>
      </c>
      <c r="P48" s="390">
        <f>+O31</f>
        <v>46054</v>
      </c>
      <c r="Q48" s="391" t="e">
        <f ca="1">INDEX(PYRL_Summary,MATCH(P48,months,0),31)</f>
        <v>#N/A</v>
      </c>
      <c r="R48" s="392" t="s">
        <v>188</v>
      </c>
      <c r="S48" s="393" t="e">
        <f ca="1">INDEX(PYRL_Summary,MATCH(O41,months,0),33)</f>
        <v>#N/A</v>
      </c>
      <c r="T48" s="425" t="str">
        <f>+Clinic_add</f>
        <v>7,  Mediatrix, Sanctuary Str. Zabbar ZBR1010
8, Mediatrix, Guze Duca Str., Qormi QRM9088</v>
      </c>
      <c r="U48" s="426"/>
      <c r="V48" s="427" t="s">
        <v>189</v>
      </c>
    </row>
    <row r="49" spans="1:37" ht="27" customHeight="1" thickBot="1" x14ac:dyDescent="0.3">
      <c r="A49" s="54"/>
      <c r="B49" s="6" t="s">
        <v>14</v>
      </c>
      <c r="C49" s="927">
        <v>21826685</v>
      </c>
      <c r="D49" s="859"/>
      <c r="E49" s="859"/>
      <c r="F49" s="857"/>
      <c r="L49" s="101"/>
      <c r="N49" s="403" t="e">
        <f ca="1">IF(OR(INDEX(PYRL_Summary,MATCH(O51,months,0),28)="pt",INDEX(PYRL_Summary,MATCH(O51,months,0),28)="pt_casual"),0,IF(N52-N51&gt;=1,1,0))</f>
        <v>#N/A</v>
      </c>
      <c r="O49" s="908" t="e">
        <f>Surname&amp;" "&amp;Name</f>
        <v>#N/A</v>
      </c>
      <c r="P49" s="394" t="e">
        <f>+IDCard</f>
        <v>#N/A</v>
      </c>
      <c r="Q49" s="395" t="e">
        <f>+designation</f>
        <v>#N/A</v>
      </c>
      <c r="R49" s="396" t="s">
        <v>156</v>
      </c>
      <c r="S49" s="397" t="e">
        <f ca="1">+S50+S53+S52+S54+S55+S56+S51</f>
        <v>#N/A</v>
      </c>
      <c r="T49" s="431" t="e">
        <f>+FS4_Status</f>
        <v>#N/A</v>
      </c>
      <c r="U49" s="573" t="e">
        <f ca="1">INDEX(INDAT,MATCH(O51,(INDIRECT(("months"),TRUE)),0),26)</f>
        <v>#N/A</v>
      </c>
      <c r="V49" s="432" t="e">
        <f ca="1">INDEX(INDAT,MATCH(O51,(INDIRECT(("months"),TRUE)),0),25)</f>
        <v>#N/A</v>
      </c>
      <c r="W49" s="412">
        <f>+$O$7</f>
        <v>46113</v>
      </c>
      <c r="X49" s="424"/>
      <c r="Y49" s="424"/>
      <c r="Z49" s="73"/>
      <c r="AA49" s="73"/>
    </row>
    <row r="50" spans="1:37" ht="20.25" customHeight="1" thickBot="1" x14ac:dyDescent="0.3">
      <c r="A50" s="54"/>
      <c r="B50" s="6" t="s">
        <v>15</v>
      </c>
      <c r="C50" s="927" t="s">
        <v>212</v>
      </c>
      <c r="D50" s="859"/>
      <c r="E50" s="859"/>
      <c r="F50" s="857"/>
      <c r="I50" s="73" t="s">
        <v>29</v>
      </c>
      <c r="L50" s="101"/>
      <c r="N50" s="404" t="e">
        <f ca="1">IF(AND(OR((INDEX(PYRL_Summary,MATCH(O51,months,0),28))="PT",( INDEX(PYRL_Summary,MATCH(O51,months,0),28))="PT_casual" ),(N52-N51&gt;=1)),1,0)</f>
        <v>#N/A</v>
      </c>
      <c r="O50" s="909"/>
      <c r="P50" s="415" t="s">
        <v>161</v>
      </c>
      <c r="Q50" s="414" t="e">
        <f ca="1">INDEX(PYRL_Summary,MATCH(O51,months,0),5)</f>
        <v>#N/A</v>
      </c>
      <c r="R50" s="398" t="s">
        <v>94</v>
      </c>
      <c r="S50" s="399" t="e">
        <f ca="1">INDEX(PYRL_Summary,MATCH(O51,months,0),7)</f>
        <v>#N/A</v>
      </c>
      <c r="T50" s="400" t="s">
        <v>162</v>
      </c>
      <c r="U50" s="401" t="s">
        <v>163</v>
      </c>
      <c r="V50" s="402" t="s">
        <v>164</v>
      </c>
      <c r="Z50" s="446" t="e">
        <f ca="1">IF((INDIRECT("[EMPINFO.xlsm]"&amp;$O$2&amp;"!M50")) = 0," ",(INDIRECT("[EMPINFO.xlsm]"&amp;$O$2&amp;"!M50")
))</f>
        <v>#N/A</v>
      </c>
      <c r="AA50" s="446" t="e">
        <f ca="1">IF((INDIRECT("[EMPINFO.xlsm]"&amp;$O$2&amp;"!n50")) = 0," ",(INDIRECT("[EMPINFO.xlsm]"&amp;$O$2&amp;"!n50")
))</f>
        <v>#N/A</v>
      </c>
      <c r="AB50" s="444" t="s">
        <v>165</v>
      </c>
      <c r="AC50" s="446" t="e">
        <f ca="1">IF((INDIRECT("[EMPINFO.xlsm]"&amp;$O$2&amp;"!p50")) = 0," ",(INDIRECT("[EMPINFO.xlsm]"&amp;$O$2&amp;"!p50")
))</f>
        <v>#N/A</v>
      </c>
      <c r="AD50" s="446" t="e">
        <f ca="1">IF((INDIRECT("[EMPINFO.xlsm]"&amp;$O$2&amp;"!q50")) = 0," ",(INDIRECT("[EMPINFO.xlsm]"&amp;$O$2&amp;"!q50")
))</f>
        <v>#N/A</v>
      </c>
    </row>
    <row r="51" spans="1:37" ht="22.15" customHeight="1" thickBot="1" x14ac:dyDescent="0.3">
      <c r="A51" s="54"/>
      <c r="B51" s="6" t="s">
        <v>18</v>
      </c>
      <c r="C51" s="927" t="s">
        <v>213</v>
      </c>
      <c r="D51" s="859"/>
      <c r="E51" s="859"/>
      <c r="F51" s="857"/>
      <c r="H51" s="73" t="s">
        <v>82</v>
      </c>
      <c r="I51" s="941" t="e">
        <f>+I14</f>
        <v>#N/A</v>
      </c>
      <c r="J51" s="859"/>
      <c r="K51" s="857"/>
      <c r="L51" s="101"/>
      <c r="N51" s="405" t="e">
        <f>IF(TERMDATE&lt;O51,0,IF(StartEmp&lt;=O51,O51,(IF(AND(StartEmp&gt;=O51,StartEmp&lt;=O61),StartEmp,0))))</f>
        <v>#N/A</v>
      </c>
      <c r="O51" s="343">
        <f>+W49</f>
        <v>46113</v>
      </c>
      <c r="P51" s="191" t="str">
        <f>IF(AN34="PT","Hours Worked","Extra/ under Hours")</f>
        <v>Extra/ under Hours</v>
      </c>
      <c r="Q51" s="192"/>
      <c r="R51" s="192" t="e">
        <f ca="1">INDEX(PYRL_Summary,MATCH(O51,months,0),41)&amp;" HRS"</f>
        <v>#N/A</v>
      </c>
      <c r="S51" s="193" t="e">
        <f ca="1">INDEX(PYRL_Summary,MATCH(O51,months,0),41)*aprhrrt</f>
        <v>#N/A</v>
      </c>
      <c r="T51" s="357" t="e">
        <f ca="1">+U51+V51</f>
        <v>#N/A</v>
      </c>
      <c r="U51" s="358" t="e">
        <f ca="1">INDEX(PYRL_Summary,MATCH(O51,months,0),22)</f>
        <v>#N/A</v>
      </c>
      <c r="V51" s="359" t="e">
        <f ca="1">INDEX(PYRL_Summary,MATCH(O51,months,0),23)</f>
        <v>#N/A</v>
      </c>
      <c r="Z51" s="446" t="e">
        <f ca="1">IF((INDIRECT("[EMPINFO.xlsm]"&amp;$O$2&amp;"!M51")) = 0," ",(INDIRECT("[EMPINFO.xlsm]"&amp;$O$2&amp;"!M51")
))</f>
        <v>#N/A</v>
      </c>
      <c r="AA51" s="446" t="e">
        <f ca="1">IF((INDIRECT("[EMPINFO.xlsm]"&amp;$O$2&amp;"!n51")) = 0," ",(INDIRECT("[EMPINFO.xlsm]"&amp;$O$2&amp;"!n51")
))</f>
        <v>#N/A</v>
      </c>
      <c r="AB51" s="445" t="s">
        <v>165</v>
      </c>
      <c r="AC51" s="446" t="e">
        <f ca="1">IF((INDIRECT("[EMPINFO.xlsm]"&amp;$O$2&amp;"!p51")) = 0," ",(INDIRECT("[EMPINFO.xlsm]"&amp;$O$2&amp;"!p51")
))</f>
        <v>#N/A</v>
      </c>
      <c r="AD51" s="446" t="e">
        <f ca="1">IF((INDIRECT("[EMPINFO.xlsm]"&amp;$O$2&amp;"!q51")) = 0," ",(INDIRECT("[EMPINFO.xlsm]"&amp;$O$2&amp;"!q51")
))</f>
        <v>#N/A</v>
      </c>
    </row>
    <row r="52" spans="1:37" ht="20.25" customHeight="1" thickBot="1" x14ac:dyDescent="0.3">
      <c r="A52" s="54"/>
      <c r="B52" s="906" t="s">
        <v>21</v>
      </c>
      <c r="C52" s="928"/>
      <c r="D52" s="922"/>
      <c r="E52" s="922"/>
      <c r="F52" s="886"/>
      <c r="G52" s="912" t="s">
        <v>214</v>
      </c>
      <c r="H52" s="901"/>
      <c r="I52" s="901"/>
      <c r="J52" s="901"/>
      <c r="K52" s="901"/>
      <c r="L52" s="913"/>
      <c r="N52" s="405" t="e">
        <f>+IF(StartEmp&gt;=O61,0,IF(TERMDATE&gt;=O61,O61-1,(IF(AND(TERMDATE&lt;O61,TERMDATE&gt;=O51),TERMDATE,0))))</f>
        <v>#N/A</v>
      </c>
      <c r="O52" s="341" t="s">
        <v>170</v>
      </c>
      <c r="P52" s="342" t="s">
        <v>171</v>
      </c>
      <c r="Q52" s="300">
        <f>+O41</f>
        <v>46082</v>
      </c>
      <c r="R52" s="184" t="e">
        <f ca="1">INDEX(PYRL_Summary,MATCH(O41,months,0),39)&amp;" HRS"</f>
        <v>#N/A</v>
      </c>
      <c r="S52" s="193" t="e">
        <f ca="1">INDEX(PYRL_Summary,MATCH(O41,months,0),9)</f>
        <v>#N/A</v>
      </c>
      <c r="T52" s="186" t="s">
        <v>72</v>
      </c>
      <c r="U52" s="187" t="e">
        <f ca="1">INDEX(PYRL_Summary,MATCH(O51,months,0),25)</f>
        <v>#N/A</v>
      </c>
      <c r="V52" s="348"/>
      <c r="Z52" s="446" t="e">
        <f ca="1">IF((INDIRECT("[EMPINFO.xlsm]"&amp;$O$2&amp;"!M52")) = 0," ",(INDIRECT("[EMPINFO.xlsm]"&amp;$O$2&amp;"!M52")
))</f>
        <v>#N/A</v>
      </c>
      <c r="AA52" s="446" t="e">
        <f ca="1">IF((INDIRECT("[EMPINFO.xlsm]"&amp;$O$2&amp;"!n52")) = 0," ",(INDIRECT("[EMPINFO.xlsm]"&amp;$O$2&amp;"!n52")
))</f>
        <v>#N/A</v>
      </c>
      <c r="AB52" s="445" t="s">
        <v>165</v>
      </c>
      <c r="AC52" s="446" t="e">
        <f ca="1">IF((INDIRECT("[EMPINFO.xlsm]"&amp;$O$2&amp;"!p52")) = 0," ",(INDIRECT("[EMPINFO.xlsm]"&amp;$O$2&amp;"!p52")
))</f>
        <v>#N/A</v>
      </c>
      <c r="AD52" s="446" t="e">
        <f ca="1">IF((INDIRECT("[EMPINFO.xlsm]"&amp;$O$2&amp;"!q52")) = 0," ",(INDIRECT("[EMPINFO.xlsm]"&amp;$O$2&amp;"!q52")
))</f>
        <v>#N/A</v>
      </c>
      <c r="AJ52" s="55"/>
      <c r="AK52" s="67"/>
    </row>
    <row r="53" spans="1:37" ht="16.149999999999999" customHeight="1" thickBot="1" x14ac:dyDescent="0.3">
      <c r="A53" s="330"/>
      <c r="B53" s="907"/>
      <c r="C53" s="914"/>
      <c r="D53" s="915"/>
      <c r="E53" s="915"/>
      <c r="F53" s="929"/>
      <c r="G53" s="914"/>
      <c r="H53" s="915"/>
      <c r="I53" s="915"/>
      <c r="J53" s="915"/>
      <c r="K53" s="915"/>
      <c r="L53" s="895"/>
      <c r="N53" s="404"/>
      <c r="O53" s="344">
        <f>+ID</f>
        <v>0</v>
      </c>
      <c r="P53" s="195" t="s">
        <v>172</v>
      </c>
      <c r="Q53" s="195"/>
      <c r="R53" s="194"/>
      <c r="S53" s="193">
        <f>INDEX(PYRL_Summary,MATCH(O51,months,0),11)</f>
        <v>0</v>
      </c>
      <c r="T53" s="196" t="e">
        <f ca="1">IF((INDEX(PYRL_Summary,MATCH(O51,months,0),19))&gt;=0.01, "Overtime Tax"," ")</f>
        <v>#N/A</v>
      </c>
      <c r="U53" s="197"/>
      <c r="V53" s="349" t="e">
        <f ca="1">INDEX(PYRL_Summary,MATCH(O51,months,0),19)</f>
        <v>#N/A</v>
      </c>
      <c r="X53" s="412">
        <f>+$O$7</f>
        <v>46113</v>
      </c>
      <c r="AJ53" s="55"/>
    </row>
    <row r="54" spans="1:37" ht="20.25" customHeight="1" thickBot="1" x14ac:dyDescent="0.35">
      <c r="N54" s="404"/>
      <c r="O54" s="188" t="s">
        <v>175</v>
      </c>
      <c r="P54" s="188"/>
      <c r="Q54" s="188"/>
      <c r="R54" s="200">
        <v>0</v>
      </c>
      <c r="S54" s="185" t="e">
        <f ca="1">INDEX(PYRL_Summary,MATCH(O51,months,0),10)</f>
        <v>#N/A</v>
      </c>
      <c r="T54" s="189" t="s">
        <v>176</v>
      </c>
      <c r="U54" s="190"/>
      <c r="V54" s="350" t="e">
        <f ca="1">INDEX(PYRL_Summary,MATCH(O51,months,0),15)</f>
        <v>#N/A</v>
      </c>
      <c r="X54" s="577"/>
    </row>
    <row r="55" spans="1:37" ht="15.75" customHeight="1" thickBot="1" x14ac:dyDescent="0.3">
      <c r="N55" s="404"/>
      <c r="O55" s="345" t="e">
        <f ca="1">IF(INDEX(INDAT,MATCH(O51,(INDIRECT(("months"),TRUE)),0),4)&gt;=0.01, "Performance Bonus"," ")</f>
        <v>#N/A</v>
      </c>
      <c r="P55" s="100" t="e">
        <f ca="1">IF((INDEX(PYRL_Summary,MATCH(O51,months,0),12)&gt;=0.01),(INDEX(PYRL_Summary,MATCH(O51,months,0),12)),0)</f>
        <v>#N/A</v>
      </c>
      <c r="Q55" s="99" t="e">
        <f ca="1">IF(INDEX(INDAT,MATCH(O51,(INDIRECT(("months"),TRUE)),0),5)&gt;=0.01, "Sup
 Bonus"," ")</f>
        <v>#N/A</v>
      </c>
      <c r="R55" s="100" t="e">
        <f ca="1">IF((INDEX(PYRL_Summary,MATCH(O51,months,0),13)&gt;=0.01),(INDEX(PYRL_Summary,MATCH(O51,months,0),13)),0)</f>
        <v>#N/A</v>
      </c>
      <c r="S55" s="102" t="e">
        <f ca="1">+P55+R55</f>
        <v>#N/A</v>
      </c>
      <c r="T55" s="889" t="e">
        <f>+IBAN</f>
        <v>#N/A</v>
      </c>
      <c r="U55" s="890"/>
      <c r="V55" s="891"/>
    </row>
    <row r="56" spans="1:37" ht="16.5" customHeight="1" thickBot="1" x14ac:dyDescent="0.3">
      <c r="E56" s="116" t="s">
        <v>215</v>
      </c>
      <c r="F56" s="115" t="e">
        <f>INDEX([1]!empdata,MATCH(ID,[1]!empid,0),17)</f>
        <v>#N/A</v>
      </c>
      <c r="G56" s="56"/>
      <c r="H56" s="63"/>
      <c r="N56" s="404"/>
      <c r="O56" s="346" t="e">
        <f ca="1">IF(INDEX(INDAT,MATCH(O51,(INDIRECT(("months"),TRUE)),0),14)&gt;=0.01, "Overtime Hours"," ")</f>
        <v>#N/A</v>
      </c>
      <c r="P56" s="199"/>
      <c r="Q56" s="199" t="e">
        <f ca="1">IF((INDEX(PYRL_Summary,MATCH(O51,months,0),16)&gt;=0.01),(INDEX(PYRL_Summary,MATCH(O51,months,0),16)&amp;" HRS"),0)</f>
        <v>#N/A</v>
      </c>
      <c r="R56" s="198"/>
      <c r="S56" s="355" t="e">
        <f ca="1">IF((INDEX(PYRL_Summary,MATCH(O51,months,0),18)&gt;=0.01),(INDEX(PYRL_Summary,MATCH(O51,months,0),18)&amp;" HRS"),0)</f>
        <v>#N/A</v>
      </c>
      <c r="T56" s="417" t="s">
        <v>178</v>
      </c>
      <c r="U56" s="418" t="e">
        <f ca="1">+(SUM(S50:S56))-(SUM(V51:V54))</f>
        <v>#N/A</v>
      </c>
      <c r="V56" s="418"/>
    </row>
    <row r="57" spans="1:37" ht="26.25" customHeight="1" thickBot="1" x14ac:dyDescent="0.3">
      <c r="E57" s="116" t="s">
        <v>216</v>
      </c>
      <c r="F57" s="340" t="e">
        <f>INDEX([1]!empdata,MATCH(ID,[1]!empid,0),12)</f>
        <v>#N/A</v>
      </c>
      <c r="G57" s="56"/>
      <c r="H57" s="63"/>
      <c r="N57" s="413" t="s">
        <v>180</v>
      </c>
      <c r="O57" s="352" t="s">
        <v>181</v>
      </c>
      <c r="P57" s="351">
        <f>+O41</f>
        <v>46082</v>
      </c>
      <c r="Q57" s="353" t="e">
        <f ca="1">(INDEX(PYRL_Summary,MATCH(P57,months,1),32))</f>
        <v>#N/A</v>
      </c>
      <c r="R57" s="354"/>
      <c r="S57" s="356"/>
      <c r="T57" s="544" t="str">
        <f>IF(Y57=0, "DO NOT INPUT HERE. USE HIGHLIGHTED ",Y57)</f>
        <v xml:space="preserve">DO NOT INPUT HERE. USE HIGHLIGHTED </v>
      </c>
      <c r="U57" s="545"/>
      <c r="V57" s="546"/>
      <c r="W57" s="73" t="s">
        <v>183</v>
      </c>
      <c r="Y57" s="436"/>
      <c r="Z57" s="78"/>
    </row>
    <row r="58" spans="1:37" ht="38.25" customHeight="1" thickBot="1" x14ac:dyDescent="0.3">
      <c r="E58" s="116" t="s">
        <v>217</v>
      </c>
      <c r="F58" s="115" t="e">
        <f>INDEX([1]!empdata,MATCH(ID,[1]!empid,0),13)</f>
        <v>#N/A</v>
      </c>
      <c r="G58" s="56"/>
      <c r="H58" s="63"/>
      <c r="N58" s="406" t="e">
        <f ca="1">INDEX(PYRL_Summary,MATCH(O51,months,0),4)</f>
        <v>#N/A</v>
      </c>
      <c r="O58" s="407" t="s">
        <v>187</v>
      </c>
      <c r="P58" s="408">
        <f>+O41</f>
        <v>46082</v>
      </c>
      <c r="Q58" s="409" t="e">
        <f ca="1">INDEX(PYRL_Summary,MATCH(P58,months,0),31)</f>
        <v>#N/A</v>
      </c>
      <c r="R58" s="410" t="s">
        <v>188</v>
      </c>
      <c r="S58" s="411" t="e">
        <f ca="1">INDEX(PYRL_Summary,MATCH(O51,months,0),33)</f>
        <v>#N/A</v>
      </c>
      <c r="T58" s="428" t="str">
        <f>+Clinic_add</f>
        <v>7,  Mediatrix, Sanctuary Str. Zabbar ZBR1010
8, Mediatrix, Guze Duca Str., Qormi QRM9088</v>
      </c>
      <c r="U58" s="429"/>
      <c r="V58" s="430" t="s">
        <v>189</v>
      </c>
    </row>
    <row r="59" spans="1:37" ht="27" customHeight="1" thickBot="1" x14ac:dyDescent="0.3">
      <c r="E59" s="116" t="s">
        <v>218</v>
      </c>
      <c r="F59" s="115" t="e">
        <f>INDEX([1]!empdata,MATCH(ID,[1]!empid,0),5)</f>
        <v>#N/A</v>
      </c>
      <c r="G59" s="56"/>
      <c r="H59" s="63"/>
      <c r="N59" s="386" t="e">
        <f ca="1">IF(OR(INDEX(PYRL_Summary,MATCH(O61,months,0),28)="pt",INDEX(PYRL_Summary,MATCH(O61,months,0),28)="pt_casual"),0,IF(N62-N61&gt;=1,1,0))</f>
        <v>#N/A</v>
      </c>
      <c r="O59" s="894" t="e">
        <f>Surname&amp;" "&amp;Name</f>
        <v>#N/A</v>
      </c>
      <c r="P59" s="374" t="e">
        <f>+IDCard</f>
        <v>#N/A</v>
      </c>
      <c r="Q59" s="375" t="e">
        <f>+designation</f>
        <v>#N/A</v>
      </c>
      <c r="R59" s="376" t="s">
        <v>156</v>
      </c>
      <c r="S59" s="377" t="e">
        <f ca="1">+S60+S63+S62+S64+S65+S66+S61</f>
        <v>#N/A</v>
      </c>
      <c r="T59" s="378" t="e">
        <f>+FS4_Status</f>
        <v>#N/A</v>
      </c>
      <c r="U59" s="572" t="e">
        <f ca="1">INDEX(INDAT,MATCH(O61,(INDIRECT(("months"),TRUE)),0),26)</f>
        <v>#N/A</v>
      </c>
      <c r="V59" s="379" t="e">
        <f ca="1">INDEX(INDAT,MATCH(O61,(INDIRECT(("months"),TRUE)),0),25)</f>
        <v>#N/A</v>
      </c>
      <c r="W59" s="422">
        <f>+$O$8</f>
        <v>46143</v>
      </c>
      <c r="X59" s="423"/>
      <c r="Y59" s="423"/>
      <c r="Z59" s="73"/>
      <c r="AA59" s="73"/>
    </row>
    <row r="60" spans="1:37" ht="20.25" customHeight="1" thickBot="1" x14ac:dyDescent="0.3">
      <c r="E60" s="116" t="s">
        <v>219</v>
      </c>
      <c r="F60" s="115" t="e">
        <f>INDEX([1]!empdata,MATCH(ID,[1]!empid,0),8)</f>
        <v>#N/A</v>
      </c>
      <c r="G60" s="56"/>
      <c r="H60" s="63"/>
      <c r="N60" s="387" t="e">
        <f ca="1">IF(AND(OR((INDEX(PYRL_Summary,MATCH(O61,months,0),28))="PT",( INDEX(PYRL_Summary,MATCH(O61,months,0),28))="PT_casual" ),(N62-N61&gt;=1)),1,0)</f>
        <v>#N/A</v>
      </c>
      <c r="O60" s="895"/>
      <c r="P60" s="416" t="s">
        <v>161</v>
      </c>
      <c r="Q60" s="380" t="e">
        <f ca="1">INDEX(PYRL_Summary,MATCH(O61,months,0),5)</f>
        <v>#N/A</v>
      </c>
      <c r="R60" s="381" t="s">
        <v>94</v>
      </c>
      <c r="S60" s="382" t="e">
        <f ca="1">INDEX(PYRL_Summary,MATCH(O61,months,0),7)</f>
        <v>#N/A</v>
      </c>
      <c r="T60" s="383" t="s">
        <v>162</v>
      </c>
      <c r="U60" s="384" t="s">
        <v>163</v>
      </c>
      <c r="V60" s="385" t="s">
        <v>164</v>
      </c>
      <c r="Z60" s="446" t="e">
        <f ca="1">IF((INDIRECT("[EMPINFO.xlsm]"&amp;$O$2&amp;"!M60")) = 0," ",(INDIRECT("[EMPINFO.xlsm]"&amp;$O$2&amp;"!M60")
))</f>
        <v>#N/A</v>
      </c>
      <c r="AA60" s="446" t="e">
        <f ca="1">IF((INDIRECT("[EMPINFO.xlsm]"&amp;$O$2&amp;"!n60")) = 0," ",(INDIRECT("[EMPINFO.xlsm]"&amp;$O$2&amp;"!n60")
))</f>
        <v>#N/A</v>
      </c>
      <c r="AB60" s="444" t="s">
        <v>165</v>
      </c>
      <c r="AC60" s="446" t="e">
        <f ca="1">IF((INDIRECT("[EMPINFO.xlsm]"&amp;$O$2&amp;"!p60")) = 0," ",(INDIRECT("[EMPINFO.xlsm]"&amp;$O$2&amp;"!p60")
))</f>
        <v>#N/A</v>
      </c>
      <c r="AD60" s="446" t="e">
        <f ca="1">IF((INDIRECT("[EMPINFO.xlsm]"&amp;$O$2&amp;"!q60")) = 0," ",(INDIRECT("[EMPINFO.xlsm]"&amp;$O$2&amp;"!q60")
))</f>
        <v>#N/A</v>
      </c>
    </row>
    <row r="61" spans="1:37" ht="15.75" customHeight="1" thickBot="1" x14ac:dyDescent="0.3">
      <c r="E61" s="116" t="s">
        <v>220</v>
      </c>
      <c r="F61" s="115" t="e">
        <f>INDEX([1]!empdata,MATCH(ID,[1]!empid,0),25)</f>
        <v>#N/A</v>
      </c>
      <c r="G61" s="56"/>
      <c r="H61" s="63"/>
      <c r="N61" s="419" t="e">
        <f>IF(TERMDATE&lt;O61,0,IF(StartEmp&lt;=O61,O61,(IF(AND(StartEmp&gt;=O61,StartEmp&lt;=O71),StartEmp,0))))</f>
        <v>#N/A</v>
      </c>
      <c r="O61" s="343">
        <f>+W59</f>
        <v>46143</v>
      </c>
      <c r="P61" s="371" t="str">
        <f>IF(AN44="PT","Hours Worked","Extra/ under Hours")</f>
        <v>Extra/ under Hours</v>
      </c>
      <c r="Q61" s="99"/>
      <c r="R61" s="99" t="e">
        <f ca="1">INDEX(PYRL_Summary,MATCH(O61,months,0),41)&amp;" HRS"</f>
        <v>#N/A</v>
      </c>
      <c r="S61" s="367" t="e">
        <f ca="1">INDEX(PYRL_Summary,MATCH(O61,months,0),41)*mayhrrt</f>
        <v>#N/A</v>
      </c>
      <c r="T61" s="372" t="e">
        <f ca="1">+U61+V61</f>
        <v>#N/A</v>
      </c>
      <c r="U61" s="372" t="e">
        <f ca="1">INDEX(PYRL_Summary,MATCH(O61,months,0),22)</f>
        <v>#N/A</v>
      </c>
      <c r="V61" s="373" t="e">
        <f ca="1">INDEX(PYRL_Summary,MATCH(O61,months,0),23)</f>
        <v>#N/A</v>
      </c>
      <c r="Z61" s="446" t="e">
        <f ca="1">IF((INDIRECT("[EMPINFO.xlsm]"&amp;$O$2&amp;"!M61")) = 0," ",(INDIRECT("[EMPINFO.xlsm]"&amp;$O$2&amp;"!M61")
))</f>
        <v>#N/A</v>
      </c>
      <c r="AA61" s="446" t="e">
        <f ca="1">IF((INDIRECT("[EMPINFO.xlsm]"&amp;$O$2&amp;"!n61")) = 0," ",(INDIRECT("[EMPINFO.xlsm]"&amp;$O$2&amp;"!n61")
))</f>
        <v>#N/A</v>
      </c>
      <c r="AB61" s="445" t="s">
        <v>165</v>
      </c>
      <c r="AC61" s="446" t="e">
        <f ca="1">IF((INDIRECT("[EMPINFO.xlsm]"&amp;$O$2&amp;"!p61")) = 0," ",(INDIRECT("[EMPINFO.xlsm]"&amp;$O$2&amp;"!p61")
))</f>
        <v>#N/A</v>
      </c>
      <c r="AD61" s="446" t="e">
        <f ca="1">IF((INDIRECT("[EMPINFO.xlsm]"&amp;$O$2&amp;"!q61")) = 0," ",(INDIRECT("[EMPINFO.xlsm]"&amp;$O$2&amp;"!q61")
))</f>
        <v>#N/A</v>
      </c>
    </row>
    <row r="62" spans="1:37" ht="24" customHeight="1" thickBot="1" x14ac:dyDescent="0.3">
      <c r="E62" s="116" t="s">
        <v>221</v>
      </c>
      <c r="F62" s="115" t="e">
        <f>INDEX([1]!empdata,MATCH(ID,[1]!empid,0),15)</f>
        <v>#N/A</v>
      </c>
      <c r="G62" s="56"/>
      <c r="H62" s="63"/>
      <c r="N62" s="419" t="e">
        <f>+IF(StartEmp&gt;=O71,0,IF(TERMDATE&gt;=O71,O71-1,(IF(AND(TERMDATE&lt;O71,TERMDATE&gt;=O61),TERMDATE,0))))</f>
        <v>#N/A</v>
      </c>
      <c r="O62" s="341" t="s">
        <v>170</v>
      </c>
      <c r="P62" s="342" t="s">
        <v>171</v>
      </c>
      <c r="Q62" s="300">
        <f>+O51</f>
        <v>46113</v>
      </c>
      <c r="R62" s="184" t="e">
        <f ca="1">INDEX(PYRL_Summary,MATCH(O51,months,0),39)&amp;" HRS"</f>
        <v>#N/A</v>
      </c>
      <c r="S62" s="193" t="e">
        <f ca="1">INDEX(PYRL_Summary,MATCH(O51,months,0),9)</f>
        <v>#N/A</v>
      </c>
      <c r="T62" s="186" t="s">
        <v>72</v>
      </c>
      <c r="U62" s="187" t="e">
        <f ca="1">INDEX(PYRL_Summary,MATCH(O61,months,0),25)</f>
        <v>#N/A</v>
      </c>
      <c r="V62" s="348"/>
      <c r="Z62" s="446" t="e">
        <f ca="1">IF((INDIRECT("[EMPINFO.xlsm]"&amp;$O$2&amp;"!M62")) = 0," ",(INDIRECT("[EMPINFO.xlsm]"&amp;$O$2&amp;"!M62")
))</f>
        <v>#N/A</v>
      </c>
      <c r="AA62" s="446" t="e">
        <f ca="1">IF((INDIRECT("[EMPINFO.xlsm]"&amp;$O$2&amp;"!n62")) = 0," ",(INDIRECT("[EMPINFO.xlsm]"&amp;$O$2&amp;"!n62")
))</f>
        <v>#N/A</v>
      </c>
      <c r="AB62" s="445" t="s">
        <v>165</v>
      </c>
      <c r="AC62" s="446" t="e">
        <f ca="1">IF((INDIRECT("[EMPINFO.xlsm]"&amp;$O$2&amp;"!p62")) = 0," ",(INDIRECT("[EMPINFO.xlsm]"&amp;$O$2&amp;"!p62")
))</f>
        <v>#N/A</v>
      </c>
      <c r="AD62" s="446" t="e">
        <f ca="1">IF((INDIRECT("[EMPINFO.xlsm]"&amp;$O$2&amp;"!q62")) = 0," ",(INDIRECT("[EMPINFO.xlsm]"&amp;$O$2&amp;"!q62")
))</f>
        <v>#N/A</v>
      </c>
      <c r="AJ62" s="55"/>
      <c r="AK62" s="67"/>
    </row>
    <row r="63" spans="1:37" ht="16.149999999999999" customHeight="1" thickBot="1" x14ac:dyDescent="0.3">
      <c r="E63" s="116" t="s">
        <v>222</v>
      </c>
      <c r="F63" s="115" t="e">
        <f>INDEX([1]!empdata,MATCH(ID,[1]!empid,0),29)</f>
        <v>#N/A</v>
      </c>
      <c r="G63" s="56"/>
      <c r="H63" s="63"/>
      <c r="N63" s="420"/>
      <c r="O63" s="344">
        <f>+ID</f>
        <v>0</v>
      </c>
      <c r="P63" s="365" t="s">
        <v>172</v>
      </c>
      <c r="Q63" s="365"/>
      <c r="R63" s="366"/>
      <c r="S63" s="367">
        <f>INDEX(PYRL_Summary,MATCH(O61,months,0),11)</f>
        <v>0</v>
      </c>
      <c r="T63" s="368" t="e">
        <f ca="1">IF((INDEX(PYRL_Summary,MATCH(O61,months,0),19))&gt;=0.01, "Overtime Tax"," ")</f>
        <v>#N/A</v>
      </c>
      <c r="U63" s="369"/>
      <c r="V63" s="370" t="e">
        <f ca="1">INDEX(PYRL_Summary,MATCH(O61,months,0),19)</f>
        <v>#N/A</v>
      </c>
      <c r="X63" s="422">
        <f>+$O$8</f>
        <v>46143</v>
      </c>
      <c r="AJ63" s="55"/>
    </row>
    <row r="64" spans="1:37" ht="18" customHeight="1" thickBot="1" x14ac:dyDescent="0.35">
      <c r="E64" s="925" t="s">
        <v>223</v>
      </c>
      <c r="F64" s="926"/>
      <c r="G64" s="62">
        <v>0</v>
      </c>
      <c r="H64" s="79"/>
      <c r="N64" s="420"/>
      <c r="O64" s="188" t="s">
        <v>175</v>
      </c>
      <c r="P64" s="188"/>
      <c r="Q64" s="188"/>
      <c r="R64" s="200">
        <v>0</v>
      </c>
      <c r="S64" s="185" t="e">
        <f ca="1">INDEX(PYRL_Summary,MATCH(O61,months,0),10)</f>
        <v>#N/A</v>
      </c>
      <c r="T64" s="189" t="s">
        <v>176</v>
      </c>
      <c r="U64" s="190"/>
      <c r="V64" s="350" t="e">
        <f ca="1">INDEX(PYRL_Summary,MATCH(O61,months,0),15)</f>
        <v>#N/A</v>
      </c>
      <c r="X64" s="577"/>
    </row>
    <row r="65" spans="5:37" ht="15.75" customHeight="1" thickBot="1" x14ac:dyDescent="0.3">
      <c r="E65" s="925" t="s">
        <v>224</v>
      </c>
      <c r="F65" s="926"/>
      <c r="G65" s="103" t="e">
        <f ca="1">+Med_Tot</f>
        <v>#N/A</v>
      </c>
      <c r="H65" s="113" t="s">
        <v>225</v>
      </c>
      <c r="N65" s="420"/>
      <c r="O65" s="345" t="e">
        <f ca="1">IF(INDEX(INDAT,MATCH(O61,(INDIRECT(("months"),TRUE)),0),4)&gt;=0.01, "Performance Bonus"," ")</f>
        <v>#N/A</v>
      </c>
      <c r="P65" s="100" t="e">
        <f ca="1">IF((INDEX(PYRL_Summary,MATCH(O61,months,0),12)&gt;=0.01),(INDEX(PYRL_Summary,MATCH(O61,months,0),12)),0)</f>
        <v>#N/A</v>
      </c>
      <c r="Q65" s="99" t="e">
        <f ca="1">IF(INDEX(INDAT,MATCH(O61,(INDIRECT(("months"),TRUE)),0),5)&gt;=0.01, "Sup
 Bonus"," ")</f>
        <v>#N/A</v>
      </c>
      <c r="R65" s="100" t="e">
        <f ca="1">IF((INDEX(PYRL_Summary,MATCH(O61,months,0),13)&gt;=0.01),(INDEX(PYRL_Summary,MATCH(O61,months,0),13)),0)</f>
        <v>#N/A</v>
      </c>
      <c r="S65" s="102" t="e">
        <f ca="1">+P65+R65</f>
        <v>#N/A</v>
      </c>
      <c r="T65" s="889" t="e">
        <f>+IBAN</f>
        <v>#N/A</v>
      </c>
      <c r="U65" s="890"/>
      <c r="V65" s="891"/>
    </row>
    <row r="66" spans="5:37" ht="16.5" customHeight="1" thickBot="1" x14ac:dyDescent="0.3">
      <c r="E66" s="952" t="s">
        <v>226</v>
      </c>
      <c r="F66" s="953"/>
      <c r="G66" s="112" t="e">
        <f ca="1">+PREVFS3+Med_Tot</f>
        <v>#N/A</v>
      </c>
      <c r="H66" s="114" t="e">
        <f ca="1">IF(grossyearly&lt;F68,1,IF(grossyearly&lt;F69,2,IF(grossyearly&lt;F70,3,IF(grossyearly&lt;F71,4,5))))</f>
        <v>#N/A</v>
      </c>
      <c r="N66" s="420"/>
      <c r="O66" s="346" t="e">
        <f ca="1">IF(INDEX(INDAT,MATCH(O61,(INDIRECT(("months"),TRUE)),0),14)&gt;=0.01, "Overtime Hours"," ")</f>
        <v>#N/A</v>
      </c>
      <c r="P66" s="199"/>
      <c r="Q66" s="199" t="e">
        <f ca="1">IF((INDEX(PYRL_Summary,MATCH(O61,months,0),16)&gt;=0.01),(INDEX(PYRL_Summary,MATCH(O61,months,0),16)&amp;" HRS"),0)</f>
        <v>#N/A</v>
      </c>
      <c r="R66" s="198"/>
      <c r="S66" s="355" t="e">
        <f ca="1">IF((INDEX(PYRL_Summary,MATCH(O61,months,0),18)&gt;=0.01),(INDEX(PYRL_Summary,MATCH(O61,months,0),18)&amp;" HRS"),0)</f>
        <v>#N/A</v>
      </c>
      <c r="T66" s="417" t="s">
        <v>178</v>
      </c>
      <c r="U66" s="418" t="e">
        <f ca="1">+(SUM(S60:S66))-(SUM(V61:V64))</f>
        <v>#N/A</v>
      </c>
      <c r="V66" s="418"/>
    </row>
    <row r="67" spans="5:37" ht="27.75" customHeight="1" thickBot="1" x14ac:dyDescent="0.3">
      <c r="E67" s="107" t="s">
        <v>227</v>
      </c>
      <c r="F67" s="56"/>
      <c r="G67" s="108" t="s">
        <v>228</v>
      </c>
      <c r="H67" s="63" t="s">
        <v>229</v>
      </c>
      <c r="N67" s="421" t="s">
        <v>180</v>
      </c>
      <c r="O67" s="360" t="s">
        <v>181</v>
      </c>
      <c r="P67" s="361">
        <f>+O51</f>
        <v>46113</v>
      </c>
      <c r="Q67" s="362" t="e">
        <f ca="1">(INDEX(PYRL_Summary,MATCH(P67,months,1),32))</f>
        <v>#N/A</v>
      </c>
      <c r="R67" s="363"/>
      <c r="S67" s="364"/>
      <c r="T67" s="544" t="str">
        <f>IF(Y67=0, "DO NOT INPUT HERE. USE HIGHLIGHTED ",Y67)</f>
        <v xml:space="preserve">DO NOT INPUT HERE. USE HIGHLIGHTED </v>
      </c>
      <c r="U67" s="545"/>
      <c r="V67" s="546"/>
      <c r="W67" s="73" t="s">
        <v>183</v>
      </c>
      <c r="Y67" s="436"/>
      <c r="Z67" s="78"/>
    </row>
    <row r="68" spans="5:37" ht="38.25" customHeight="1" thickBot="1" x14ac:dyDescent="0.3">
      <c r="E68" s="80" t="e">
        <f>CONCATENATE(FS4_Status,"max",1)</f>
        <v>#N/A</v>
      </c>
      <c r="F68" s="66" t="e">
        <f>+VLOOKUP(E68,SStable,4,)</f>
        <v>#N/A</v>
      </c>
      <c r="G68" s="109" t="e">
        <f>+VLOOKUP(E68,SStable,5,)</f>
        <v>#N/A</v>
      </c>
      <c r="H68" s="104" t="e">
        <f>+VLOOKUP(E68,SStable,6,)</f>
        <v>#N/A</v>
      </c>
      <c r="N68" s="388" t="e">
        <f ca="1">INDEX(PYRL_Summary,MATCH(O61,months,0),4)</f>
        <v>#N/A</v>
      </c>
      <c r="O68" s="389" t="s">
        <v>187</v>
      </c>
      <c r="P68" s="390">
        <f>+O51</f>
        <v>46113</v>
      </c>
      <c r="Q68" s="391" t="e">
        <f ca="1">INDEX(PYRL_Summary,MATCH(P68,months,0),31)</f>
        <v>#N/A</v>
      </c>
      <c r="R68" s="392" t="s">
        <v>188</v>
      </c>
      <c r="S68" s="393" t="e">
        <f ca="1">INDEX(PYRL_Summary,MATCH(O61,months,0),33)</f>
        <v>#N/A</v>
      </c>
      <c r="T68" s="425" t="str">
        <f>+Clinic_add</f>
        <v>7,  Mediatrix, Sanctuary Str. Zabbar ZBR1010
8, Mediatrix, Guze Duca Str., Qormi QRM9088</v>
      </c>
      <c r="U68" s="426"/>
      <c r="V68" s="427" t="s">
        <v>189</v>
      </c>
    </row>
    <row r="69" spans="5:37" ht="27" customHeight="1" thickBot="1" x14ac:dyDescent="0.3">
      <c r="E69" s="80" t="e">
        <f>CONCATENATE(FS4_Status,"max",2)</f>
        <v>#N/A</v>
      </c>
      <c r="F69" s="66" t="e">
        <f>+VLOOKUP(E69,SStable,4,)</f>
        <v>#N/A</v>
      </c>
      <c r="G69" s="109" t="e">
        <f>+VLOOKUP(E69,SStable,5,)</f>
        <v>#N/A</v>
      </c>
      <c r="H69" s="104" t="e">
        <f>+VLOOKUP(E69,SStable,6,)</f>
        <v>#N/A</v>
      </c>
      <c r="N69" s="403" t="e">
        <f ca="1">IF(OR(INDEX(PYRL_Summary,MATCH(O71,months,0),28)="pt",INDEX(PYRL_Summary,MATCH(O71,months,0),28)="pt_casual"),0,IF(N72-N71&gt;=1,1,0))</f>
        <v>#N/A</v>
      </c>
      <c r="O69" s="908" t="e">
        <f>Surname&amp;" "&amp;Name</f>
        <v>#N/A</v>
      </c>
      <c r="P69" s="394" t="e">
        <f>+IDCard</f>
        <v>#N/A</v>
      </c>
      <c r="Q69" s="395" t="e">
        <f>+designation</f>
        <v>#N/A</v>
      </c>
      <c r="R69" s="396" t="s">
        <v>156</v>
      </c>
      <c r="S69" s="397" t="e">
        <f ca="1">+S70+S73+S72+S74+S75+S76+S71</f>
        <v>#N/A</v>
      </c>
      <c r="T69" s="431" t="e">
        <f>+FS4_Status</f>
        <v>#N/A</v>
      </c>
      <c r="U69" s="573" t="e">
        <f ca="1">INDEX(INDAT,MATCH(O71,(INDIRECT(("months"),TRUE)),0),26)</f>
        <v>#N/A</v>
      </c>
      <c r="V69" s="432" t="e">
        <f ca="1">INDEX(INDAT,MATCH(O71,(INDIRECT(("months"),TRUE)),0),25)</f>
        <v>#N/A</v>
      </c>
      <c r="W69" s="412">
        <f>+$O$9</f>
        <v>46174</v>
      </c>
      <c r="X69" s="424"/>
      <c r="Y69" s="424"/>
      <c r="Z69" s="73"/>
      <c r="AA69" s="73"/>
    </row>
    <row r="70" spans="5:37" ht="20.25" customHeight="1" thickBot="1" x14ac:dyDescent="0.3">
      <c r="E70" s="80" t="e">
        <f>CONCATENATE(FS4_Status,"max",3)</f>
        <v>#N/A</v>
      </c>
      <c r="F70" s="66" t="e">
        <f>+VLOOKUP(E70,SStable,4,)</f>
        <v>#N/A</v>
      </c>
      <c r="G70" s="109" t="e">
        <f>+VLOOKUP(E70,SStable,5,)</f>
        <v>#N/A</v>
      </c>
      <c r="H70" s="104" t="e">
        <f>+VLOOKUP(E70,SStable,6,)</f>
        <v>#N/A</v>
      </c>
      <c r="N70" s="404" t="e">
        <f ca="1">IF(AND(OR((INDEX(PYRL_Summary,MATCH(O71,months,0),28))="PT",( INDEX(PYRL_Summary,MATCH(O71,months,0),28))="PT_casual" ),(N72-N71&gt;=1)),1,0)</f>
        <v>#N/A</v>
      </c>
      <c r="O70" s="909"/>
      <c r="P70" s="415" t="s">
        <v>161</v>
      </c>
      <c r="Q70" s="414" t="e">
        <f ca="1">INDEX(PYRL_Summary,MATCH(O71,months,0),5)</f>
        <v>#N/A</v>
      </c>
      <c r="R70" s="398" t="s">
        <v>94</v>
      </c>
      <c r="S70" s="399" t="e">
        <f ca="1">INDEX(PYRL_Summary,MATCH(O71,months,0),7)</f>
        <v>#N/A</v>
      </c>
      <c r="T70" s="400" t="s">
        <v>162</v>
      </c>
      <c r="U70" s="401" t="s">
        <v>163</v>
      </c>
      <c r="V70" s="402" t="s">
        <v>164</v>
      </c>
      <c r="Z70" s="446" t="e">
        <f ca="1">IF((INDIRECT("[EMPINFO.xlsm]"&amp;$O$2&amp;"!M70")) = 0," ",(INDIRECT("[EMPINFO.xlsm]"&amp;$O$2&amp;"!M70")
))</f>
        <v>#N/A</v>
      </c>
      <c r="AA70" s="446" t="e">
        <f ca="1">IF((INDIRECT("[EMPINFO.xlsm]"&amp;$O$2&amp;"!n70")) = 0," ",(INDIRECT("[EMPINFO.xlsm]"&amp;$O$2&amp;"!n70")
))</f>
        <v>#N/A</v>
      </c>
      <c r="AB70" s="444" t="s">
        <v>165</v>
      </c>
      <c r="AC70" s="446" t="e">
        <f ca="1">IF((INDIRECT("[EMPINFO.xlsm]"&amp;$O$2&amp;"!p70")) = 0," ",(INDIRECT("[EMPINFO.xlsm]"&amp;$O$2&amp;"!p70")
))</f>
        <v>#N/A</v>
      </c>
      <c r="AD70" s="446" t="e">
        <f ca="1">IF((INDIRECT("[EMPINFO.xlsm]"&amp;$O$2&amp;"!q70")) = 0," ",(INDIRECT("[EMPINFO.xlsm]"&amp;$O$2&amp;"!q70")
))</f>
        <v>#N/A</v>
      </c>
    </row>
    <row r="71" spans="5:37" ht="15.75" customHeight="1" thickBot="1" x14ac:dyDescent="0.3">
      <c r="E71" s="80" t="e">
        <f>CONCATENATE(FS4_Status,"max",4)</f>
        <v>#N/A</v>
      </c>
      <c r="F71" s="66" t="e">
        <f>+VLOOKUP(E71,SStable,4,)</f>
        <v>#N/A</v>
      </c>
      <c r="G71" s="109" t="e">
        <f>+VLOOKUP(E71,SStable,5,)</f>
        <v>#N/A</v>
      </c>
      <c r="H71" s="104" t="e">
        <f>+VLOOKUP(E71,SStable,6,)</f>
        <v>#N/A</v>
      </c>
      <c r="N71" s="405" t="e">
        <f>IF(TERMDATE&lt;O71,0,IF(StartEmp&lt;=O71,O71,(IF(AND(StartEmp&gt;=O71,StartEmp&lt;=O81),StartEmp,0))))</f>
        <v>#N/A</v>
      </c>
      <c r="O71" s="343">
        <f>+W69</f>
        <v>46174</v>
      </c>
      <c r="P71" s="191" t="str">
        <f>IF(AN54="PT","Hours Worked","Extra/ under Hours")</f>
        <v>Extra/ under Hours</v>
      </c>
      <c r="Q71" s="192"/>
      <c r="R71" s="192" t="e">
        <f ca="1">INDEX(PYRL_Summary,MATCH(O71,months,0),41)&amp;" HRS"</f>
        <v>#N/A</v>
      </c>
      <c r="S71" s="193" t="e">
        <f ca="1">INDEX(PYRL_Summary,MATCH(O71,months,0),41)*junhrrt</f>
        <v>#N/A</v>
      </c>
      <c r="T71" s="357" t="e">
        <f ca="1">+U71+V71</f>
        <v>#N/A</v>
      </c>
      <c r="U71" s="358" t="e">
        <f ca="1">INDEX(PYRL_Summary,MATCH(O71,months,0),22)</f>
        <v>#N/A</v>
      </c>
      <c r="V71" s="359" t="e">
        <f ca="1">INDEX(PYRL_Summary,MATCH(O71,months,0),23)</f>
        <v>#N/A</v>
      </c>
      <c r="Z71" s="446" t="e">
        <f ca="1">IF((INDIRECT("[EMPINFO.xlsm]"&amp;$O$2&amp;"!M71")) = 0," ",(INDIRECT("[EMPINFO.xlsm]"&amp;$O$2&amp;"!M71")
))</f>
        <v>#N/A</v>
      </c>
      <c r="AA71" s="446" t="e">
        <f ca="1">IF((INDIRECT("[EMPINFO.xlsm]"&amp;$O$2&amp;"!n71")) = 0," ",(INDIRECT("[EMPINFO.xlsm]"&amp;$O$2&amp;"!n71")
))</f>
        <v>#N/A</v>
      </c>
      <c r="AB71" s="445" t="s">
        <v>165</v>
      </c>
      <c r="AC71" s="446" t="e">
        <f ca="1">IF((INDIRECT("[EMPINFO.xlsm]"&amp;$O$2&amp;"!p71")) = 0," ",(INDIRECT("[EMPINFO.xlsm]"&amp;$O$2&amp;"!p71")
))</f>
        <v>#N/A</v>
      </c>
      <c r="AD71" s="446" t="e">
        <f ca="1">IF((INDIRECT("[EMPINFO.xlsm]"&amp;$O$2&amp;"!q71")) = 0," ",(INDIRECT("[EMPINFO.xlsm]"&amp;$O$2&amp;"!q71")
))</f>
        <v>#N/A</v>
      </c>
    </row>
    <row r="72" spans="5:37" ht="22.5" customHeight="1" thickBot="1" x14ac:dyDescent="0.3">
      <c r="E72" s="80" t="e">
        <f>CONCATENATE(FS4_Status,"max",5)</f>
        <v>#N/A</v>
      </c>
      <c r="F72" s="66" t="s">
        <v>230</v>
      </c>
      <c r="G72" s="109" t="e">
        <f>+VLOOKUP(E72,SStable,5,)</f>
        <v>#N/A</v>
      </c>
      <c r="H72" s="104" t="e">
        <f>+VLOOKUP(E72,SStable,6,)</f>
        <v>#N/A</v>
      </c>
      <c r="N72" s="405" t="e">
        <f>+IF(StartEmp&gt;=O81,0,IF(TERMDATE&gt;=O81,O81-1,(IF(AND(TERMDATE&lt;O81,TERMDATE&gt;=O71),TERMDATE,0))))</f>
        <v>#N/A</v>
      </c>
      <c r="O72" s="341" t="s">
        <v>170</v>
      </c>
      <c r="P72" s="342" t="s">
        <v>171</v>
      </c>
      <c r="Q72" s="300">
        <f>+O61</f>
        <v>46143</v>
      </c>
      <c r="R72" s="184" t="e">
        <f ca="1">INDEX(PYRL_Summary,MATCH(O61,months,0),39)&amp;" HRS"</f>
        <v>#N/A</v>
      </c>
      <c r="S72" s="193" t="e">
        <f ca="1">INDEX(PYRL_Summary,MATCH(O61,months,0),9)</f>
        <v>#N/A</v>
      </c>
      <c r="T72" s="186" t="s">
        <v>72</v>
      </c>
      <c r="U72" s="187" t="e">
        <f ca="1">INDEX(PYRL_Summary,MATCH(O71,months,0),25)</f>
        <v>#N/A</v>
      </c>
      <c r="V72" s="348"/>
      <c r="Z72" s="446" t="e">
        <f ca="1">IF((INDIRECT("[EMPINFO.xlsm]"&amp;$O$2&amp;"!M72")) = 0," ",(INDIRECT("[EMPINFO.xlsm]"&amp;$O$2&amp;"!M72")
))</f>
        <v>#N/A</v>
      </c>
      <c r="AA72" s="446" t="e">
        <f ca="1">IF((INDIRECT("[EMPINFO.xlsm]"&amp;$O$2&amp;"!n72")) = 0," ",(INDIRECT("[EMPINFO.xlsm]"&amp;$O$2&amp;"!n72")
))</f>
        <v>#N/A</v>
      </c>
      <c r="AB72" s="445" t="s">
        <v>165</v>
      </c>
      <c r="AC72" s="446" t="e">
        <f ca="1">IF((INDIRECT("[EMPINFO.xlsm]"&amp;$O$2&amp;"!p72")) = 0," ",(INDIRECT("[EMPINFO.xlsm]"&amp;$O$2&amp;"!p72")
))</f>
        <v>#N/A</v>
      </c>
      <c r="AD72" s="446" t="e">
        <f ca="1">IF((INDIRECT("[EMPINFO.xlsm]"&amp;$O$2&amp;"!q72")) = 0," ",(INDIRECT("[EMPINFO.xlsm]"&amp;$O$2&amp;"!q72")
))</f>
        <v>#N/A</v>
      </c>
      <c r="AJ72" s="55"/>
      <c r="AK72" s="67"/>
    </row>
    <row r="73" spans="5:37" ht="16.149999999999999" customHeight="1" thickBot="1" x14ac:dyDescent="0.3">
      <c r="E73" s="80" t="s">
        <v>231</v>
      </c>
      <c r="G73" s="110">
        <f>+PT_Rate</f>
        <v>0.1</v>
      </c>
      <c r="H73" s="101"/>
      <c r="N73" s="404"/>
      <c r="O73" s="344">
        <f>+ID</f>
        <v>0</v>
      </c>
      <c r="P73" s="195" t="s">
        <v>172</v>
      </c>
      <c r="Q73" s="195"/>
      <c r="R73" s="194"/>
      <c r="S73" s="193" t="e">
        <f ca="1">INDEX(PYRL_Summary,MATCH(O71,months,0),11)</f>
        <v>#N/A</v>
      </c>
      <c r="T73" s="196" t="e">
        <f ca="1">IF((INDEX(PYRL_Summary,MATCH(O71,months,0),19))&gt;=0.01, "Overtime Tax"," ")</f>
        <v>#N/A</v>
      </c>
      <c r="U73" s="197"/>
      <c r="V73" s="349" t="e">
        <f ca="1">INDEX(PYRL_Summary,MATCH(O71,months,0),19)</f>
        <v>#N/A</v>
      </c>
      <c r="X73" s="412">
        <f>+$O$9</f>
        <v>46174</v>
      </c>
      <c r="AJ73" s="55"/>
    </row>
    <row r="74" spans="5:37" ht="17.25" customHeight="1" thickBot="1" x14ac:dyDescent="0.35">
      <c r="E74" s="111" t="s">
        <v>232</v>
      </c>
      <c r="F74" s="105"/>
      <c r="G74" s="105"/>
      <c r="H74" s="106"/>
      <c r="N74" s="404"/>
      <c r="O74" s="188" t="s">
        <v>175</v>
      </c>
      <c r="P74" s="188"/>
      <c r="Q74" s="188"/>
      <c r="R74" s="200">
        <v>0</v>
      </c>
      <c r="S74" s="185" t="e">
        <f ca="1">INDEX(PYRL_Summary,MATCH(O71,months,0),10)</f>
        <v>#N/A</v>
      </c>
      <c r="T74" s="189" t="s">
        <v>176</v>
      </c>
      <c r="U74" s="190"/>
      <c r="V74" s="350" t="e">
        <f ca="1">INDEX(PYRL_Summary,MATCH(O71,months,0),15)</f>
        <v>#N/A</v>
      </c>
      <c r="X74" s="577"/>
    </row>
    <row r="75" spans="5:37" ht="15.75" customHeight="1" thickBot="1" x14ac:dyDescent="0.3">
      <c r="E75" s="293"/>
      <c r="F75" s="294" t="s">
        <v>130</v>
      </c>
      <c r="G75" s="295" t="e">
        <f ca="1">IF(AND(Timer="pt",grossyearly&lt;10000),+ptrate,IF(grossyearly&lt;$F$68,$G$68,IF(grossyearly&lt;$F$69,$G$69,IF(grossyearly&lt;$F$70,$G$70,IF(grossyearly&lt;$F$71,$G$71,$G$72)))))</f>
        <v>#N/A</v>
      </c>
      <c r="H75" s="296" t="e">
        <f ca="1">IF(grossyearly&lt;$F$68,$H$68,IF(grossyearly&lt;$F$69,$H$69,IF(grossyearly&lt;$F$70,$H$70,IF(grossyearly&lt;$F$71,$H$71,$H$72))))</f>
        <v>#N/A</v>
      </c>
      <c r="N75" s="404"/>
      <c r="O75" s="345" t="e">
        <f ca="1">IF(INDEX(INDAT,MATCH(O71,(INDIRECT(("months"),TRUE)),0),4)&gt;=0.01, "Performance Bonus"," ")</f>
        <v>#N/A</v>
      </c>
      <c r="P75" s="100" t="e">
        <f ca="1">IF((INDEX(PYRL_Summary,MATCH(O71,months,0),12)&gt;=0.01),(INDEX(PYRL_Summary,MATCH(O71,months,0),12)),0)</f>
        <v>#N/A</v>
      </c>
      <c r="Q75" s="99" t="e">
        <f ca="1">IF(INDEX(INDAT,MATCH(O71,(INDIRECT(("months"),TRUE)),0),5)&gt;=0.01, "Sup
 Bonus"," ")</f>
        <v>#N/A</v>
      </c>
      <c r="R75" s="100" t="e">
        <f ca="1">IF((INDEX(PYRL_Summary,MATCH(O71,months,0),13)&gt;=0.01),(INDEX(PYRL_Summary,MATCH(O71,months,0),13)),0)</f>
        <v>#N/A</v>
      </c>
      <c r="S75" s="102" t="e">
        <f ca="1">+P75+R75</f>
        <v>#N/A</v>
      </c>
      <c r="T75" s="889" t="e">
        <f>+IBAN</f>
        <v>#N/A</v>
      </c>
      <c r="U75" s="890"/>
      <c r="V75" s="891"/>
    </row>
    <row r="76" spans="5:37" ht="17.25" customHeight="1" thickBot="1" x14ac:dyDescent="0.3">
      <c r="N76" s="404"/>
      <c r="O76" s="346" t="e">
        <f ca="1">IF(INDEX(INDAT,MATCH(O71,(INDIRECT(("months"),TRUE)),0),14)&gt;=0.01, "Overtime Hours"," ")</f>
        <v>#N/A</v>
      </c>
      <c r="P76" s="199"/>
      <c r="Q76" s="199" t="e">
        <f ca="1">IF((INDEX(PYRL_Summary,MATCH(O71,months,0),16)&gt;=0.01),(INDEX(PYRL_Summary,MATCH(O71,months,0),16)&amp;" HRS"),0)</f>
        <v>#N/A</v>
      </c>
      <c r="R76" s="198"/>
      <c r="S76" s="355" t="e">
        <f ca="1">IF((INDEX(PYRL_Summary,MATCH(O71,months,0),18)&gt;=0.01),(INDEX(PYRL_Summary,MATCH(O71,months,0),18)&amp;" HRS"),0)</f>
        <v>#N/A</v>
      </c>
      <c r="T76" s="417" t="s">
        <v>178</v>
      </c>
      <c r="U76" s="418" t="e">
        <f ca="1">+(SUM(S70:S76))-(SUM(V71:V74))</f>
        <v>#N/A</v>
      </c>
      <c r="V76" s="418"/>
    </row>
    <row r="77" spans="5:37" ht="26.25" customHeight="1" thickBot="1" x14ac:dyDescent="0.3">
      <c r="N77" s="413" t="s">
        <v>180</v>
      </c>
      <c r="O77" s="352" t="s">
        <v>181</v>
      </c>
      <c r="P77" s="351">
        <f>+O61</f>
        <v>46143</v>
      </c>
      <c r="Q77" s="353" t="e">
        <f ca="1">(INDEX(PYRL_Summary,MATCH(P77,months,1),32))</f>
        <v>#N/A</v>
      </c>
      <c r="R77" s="354"/>
      <c r="S77" s="356"/>
      <c r="T77" s="544" t="str">
        <f>IF(Y77=0, "DO NOT INPUT HERE. USE HIGHLIGHTED ",Y77)</f>
        <v xml:space="preserve">DO NOT INPUT HERE. USE HIGHLIGHTED </v>
      </c>
      <c r="U77" s="545"/>
      <c r="V77" s="546"/>
      <c r="W77" s="73" t="s">
        <v>183</v>
      </c>
      <c r="Y77" s="436"/>
      <c r="Z77" s="78"/>
    </row>
    <row r="78" spans="5:37" ht="38.25" customHeight="1" thickBot="1" x14ac:dyDescent="0.3">
      <c r="N78" s="406" t="e">
        <f ca="1">INDEX(PYRL_Summary,MATCH(O71,months,0),4)</f>
        <v>#N/A</v>
      </c>
      <c r="O78" s="407" t="s">
        <v>187</v>
      </c>
      <c r="P78" s="408">
        <f>+O61</f>
        <v>46143</v>
      </c>
      <c r="Q78" s="409" t="e">
        <f ca="1">INDEX(PYRL_Summary,MATCH(P78,months,0),31)</f>
        <v>#N/A</v>
      </c>
      <c r="R78" s="410" t="s">
        <v>188</v>
      </c>
      <c r="S78" s="411" t="e">
        <f ca="1">INDEX(PYRL_Summary,MATCH(O71,months,0),33)</f>
        <v>#N/A</v>
      </c>
      <c r="T78" s="428" t="str">
        <f>+Clinic_add</f>
        <v>7,  Mediatrix, Sanctuary Str. Zabbar ZBR1010
8, Mediatrix, Guze Duca Str., Qormi QRM9088</v>
      </c>
      <c r="U78" s="429"/>
      <c r="V78" s="430" t="s">
        <v>189</v>
      </c>
    </row>
    <row r="79" spans="5:37" ht="27" customHeight="1" thickBot="1" x14ac:dyDescent="0.3">
      <c r="N79" s="386" t="e">
        <f ca="1">IF(OR(INDEX(PYRL_Summary,MATCH(O81,months,0),28)="pt",INDEX(PYRL_Summary,MATCH(O81,months,0),28)="pt_casual"),0,IF(N82-N81&gt;=1,1,0))</f>
        <v>#N/A</v>
      </c>
      <c r="O79" s="894" t="e">
        <f>Surname&amp;" "&amp;Name</f>
        <v>#N/A</v>
      </c>
      <c r="P79" s="374" t="e">
        <f>+IDCard</f>
        <v>#N/A</v>
      </c>
      <c r="Q79" s="375" t="e">
        <f>+designation</f>
        <v>#N/A</v>
      </c>
      <c r="R79" s="376" t="s">
        <v>156</v>
      </c>
      <c r="S79" s="377" t="e">
        <f ca="1">+S80+S83+S82+S84+S85+S86+S81</f>
        <v>#N/A</v>
      </c>
      <c r="T79" s="378" t="e">
        <f>+FS4_Status</f>
        <v>#N/A</v>
      </c>
      <c r="U79" s="572" t="e">
        <f ca="1">INDEX(INDAT,MATCH(O81,(INDIRECT(("months"),TRUE)),0),26)</f>
        <v>#N/A</v>
      </c>
      <c r="V79" s="379" t="e">
        <f ca="1">INDEX(INDAT,MATCH(O81,(INDIRECT(("months"),TRUE)),0),25)</f>
        <v>#N/A</v>
      </c>
      <c r="W79" s="422">
        <f>+$O$10</f>
        <v>46204</v>
      </c>
      <c r="X79" s="423"/>
      <c r="Y79" s="423"/>
      <c r="Z79" s="73"/>
      <c r="AA79" s="73"/>
    </row>
    <row r="80" spans="5:37" ht="20.25" customHeight="1" thickBot="1" x14ac:dyDescent="0.3">
      <c r="N80" s="387" t="e">
        <f ca="1">IF(AND(OR((INDEX(PYRL_Summary,MATCH(O81,months,0),28))="PT",( INDEX(PYRL_Summary,MATCH(O81,months,0),28))="PT_casual" ),(N82-N81&gt;=1)),1,0)</f>
        <v>#N/A</v>
      </c>
      <c r="O80" s="895"/>
      <c r="P80" s="416" t="s">
        <v>161</v>
      </c>
      <c r="Q80" s="380" t="e">
        <f ca="1">INDEX(PYRL_Summary,MATCH(O81,months,0),5)</f>
        <v>#N/A</v>
      </c>
      <c r="R80" s="381" t="s">
        <v>94</v>
      </c>
      <c r="S80" s="382" t="e">
        <f ca="1">INDEX(PYRL_Summary,MATCH(O81,months,0),7)</f>
        <v>#N/A</v>
      </c>
      <c r="T80" s="383" t="s">
        <v>162</v>
      </c>
      <c r="U80" s="384" t="s">
        <v>163</v>
      </c>
      <c r="V80" s="385" t="s">
        <v>164</v>
      </c>
      <c r="Z80" s="446" t="e">
        <f ca="1">IF((INDIRECT("[EMPINFO.xlsm]"&amp;$O$2&amp;"!M80")) = 0," ",(INDIRECT("[EMPINFO.xlsm]"&amp;$O$2&amp;"!M80")
))</f>
        <v>#N/A</v>
      </c>
      <c r="AA80" s="446" t="e">
        <f ca="1">IF((INDIRECT("[EMPINFO.xlsm]"&amp;$O$2&amp;"!n80")) = 0," ",(INDIRECT("[EMPINFO.xlsm]"&amp;$O$2&amp;"!n80")
))</f>
        <v>#N/A</v>
      </c>
      <c r="AB80" s="444" t="s">
        <v>165</v>
      </c>
      <c r="AC80" s="446" t="e">
        <f ca="1">IF((INDIRECT("[EMPINFO.xlsm]"&amp;$O$2&amp;"!p80")) = 0," ",(INDIRECT("[EMPINFO.xlsm]"&amp;$O$2&amp;"!p80")
))</f>
        <v>#N/A</v>
      </c>
      <c r="AD80" s="446" t="e">
        <f ca="1">IF((INDIRECT("[EMPINFO.xlsm]"&amp;$O$2&amp;"!q80")) = 0," ",(INDIRECT("[EMPINFO.xlsm]"&amp;$O$2&amp;"!q80")
))</f>
        <v>#N/A</v>
      </c>
    </row>
    <row r="81" spans="14:37" ht="15.75" customHeight="1" thickBot="1" x14ac:dyDescent="0.3">
      <c r="N81" s="419" t="e">
        <f>IF(TERMDATE&lt;O81,0,IF(StartEmp&lt;=O81,O81,(IF(AND(StartEmp&gt;=O81,StartEmp&lt;=O91),StartEmp,0))))</f>
        <v>#N/A</v>
      </c>
      <c r="O81" s="343">
        <f>+W79</f>
        <v>46204</v>
      </c>
      <c r="P81" s="371" t="str">
        <f>IF(AN64="PT","Hours Worked","Extra/ under Hours")</f>
        <v>Extra/ under Hours</v>
      </c>
      <c r="Q81" s="99"/>
      <c r="R81" s="99" t="e">
        <f ca="1">INDEX(PYRL_Summary,MATCH(O81,months,0),41)&amp;" HRS"</f>
        <v>#N/A</v>
      </c>
      <c r="S81" s="367" t="e">
        <f ca="1">INDEX(PYRL_Summary,MATCH(O81,months,0),41)*julhrrt</f>
        <v>#N/A</v>
      </c>
      <c r="T81" s="372" t="e">
        <f ca="1">+U81+V81</f>
        <v>#N/A</v>
      </c>
      <c r="U81" s="372" t="e">
        <f ca="1">INDEX(PYRL_Summary,MATCH(O81,months,0),22)</f>
        <v>#N/A</v>
      </c>
      <c r="V81" s="373" t="e">
        <f ca="1">INDEX(PYRL_Summary,MATCH(O81,months,0),23)</f>
        <v>#N/A</v>
      </c>
      <c r="Z81" s="446" t="e">
        <f ca="1">IF((INDIRECT("[EMPINFO.xlsm]"&amp;$O$2&amp;"!M81")) = 0," ",(INDIRECT("[EMPINFO.xlsm]"&amp;$O$2&amp;"!M81")
))</f>
        <v>#N/A</v>
      </c>
      <c r="AA81" s="446" t="e">
        <f ca="1">IF((INDIRECT("[EMPINFO.xlsm]"&amp;$O$2&amp;"!n81")) = 0," ",(INDIRECT("[EMPINFO.xlsm]"&amp;$O$2&amp;"!n81")
))</f>
        <v>#N/A</v>
      </c>
      <c r="AB81" s="445" t="s">
        <v>165</v>
      </c>
      <c r="AC81" s="446" t="e">
        <f ca="1">IF((INDIRECT("[EMPINFO.xlsm]"&amp;$O$2&amp;"!p81")) = 0," ",(INDIRECT("[EMPINFO.xlsm]"&amp;$O$2&amp;"!p81")
))</f>
        <v>#N/A</v>
      </c>
      <c r="AD81" s="446" t="e">
        <f ca="1">IF((INDIRECT("[EMPINFO.xlsm]"&amp;$O$2&amp;"!q81")) = 0," ",(INDIRECT("[EMPINFO.xlsm]"&amp;$O$2&amp;"!q81")
))</f>
        <v>#N/A</v>
      </c>
    </row>
    <row r="82" spans="14:37" ht="20.25" customHeight="1" thickBot="1" x14ac:dyDescent="0.3">
      <c r="N82" s="419" t="e">
        <f>+IF(StartEmp&gt;=O91,0,IF(TERMDATE&gt;=O91,O91-1,(IF(AND(TERMDATE&lt;O91,TERMDATE&gt;=O81),TERMDATE,0))))</f>
        <v>#N/A</v>
      </c>
      <c r="O82" s="341" t="s">
        <v>170</v>
      </c>
      <c r="P82" s="342" t="s">
        <v>171</v>
      </c>
      <c r="Q82" s="300">
        <f>+O71</f>
        <v>46174</v>
      </c>
      <c r="R82" s="184" t="e">
        <f ca="1">INDEX(PYRL_Summary,MATCH(O71,months,0),39)&amp;" HRS"</f>
        <v>#N/A</v>
      </c>
      <c r="S82" s="193" t="e">
        <f ca="1">INDEX(PYRL_Summary,MATCH(O71,months,0),9)</f>
        <v>#N/A</v>
      </c>
      <c r="T82" s="186" t="s">
        <v>72</v>
      </c>
      <c r="U82" s="187" t="e">
        <f ca="1">INDEX(PYRL_Summary,MATCH(O81,months,0),25)</f>
        <v>#N/A</v>
      </c>
      <c r="V82" s="348"/>
      <c r="X82" s="55"/>
      <c r="Z82" s="446" t="e">
        <f ca="1">IF((INDIRECT("[EMPINFO.xlsm]"&amp;$O$2&amp;"!M82")) = 0," ",(INDIRECT("[EMPINFO.xlsm]"&amp;$O$2&amp;"!M82")
))</f>
        <v>#N/A</v>
      </c>
      <c r="AA82" s="446" t="e">
        <f ca="1">IF((INDIRECT("[EMPINFO.xlsm]"&amp;$O$2&amp;"!n82")) = 0," ",(INDIRECT("[EMPINFO.xlsm]"&amp;$O$2&amp;"!n82")
))</f>
        <v>#N/A</v>
      </c>
      <c r="AB82" s="445" t="s">
        <v>165</v>
      </c>
      <c r="AC82" s="446" t="e">
        <f ca="1">IF((INDIRECT("[EMPINFO.xlsm]"&amp;$O$2&amp;"!p82")) = 0," ",(INDIRECT("[EMPINFO.xlsm]"&amp;$O$2&amp;"!p82")
))</f>
        <v>#N/A</v>
      </c>
      <c r="AD82" s="446" t="e">
        <f ca="1">IF((INDIRECT("[EMPINFO.xlsm]"&amp;$O$2&amp;"!q82")) = 0," ",(INDIRECT("[EMPINFO.xlsm]"&amp;$O$2&amp;"!q82")
))</f>
        <v>#N/A</v>
      </c>
      <c r="AJ82" s="55"/>
      <c r="AK82" s="67"/>
    </row>
    <row r="83" spans="14:37" ht="16.149999999999999" customHeight="1" thickBot="1" x14ac:dyDescent="0.3">
      <c r="N83" s="420"/>
      <c r="O83" s="344">
        <f>+ID</f>
        <v>0</v>
      </c>
      <c r="P83" s="365" t="s">
        <v>172</v>
      </c>
      <c r="Q83" s="365"/>
      <c r="R83" s="366"/>
      <c r="S83" s="367">
        <f>INDEX(PYRL_Summary,MATCH(O81,months,0),11)</f>
        <v>0</v>
      </c>
      <c r="T83" s="368" t="e">
        <f ca="1">IF((INDEX(PYRL_Summary,MATCH(O81,months,0),19))&gt;=0.01, "Overtime Tax"," ")</f>
        <v>#N/A</v>
      </c>
      <c r="U83" s="369"/>
      <c r="V83" s="370" t="e">
        <f ca="1">INDEX(PYRL_Summary,MATCH(O81,months,0),19)</f>
        <v>#N/A</v>
      </c>
      <c r="X83" s="422">
        <f>+$O$10</f>
        <v>46204</v>
      </c>
      <c r="AJ83" s="55"/>
    </row>
    <row r="84" spans="14:37" ht="21.75" customHeight="1" thickBot="1" x14ac:dyDescent="0.35">
      <c r="N84" s="420"/>
      <c r="O84" s="188" t="s">
        <v>175</v>
      </c>
      <c r="P84" s="188"/>
      <c r="Q84" s="188"/>
      <c r="R84" s="200">
        <v>0</v>
      </c>
      <c r="S84" s="185" t="e">
        <f ca="1">INDEX(PYRL_Summary,MATCH(O81,months,0),10)</f>
        <v>#N/A</v>
      </c>
      <c r="T84" s="189" t="s">
        <v>176</v>
      </c>
      <c r="U84" s="190"/>
      <c r="V84" s="350" t="e">
        <f ca="1">INDEX(PYRL_Summary,MATCH(O81,months,0),15)</f>
        <v>#N/A</v>
      </c>
      <c r="X84" s="577"/>
    </row>
    <row r="85" spans="14:37" ht="15.75" customHeight="1" thickBot="1" x14ac:dyDescent="0.3">
      <c r="N85" s="420"/>
      <c r="O85" s="345" t="e">
        <f ca="1">IF(INDEX(INDAT,MATCH(O81,(INDIRECT(("months"),TRUE)),0),4)&gt;=0.01, "Performance Bonus"," ")</f>
        <v>#N/A</v>
      </c>
      <c r="P85" s="100" t="e">
        <f ca="1">IF((INDEX(PYRL_Summary,MATCH(O81,months,0),12)&gt;=0.01),(INDEX(PYRL_Summary,MATCH(O81,months,0),12)),0)</f>
        <v>#N/A</v>
      </c>
      <c r="Q85" s="99" t="e">
        <f ca="1">IF(INDEX(INDAT,MATCH(O81,(INDIRECT(("months"),TRUE)),0),5)&gt;=0.01, "Sup
 Bonus"," ")</f>
        <v>#N/A</v>
      </c>
      <c r="R85" s="100" t="e">
        <f ca="1">IF((INDEX(PYRL_Summary,MATCH(O81,months,0),13)&gt;=0.01),(INDEX(PYRL_Summary,MATCH(O81,months,0),13)),0)</f>
        <v>#N/A</v>
      </c>
      <c r="S85" s="102" t="e">
        <f ca="1">+P85+R85</f>
        <v>#N/A</v>
      </c>
      <c r="T85" s="889" t="e">
        <f>+IBAN</f>
        <v>#N/A</v>
      </c>
      <c r="U85" s="890"/>
      <c r="V85" s="891"/>
    </row>
    <row r="86" spans="14:37" ht="17.25" customHeight="1" thickBot="1" x14ac:dyDescent="0.3">
      <c r="N86" s="420"/>
      <c r="O86" s="346" t="e">
        <f ca="1">IF(INDEX(INDAT,MATCH(O81,(INDIRECT(("months"),TRUE)),0),14)&gt;=0.01, "Overtime Hours"," ")</f>
        <v>#N/A</v>
      </c>
      <c r="P86" s="199"/>
      <c r="Q86" s="199" t="e">
        <f ca="1">IF((INDEX(PYRL_Summary,MATCH(O81,months,0),16)&gt;=0.01),(INDEX(PYRL_Summary,MATCH(O81,months,0),16)&amp;" HRS"),0)</f>
        <v>#N/A</v>
      </c>
      <c r="R86" s="198"/>
      <c r="S86" s="355" t="e">
        <f ca="1">IF((INDEX(PYRL_Summary,MATCH(O81,months,0),18)&gt;=0.01),(INDEX(PYRL_Summary,MATCH(O81,months,0),18)&amp;" HRS"),0)</f>
        <v>#N/A</v>
      </c>
      <c r="T86" s="417" t="s">
        <v>178</v>
      </c>
      <c r="U86" s="418" t="e">
        <f ca="1">+(SUM(S80:S86))-(SUM(V81:V84))</f>
        <v>#N/A</v>
      </c>
      <c r="V86" s="418"/>
    </row>
    <row r="87" spans="14:37" ht="23.25" customHeight="1" thickBot="1" x14ac:dyDescent="0.3">
      <c r="N87" s="421" t="s">
        <v>180</v>
      </c>
      <c r="O87" s="360" t="s">
        <v>181</v>
      </c>
      <c r="P87" s="361">
        <f>+O71</f>
        <v>46174</v>
      </c>
      <c r="Q87" s="362" t="e">
        <f ca="1">(INDEX(PYRL_Summary,MATCH(P77,months,1),32))</f>
        <v>#N/A</v>
      </c>
      <c r="R87" s="363"/>
      <c r="S87" s="364"/>
      <c r="T87" s="544" t="str">
        <f>IF(Y87=0, "DO NOT INPUT HERE. USE HIGHLIGHTED ",Y87)</f>
        <v xml:space="preserve">DO NOT INPUT HERE. USE HIGHLIGHTED </v>
      </c>
      <c r="U87" s="545"/>
      <c r="V87" s="546"/>
      <c r="W87" s="73" t="s">
        <v>183</v>
      </c>
      <c r="Y87" s="436"/>
      <c r="Z87" s="78"/>
    </row>
    <row r="88" spans="14:37" ht="38.25" customHeight="1" thickBot="1" x14ac:dyDescent="0.3">
      <c r="N88" s="388" t="e">
        <f ca="1">INDEX(PYRL_Summary,MATCH(O81,months,0),4)</f>
        <v>#N/A</v>
      </c>
      <c r="O88" s="389" t="s">
        <v>187</v>
      </c>
      <c r="P88" s="390">
        <f>+X82</f>
        <v>0</v>
      </c>
      <c r="Q88" s="391" t="e">
        <f ca="1">INDEX(PYRL_Summary,MATCH(P88,months,0),31)</f>
        <v>#N/A</v>
      </c>
      <c r="R88" s="392" t="s">
        <v>188</v>
      </c>
      <c r="S88" s="393" t="e">
        <f ca="1">INDEX(PYRL_Summary,MATCH(O81,months,0),33)</f>
        <v>#N/A</v>
      </c>
      <c r="T88" s="425" t="str">
        <f>+Clinic_add</f>
        <v>7,  Mediatrix, Sanctuary Str. Zabbar ZBR1010
8, Mediatrix, Guze Duca Str., Qormi QRM9088</v>
      </c>
      <c r="U88" s="426"/>
      <c r="V88" s="427" t="s">
        <v>189</v>
      </c>
    </row>
    <row r="89" spans="14:37" ht="27" customHeight="1" thickBot="1" x14ac:dyDescent="0.3">
      <c r="N89" s="403" t="e">
        <f ca="1">IF(OR(INDEX(PYRL_Summary,MATCH(O91,months,0),28)="pt",INDEX(PYRL_Summary,MATCH(O91,months,0),28)="pt_casual"),0,IF(N92-N91&gt;=1,1,0))</f>
        <v>#N/A</v>
      </c>
      <c r="O89" s="908" t="e">
        <f>Surname&amp;" "&amp;Name</f>
        <v>#N/A</v>
      </c>
      <c r="P89" s="394" t="e">
        <f>+IDCard</f>
        <v>#N/A</v>
      </c>
      <c r="Q89" s="395" t="e">
        <f>+designation</f>
        <v>#N/A</v>
      </c>
      <c r="R89" s="396" t="s">
        <v>156</v>
      </c>
      <c r="S89" s="397" t="e">
        <f ca="1">+S90+S93+S92+S94+S95+S96+S91</f>
        <v>#N/A</v>
      </c>
      <c r="T89" s="431" t="e">
        <f>+FS4_Status</f>
        <v>#N/A</v>
      </c>
      <c r="U89" s="573" t="e">
        <f ca="1">INDEX(INDAT,MATCH(O91,(INDIRECT(("months"),TRUE)),0),26)</f>
        <v>#N/A</v>
      </c>
      <c r="V89" s="432" t="e">
        <f ca="1">INDEX(INDAT,MATCH(O91,(INDIRECT(("months"),TRUE)),0),25)</f>
        <v>#N/A</v>
      </c>
      <c r="W89" s="412">
        <f>+$O$11</f>
        <v>46235</v>
      </c>
      <c r="X89" s="424"/>
      <c r="Y89" s="424"/>
      <c r="Z89" s="73"/>
      <c r="AA89" s="73"/>
    </row>
    <row r="90" spans="14:37" ht="20.25" customHeight="1" thickBot="1" x14ac:dyDescent="0.3">
      <c r="N90" s="404" t="e">
        <f ca="1">IF(AND(OR((INDEX(PYRL_Summary,MATCH(O91,months,0),28))="PT",( INDEX(PYRL_Summary,MATCH(O91,months,0),28))="PT_casual" ),(N92-N91&gt;=1)),1,0)</f>
        <v>#N/A</v>
      </c>
      <c r="O90" s="909"/>
      <c r="P90" s="415" t="s">
        <v>161</v>
      </c>
      <c r="Q90" s="414" t="e">
        <f ca="1">INDEX(PYRL_Summary,MATCH(O91,months,0),5)</f>
        <v>#N/A</v>
      </c>
      <c r="R90" s="398" t="s">
        <v>94</v>
      </c>
      <c r="S90" s="399" t="e">
        <f ca="1">INDEX(PYRL_Summary,MATCH(O91,months,0),7)</f>
        <v>#N/A</v>
      </c>
      <c r="T90" s="400" t="s">
        <v>162</v>
      </c>
      <c r="U90" s="401" t="s">
        <v>163</v>
      </c>
      <c r="V90" s="402" t="s">
        <v>164</v>
      </c>
      <c r="Z90" s="446" t="e">
        <f ca="1">IF((INDIRECT("[EMPINFO.xlsm]"&amp;$O$2&amp;"!M90")) = 0," ",(INDIRECT("[EMPINFO.xlsm]"&amp;$O$2&amp;"!M90")
))</f>
        <v>#N/A</v>
      </c>
      <c r="AA90" s="446" t="e">
        <f ca="1">IF((INDIRECT("[EMPINFO.xlsm]"&amp;$O$2&amp;"!n90")) = 0," ",(INDIRECT("[EMPINFO.xlsm]"&amp;$O$2&amp;"!n90")
))</f>
        <v>#N/A</v>
      </c>
      <c r="AB90" s="444" t="s">
        <v>165</v>
      </c>
      <c r="AC90" s="446" t="e">
        <f ca="1">IF((INDIRECT("[EMPINFO.xlsm]"&amp;$O$2&amp;"!p90")) = 0," ",(INDIRECT("[EMPINFO.xlsm]"&amp;$O$2&amp;"!p90")
))</f>
        <v>#N/A</v>
      </c>
      <c r="AD90" s="446" t="e">
        <f ca="1">IF((INDIRECT("[EMPINFO.xlsm]"&amp;$O$2&amp;"!q90")) = 0," ",(INDIRECT("[EMPINFO.xlsm]"&amp;$O$2&amp;"!q90")
))</f>
        <v>#N/A</v>
      </c>
    </row>
    <row r="91" spans="14:37" ht="15.75" customHeight="1" thickBot="1" x14ac:dyDescent="0.3">
      <c r="N91" s="405" t="e">
        <f>IF(TERMDATE&lt;O91,0,IF(StartEmp&lt;=O91,O91,(IF(AND(StartEmp&gt;=O91,StartEmp&lt;=O101),StartEmp,0))))</f>
        <v>#N/A</v>
      </c>
      <c r="O91" s="343">
        <f>+W89</f>
        <v>46235</v>
      </c>
      <c r="P91" s="191" t="str">
        <f>IF(AN74="PT","Hours Worked","Extra/ under Hours")</f>
        <v>Extra/ under Hours</v>
      </c>
      <c r="Q91" s="192"/>
      <c r="R91" s="192" t="e">
        <f ca="1">INDEX(PYRL_Summary,MATCH(O91,months,0),41)&amp;" HRS"</f>
        <v>#N/A</v>
      </c>
      <c r="S91" s="193" t="e">
        <f ca="1">INDEX(PYRL_Summary,MATCH(O91,months,0),41)*aughrrt</f>
        <v>#N/A</v>
      </c>
      <c r="T91" s="357" t="e">
        <f ca="1">+U91+V91</f>
        <v>#N/A</v>
      </c>
      <c r="U91" s="358" t="e">
        <f ca="1">INDEX(PYRL_Summary,MATCH(O91,months,0),22)</f>
        <v>#N/A</v>
      </c>
      <c r="V91" s="359" t="e">
        <f ca="1">INDEX(PYRL_Summary,MATCH(O91,months,0),23)</f>
        <v>#N/A</v>
      </c>
      <c r="Z91" s="446" t="e">
        <f ca="1">IF((INDIRECT("[EMPINFO.xlsm]"&amp;$O$2&amp;"!M91")) = 0," ",(INDIRECT("[EMPINFO.xlsm]"&amp;$O$2&amp;"!M91")
))</f>
        <v>#N/A</v>
      </c>
      <c r="AA91" s="446" t="e">
        <f ca="1">IF((INDIRECT("[EMPINFO.xlsm]"&amp;$O$2&amp;"!n91")) = 0," ",(INDIRECT("[EMPINFO.xlsm]"&amp;$O$2&amp;"!n91")
))</f>
        <v>#N/A</v>
      </c>
      <c r="AB91" s="445" t="s">
        <v>165</v>
      </c>
      <c r="AC91" s="446" t="e">
        <f ca="1">IF((INDIRECT("[EMPINFO.xlsm]"&amp;$O$2&amp;"!p91")) = 0," ",(INDIRECT("[EMPINFO.xlsm]"&amp;$O$2&amp;"!p91")
))</f>
        <v>#N/A</v>
      </c>
      <c r="AD91" s="446" t="e">
        <f ca="1">IF((INDIRECT("[EMPINFO.xlsm]"&amp;$O$2&amp;"!q91")) = 0," ",(INDIRECT("[EMPINFO.xlsm]"&amp;$O$2&amp;"!q91")
))</f>
        <v>#N/A</v>
      </c>
    </row>
    <row r="92" spans="14:37" ht="21" customHeight="1" thickBot="1" x14ac:dyDescent="0.3">
      <c r="N92" s="405" t="e">
        <f>+IF(StartEmp&gt;=O101,0,IF(TERMDATE&gt;=O101,O101-1,(IF(AND(TERMDATE&lt;O101,TERMDATE&gt;=O91),TERMDATE,0))))</f>
        <v>#N/A</v>
      </c>
      <c r="O92" s="341" t="s">
        <v>170</v>
      </c>
      <c r="P92" s="342" t="s">
        <v>171</v>
      </c>
      <c r="Q92" s="300">
        <f>+O81</f>
        <v>46204</v>
      </c>
      <c r="R92" s="184" t="e">
        <f ca="1">INDEX(PYRL_Summary,MATCH(O81,months,0),39)&amp;" HRS"</f>
        <v>#N/A</v>
      </c>
      <c r="S92" s="193" t="e">
        <f ca="1">INDEX(PYRL_Summary,MATCH(O81,months,0),9)</f>
        <v>#N/A</v>
      </c>
      <c r="T92" s="186" t="s">
        <v>72</v>
      </c>
      <c r="U92" s="187" t="e">
        <f ca="1">INDEX(PYRL_Summary,MATCH(O91,months,0),25)</f>
        <v>#N/A</v>
      </c>
      <c r="V92" s="348"/>
      <c r="Z92" s="446" t="e">
        <f ca="1">IF((INDIRECT("[EMPINFO.xlsm]"&amp;$O$2&amp;"!M92")) = 0," ",(INDIRECT("[EMPINFO.xlsm]"&amp;$O$2&amp;"!M92")
))</f>
        <v>#N/A</v>
      </c>
      <c r="AA92" s="446" t="e">
        <f ca="1">IF((INDIRECT("[EMPINFO.xlsm]"&amp;$O$2&amp;"!n92")) = 0," ",(INDIRECT("[EMPINFO.xlsm]"&amp;$O$2&amp;"!n92")
))</f>
        <v>#N/A</v>
      </c>
      <c r="AB92" s="445" t="s">
        <v>165</v>
      </c>
      <c r="AC92" s="446" t="e">
        <f ca="1">IF((INDIRECT("[EMPINFO.xlsm]"&amp;$O$2&amp;"!p92")) = 0," ",(INDIRECT("[EMPINFO.xlsm]"&amp;$O$2&amp;"!p92")
))</f>
        <v>#N/A</v>
      </c>
      <c r="AD92" s="446" t="e">
        <f ca="1">IF((INDIRECT("[EMPINFO.xlsm]"&amp;$O$2&amp;"!q92")) = 0," ",(INDIRECT("[EMPINFO.xlsm]"&amp;$O$2&amp;"!q92")
))</f>
        <v>#N/A</v>
      </c>
      <c r="AJ92" s="55"/>
      <c r="AK92" s="67"/>
    </row>
    <row r="93" spans="14:37" ht="16.149999999999999" customHeight="1" thickBot="1" x14ac:dyDescent="0.3">
      <c r="N93" s="404"/>
      <c r="O93" s="344">
        <f>+ID</f>
        <v>0</v>
      </c>
      <c r="P93" s="195" t="s">
        <v>172</v>
      </c>
      <c r="Q93" s="195"/>
      <c r="R93" s="194"/>
      <c r="S93" s="193">
        <f>INDEX(PYRL_Summary,MATCH(O91,months,0),11)</f>
        <v>0</v>
      </c>
      <c r="T93" s="196" t="e">
        <f ca="1">IF((INDEX(PYRL_Summary,MATCH(O91,months,0),19))&gt;=0.01, "Overtime Tax"," ")</f>
        <v>#N/A</v>
      </c>
      <c r="U93" s="197"/>
      <c r="V93" s="349" t="e">
        <f ca="1">INDEX(PYRL_Summary,MATCH(O91,months,0),19)</f>
        <v>#N/A</v>
      </c>
      <c r="X93" s="412">
        <f>+$O$11</f>
        <v>46235</v>
      </c>
      <c r="AJ93" s="55"/>
    </row>
    <row r="94" spans="14:37" ht="18.75" customHeight="1" thickBot="1" x14ac:dyDescent="0.35">
      <c r="N94" s="404"/>
      <c r="O94" s="188" t="s">
        <v>175</v>
      </c>
      <c r="P94" s="188"/>
      <c r="Q94" s="188"/>
      <c r="R94" s="200">
        <v>0</v>
      </c>
      <c r="S94" s="185" t="e">
        <f ca="1">INDEX(PYRL_Summary,MATCH(O91,months,0),10)</f>
        <v>#N/A</v>
      </c>
      <c r="T94" s="189" t="s">
        <v>176</v>
      </c>
      <c r="U94" s="190"/>
      <c r="V94" s="350" t="e">
        <f ca="1">INDEX(PYRL_Summary,MATCH(O91,months,0),15)</f>
        <v>#N/A</v>
      </c>
      <c r="X94" s="577"/>
    </row>
    <row r="95" spans="14:37" ht="15.75" customHeight="1" thickBot="1" x14ac:dyDescent="0.3">
      <c r="N95" s="404"/>
      <c r="O95" s="345" t="e">
        <f ca="1">IF(INDEX(INDAT,MATCH(O91,(INDIRECT(("months"),TRUE)),0),4)&gt;=0.01, "Performance Bonus"," ")</f>
        <v>#N/A</v>
      </c>
      <c r="P95" s="100" t="e">
        <f ca="1">IF((INDEX(PYRL_Summary,MATCH(O91,months,0),12)&gt;=0.01),(INDEX(PYRL_Summary,MATCH(O91,months,0),12)),0)</f>
        <v>#N/A</v>
      </c>
      <c r="Q95" s="99" t="e">
        <f ca="1">IF(INDEX(INDAT,MATCH(O91,(INDIRECT(("months"),TRUE)),0),5)&gt;=0.01, "Sup
 Bonus"," ")</f>
        <v>#N/A</v>
      </c>
      <c r="R95" s="100" t="e">
        <f ca="1">IF((INDEX(PYRL_Summary,MATCH(O91,months,0),13)&gt;=0.01),(INDEX(PYRL_Summary,MATCH(O91,months,0),13)),0)</f>
        <v>#N/A</v>
      </c>
      <c r="S95" s="102" t="e">
        <f ca="1">+P95+R95</f>
        <v>#N/A</v>
      </c>
      <c r="T95" s="889" t="e">
        <f>+IBAN</f>
        <v>#N/A</v>
      </c>
      <c r="U95" s="890"/>
      <c r="V95" s="891"/>
    </row>
    <row r="96" spans="14:37" ht="17.25" customHeight="1" thickBot="1" x14ac:dyDescent="0.3">
      <c r="N96" s="404"/>
      <c r="O96" s="346" t="e">
        <f ca="1">IF(INDEX(INDAT,MATCH(O91,(INDIRECT(("months"),TRUE)),0),14)&gt;=0.01, "Overtime Hours"," ")</f>
        <v>#N/A</v>
      </c>
      <c r="P96" s="199"/>
      <c r="Q96" s="199" t="e">
        <f ca="1">IF((INDEX(PYRL_Summary,MATCH(O91,months,0),16)&gt;=0.01),(INDEX(PYRL_Summary,MATCH(O91,months,0),16)&amp;" HRS"),0)</f>
        <v>#N/A</v>
      </c>
      <c r="R96" s="198"/>
      <c r="S96" s="355" t="e">
        <f ca="1">IF((INDEX(PYRL_Summary,MATCH(O91,months,0),18)&gt;=0.01),(INDEX(PYRL_Summary,MATCH(O91,months,0),18)&amp;" HRS"),0)</f>
        <v>#N/A</v>
      </c>
      <c r="T96" s="417" t="s">
        <v>178</v>
      </c>
      <c r="U96" s="418" t="e">
        <f ca="1">+(SUM(S90:S96))-(SUM(V91:V94))</f>
        <v>#N/A</v>
      </c>
      <c r="V96" s="418"/>
    </row>
    <row r="97" spans="14:37" ht="26.25" customHeight="1" thickBot="1" x14ac:dyDescent="0.3">
      <c r="N97" s="413" t="s">
        <v>180</v>
      </c>
      <c r="O97" s="352" t="s">
        <v>181</v>
      </c>
      <c r="P97" s="351">
        <f>+O81</f>
        <v>46204</v>
      </c>
      <c r="Q97" s="353" t="e">
        <f ca="1">(INDEX(PYRL_Summary,MATCH(P97,months,1),32))</f>
        <v>#N/A</v>
      </c>
      <c r="R97" s="354"/>
      <c r="S97" s="356"/>
      <c r="T97" s="544" t="str">
        <f>IF(Y97=0, "DO NOT INPUT HERE. USE HIGHLIGHTED ",Y97)</f>
        <v xml:space="preserve">DO NOT INPUT HERE. USE HIGHLIGHTED </v>
      </c>
      <c r="U97" s="545"/>
      <c r="V97" s="546"/>
      <c r="W97" s="73" t="s">
        <v>183</v>
      </c>
      <c r="Y97" s="436"/>
      <c r="Z97" s="78"/>
    </row>
    <row r="98" spans="14:37" ht="38.25" customHeight="1" thickBot="1" x14ac:dyDescent="0.3">
      <c r="N98" s="406" t="e">
        <f ca="1">INDEX(PYRL_Summary,MATCH(O91,months,0),4)</f>
        <v>#N/A</v>
      </c>
      <c r="O98" s="407" t="s">
        <v>187</v>
      </c>
      <c r="P98" s="408">
        <f>+O81</f>
        <v>46204</v>
      </c>
      <c r="Q98" s="409" t="e">
        <f ca="1">INDEX(PYRL_Summary,MATCH(P98,months,0),31)</f>
        <v>#N/A</v>
      </c>
      <c r="R98" s="410" t="s">
        <v>188</v>
      </c>
      <c r="S98" s="411" t="e">
        <f ca="1">INDEX(PYRL_Summary,MATCH(O91,months,0),33)</f>
        <v>#N/A</v>
      </c>
      <c r="T98" s="428" t="str">
        <f>+Clinic_add</f>
        <v>7,  Mediatrix, Sanctuary Str. Zabbar ZBR1010
8, Mediatrix, Guze Duca Str., Qormi QRM9088</v>
      </c>
      <c r="U98" s="429"/>
      <c r="V98" s="430" t="s">
        <v>189</v>
      </c>
    </row>
    <row r="99" spans="14:37" ht="27" customHeight="1" thickBot="1" x14ac:dyDescent="0.3">
      <c r="N99" s="386" t="e">
        <f ca="1">IF(OR(INDEX(PYRL_Summary,MATCH(O101,months,0),28)="pt",INDEX(PYRL_Summary,MATCH(O101,months,0),28)="pt_casual"),0,IF(N102-N101&gt;=1,1,0))</f>
        <v>#N/A</v>
      </c>
      <c r="O99" s="894" t="e">
        <f>Surname&amp;" "&amp;Name</f>
        <v>#N/A</v>
      </c>
      <c r="P99" s="374" t="e">
        <f>+IDCard</f>
        <v>#N/A</v>
      </c>
      <c r="Q99" s="375" t="e">
        <f>+designation</f>
        <v>#N/A</v>
      </c>
      <c r="R99" s="376" t="s">
        <v>156</v>
      </c>
      <c r="S99" s="377" t="e">
        <f ca="1">+S100+S103+S102+S104+S105+S106+S101</f>
        <v>#N/A</v>
      </c>
      <c r="T99" s="378" t="e">
        <f>+FS4_Status</f>
        <v>#N/A</v>
      </c>
      <c r="U99" s="572" t="e">
        <f ca="1">INDEX(INDAT,MATCH(O101,(INDIRECT(("months"),TRUE)),0),26)</f>
        <v>#N/A</v>
      </c>
      <c r="V99" s="379" t="e">
        <f ca="1">INDEX(INDAT,MATCH(O101,(INDIRECT(("months"),TRUE)),0),25)</f>
        <v>#N/A</v>
      </c>
      <c r="W99" s="422">
        <f>+$O$12</f>
        <v>46266</v>
      </c>
      <c r="X99" s="423" t="s">
        <v>165</v>
      </c>
      <c r="Y99" s="423"/>
      <c r="Z99" s="73"/>
      <c r="AA99" s="73"/>
    </row>
    <row r="100" spans="14:37" ht="20.25" customHeight="1" thickBot="1" x14ac:dyDescent="0.3">
      <c r="N100" s="387" t="e">
        <f ca="1">IF(AND(OR((INDEX(PYRL_Summary,MATCH(O101,months,0),28))="PT",( INDEX(PYRL_Summary,MATCH(O101,months,0),28))="PT_casual" ),(N102-N101&gt;=1)),1,0)</f>
        <v>#N/A</v>
      </c>
      <c r="O100" s="895"/>
      <c r="P100" s="416" t="s">
        <v>161</v>
      </c>
      <c r="Q100" s="380" t="e">
        <f ca="1">INDEX(PYRL_Summary,MATCH(O101,months,0),5)</f>
        <v>#N/A</v>
      </c>
      <c r="R100" s="381" t="s">
        <v>94</v>
      </c>
      <c r="S100" s="382" t="e">
        <f ca="1">INDEX(PYRL_Summary,MATCH(O101,months,0),7)</f>
        <v>#N/A</v>
      </c>
      <c r="T100" s="383" t="s">
        <v>162</v>
      </c>
      <c r="U100" s="384" t="s">
        <v>163</v>
      </c>
      <c r="V100" s="385" t="s">
        <v>164</v>
      </c>
      <c r="Z100" s="446" t="e">
        <f ca="1">IF((INDIRECT("[EMPINFO.xlsm]"&amp;$O$2&amp;"!M100")) = 0," ",(INDIRECT("[EMPINFO.xlsm]"&amp;$O$2&amp;"!M100")
))</f>
        <v>#N/A</v>
      </c>
      <c r="AA100" s="446" t="e">
        <f ca="1">IF((INDIRECT("[EMPINFO.xlsm]"&amp;$O$2&amp;"!n100")) = 0," ",(INDIRECT("[EMPINFO.xlsm]"&amp;$O$2&amp;"!n100")
))</f>
        <v>#N/A</v>
      </c>
      <c r="AB100" s="444" t="s">
        <v>165</v>
      </c>
      <c r="AC100" s="446" t="e">
        <f ca="1">IF((INDIRECT("[EMPINFO.xlsm]"&amp;$O$2&amp;"!p100")) = 0," ",(INDIRECT("[EMPINFO.xlsm]"&amp;$O$2&amp;"!p100")
))</f>
        <v>#N/A</v>
      </c>
      <c r="AD100" s="446" t="e">
        <f ca="1">IF((INDIRECT("[EMPINFO.xlsm]"&amp;$O$2&amp;"!q100")) = 0," ",(INDIRECT("[EMPINFO.xlsm]"&amp;$O$2&amp;"!q100")
))</f>
        <v>#N/A</v>
      </c>
    </row>
    <row r="101" spans="14:37" ht="15.75" customHeight="1" thickBot="1" x14ac:dyDescent="0.3">
      <c r="N101" s="419" t="e">
        <f>IF(TERMDATE&lt;O101,0,IF(StartEmp&lt;=O101,O101,(IF(AND(StartEmp&gt;=O101,StartEmp&lt;=W109),StartEmp,0))))</f>
        <v>#N/A</v>
      </c>
      <c r="O101" s="343">
        <f>+W99</f>
        <v>46266</v>
      </c>
      <c r="P101" s="371" t="str">
        <f>IF(AN84="PT","Hours Worked","Extra/ under Hours")</f>
        <v>Extra/ under Hours</v>
      </c>
      <c r="Q101" s="99"/>
      <c r="R101" s="99" t="e">
        <f ca="1">INDEX(PYRL_Summary,MATCH(O101,months,0),41)&amp;" HRS"</f>
        <v>#N/A</v>
      </c>
      <c r="S101" s="367" t="e">
        <f ca="1">INDEX(PYRL_Summary,MATCH(O101,months,0),41)*sephrrt</f>
        <v>#N/A</v>
      </c>
      <c r="T101" s="372" t="e">
        <f ca="1">+U101+V101</f>
        <v>#N/A</v>
      </c>
      <c r="U101" s="372" t="e">
        <f ca="1">INDEX(PYRL_Summary,MATCH(O101,months,0),22)</f>
        <v>#N/A</v>
      </c>
      <c r="V101" s="373" t="e">
        <f ca="1">INDEX(PYRL_Summary,MATCH(O101,months,0),23)</f>
        <v>#N/A</v>
      </c>
      <c r="Z101" s="446" t="e">
        <f ca="1">IF((INDIRECT("[EMPINFO.xlsm]"&amp;$O$2&amp;"!M101")) = 0," ",(INDIRECT("[EMPINFO.xlsm]"&amp;$O$2&amp;"!M101")
))</f>
        <v>#N/A</v>
      </c>
      <c r="AA101" s="446" t="e">
        <f ca="1">IF((INDIRECT("[EMPINFO.xlsm]"&amp;$O$2&amp;"!n101")) = 0," ",(INDIRECT("[EMPINFO.xlsm]"&amp;$O$2&amp;"!n101")
))</f>
        <v>#N/A</v>
      </c>
      <c r="AB101" s="445" t="s">
        <v>165</v>
      </c>
      <c r="AC101" s="446" t="e">
        <f ca="1">IF((INDIRECT("[EMPINFO.xlsm]"&amp;$O$2&amp;"!p101")) = 0," ",(INDIRECT("[EMPINFO.xlsm]"&amp;$O$2&amp;"!p101")
))</f>
        <v>#N/A</v>
      </c>
      <c r="AD101" s="446" t="e">
        <f ca="1">IF((INDIRECT("[EMPINFO.xlsm]"&amp;$O$2&amp;"!q101")) = 0," ",(INDIRECT("[EMPINFO.xlsm]"&amp;$O$2&amp;"!q101")
))</f>
        <v>#N/A</v>
      </c>
    </row>
    <row r="102" spans="14:37" ht="21.75" customHeight="1" thickBot="1" x14ac:dyDescent="0.3">
      <c r="N102" s="419" t="e">
        <f>+IF(StartEmp&gt;=W109,0,IF(TERMDATE&gt;=W109,W109-1,(IF(AND(TERMDATE&lt;W109,TERMDATE&gt;=O101),TERMDATE,0))))</f>
        <v>#N/A</v>
      </c>
      <c r="O102" s="341" t="s">
        <v>170</v>
      </c>
      <c r="P102" s="342" t="s">
        <v>171</v>
      </c>
      <c r="Q102" s="300">
        <f>+O91</f>
        <v>46235</v>
      </c>
      <c r="R102" s="184" t="e">
        <f ca="1">INDEX(PYRL_Summary,MATCH(O91,months,0),39)&amp;" HRS"</f>
        <v>#N/A</v>
      </c>
      <c r="S102" s="193" t="e">
        <f ca="1">INDEX(PYRL_Summary,MATCH(O91,months,0),9)</f>
        <v>#N/A</v>
      </c>
      <c r="T102" s="186" t="s">
        <v>72</v>
      </c>
      <c r="U102" s="187" t="e">
        <f ca="1">INDEX(PYRL_Summary,MATCH(O101,months,0),25)</f>
        <v>#N/A</v>
      </c>
      <c r="V102" s="348"/>
      <c r="Z102" s="446" t="e">
        <f ca="1">IF((INDIRECT("[EMPINFO.xlsm]"&amp;$O$2&amp;"!M102")) = 0," ",(INDIRECT("[EMPINFO.xlsm]"&amp;$O$2&amp;"!M102")
))</f>
        <v>#N/A</v>
      </c>
      <c r="AA102" s="446" t="e">
        <f ca="1">IF((INDIRECT("[EMPINFO.xlsm]"&amp;$O$2&amp;"!n102")) = 0," ",(INDIRECT("[EMPINFO.xlsm]"&amp;$O$2&amp;"!n102")
))</f>
        <v>#N/A</v>
      </c>
      <c r="AB102" s="445" t="s">
        <v>165</v>
      </c>
      <c r="AC102" s="446" t="e">
        <f ca="1">IF((INDIRECT("[EMPINFO.xlsm]"&amp;$O$2&amp;"!p102")) = 0," ",(INDIRECT("[EMPINFO.xlsm]"&amp;$O$2&amp;"!p102")
))</f>
        <v>#N/A</v>
      </c>
      <c r="AD102" s="446" t="e">
        <f ca="1">IF((INDIRECT("[EMPINFO.xlsm]"&amp;$O$2&amp;"!q102")) = 0," ",(INDIRECT("[EMPINFO.xlsm]"&amp;$O$2&amp;"!q102")
))</f>
        <v>#N/A</v>
      </c>
      <c r="AJ102" s="55"/>
      <c r="AK102" s="67"/>
    </row>
    <row r="103" spans="14:37" ht="16.149999999999999" customHeight="1" thickBot="1" x14ac:dyDescent="0.3">
      <c r="N103" s="420"/>
      <c r="O103" s="344">
        <f>+ID</f>
        <v>0</v>
      </c>
      <c r="P103" s="365" t="s">
        <v>172</v>
      </c>
      <c r="Q103" s="365"/>
      <c r="R103" s="366"/>
      <c r="S103" s="367" t="e">
        <f ca="1">INDEX(PYRL_Summary,MATCH(O101,months,0),11)</f>
        <v>#N/A</v>
      </c>
      <c r="T103" s="368" t="e">
        <f ca="1">IF((INDEX(PYRL_Summary,MATCH(O101,months,0),19))&gt;=0.01, "Overtime Tax"," ")</f>
        <v>#N/A</v>
      </c>
      <c r="U103" s="369"/>
      <c r="V103" s="370" t="e">
        <f ca="1">INDEX(PYRL_Summary,MATCH(O101,months,0),19)</f>
        <v>#N/A</v>
      </c>
      <c r="X103" s="422">
        <f>+$O$12</f>
        <v>46266</v>
      </c>
      <c r="AJ103" s="55"/>
    </row>
    <row r="104" spans="14:37" ht="21.75" customHeight="1" thickBot="1" x14ac:dyDescent="0.35">
      <c r="N104" s="420"/>
      <c r="O104" s="188" t="s">
        <v>175</v>
      </c>
      <c r="P104" s="188"/>
      <c r="Q104" s="188"/>
      <c r="R104" s="200">
        <v>0</v>
      </c>
      <c r="S104" s="185" t="e">
        <f ca="1">INDEX(PYRL_Summary,MATCH(O101,months,0),10)</f>
        <v>#N/A</v>
      </c>
      <c r="T104" s="189" t="s">
        <v>176</v>
      </c>
      <c r="U104" s="190"/>
      <c r="V104" s="350" t="e">
        <f ca="1">INDEX(PYRL_Summary,MATCH(O101,months,0),15)</f>
        <v>#N/A</v>
      </c>
      <c r="X104" s="577"/>
    </row>
    <row r="105" spans="14:37" ht="15.75" customHeight="1" thickBot="1" x14ac:dyDescent="0.3">
      <c r="N105" s="420"/>
      <c r="O105" s="345" t="e">
        <f ca="1">IF(INDEX(INDAT,MATCH(O101,(INDIRECT(("months"),TRUE)),0),4)&gt;=0.01, "Performance Bonus"," ")</f>
        <v>#N/A</v>
      </c>
      <c r="P105" s="100" t="e">
        <f ca="1">IF((INDEX(PYRL_Summary,MATCH(O101,months,0),12)&gt;=0.01),(INDEX(PYRL_Summary,MATCH(O101,months,0),12)),0)</f>
        <v>#N/A</v>
      </c>
      <c r="Q105" s="99" t="e">
        <f ca="1">IF(INDEX(INDAT,MATCH(O101,(INDIRECT(("months"),TRUE)),0),5)&gt;=0.01, "Sup
 Bonus"," ")</f>
        <v>#N/A</v>
      </c>
      <c r="R105" s="100" t="e">
        <f ca="1">IF((INDEX(PYRL_Summary,MATCH(O101,months,0),13)&gt;=0.01),(INDEX(PYRL_Summary,MATCH(O101,months,0),13)),0)</f>
        <v>#N/A</v>
      </c>
      <c r="S105" s="102" t="e">
        <f ca="1">+P105+R105</f>
        <v>#N/A</v>
      </c>
      <c r="T105" s="889" t="e">
        <f>+IBAN</f>
        <v>#N/A</v>
      </c>
      <c r="U105" s="890"/>
      <c r="V105" s="891"/>
    </row>
    <row r="106" spans="14:37" ht="17.25" customHeight="1" thickBot="1" x14ac:dyDescent="0.3">
      <c r="N106" s="420"/>
      <c r="O106" s="346" t="e">
        <f ca="1">IF(INDEX(INDAT,MATCH(O101,(INDIRECT(("months"),TRUE)),0),14)&gt;=0.01, "Overtime Hours"," ")</f>
        <v>#N/A</v>
      </c>
      <c r="P106" s="199"/>
      <c r="Q106" s="199" t="e">
        <f ca="1">IF((INDEX(PYRL_Summary,MATCH(O101,months,0),16)&gt;=0.01),(INDEX(PYRL_Summary,MATCH(O101,months,0),16)&amp;" HRS"),0)</f>
        <v>#N/A</v>
      </c>
      <c r="R106" s="198"/>
      <c r="S106" s="355" t="e">
        <f ca="1">IF((INDEX(PYRL_Summary,MATCH(O101,months,0),18)&gt;=0.01),(INDEX(PYRL_Summary,MATCH(O101,months,0),18)&amp;" HRS"),0)</f>
        <v>#N/A</v>
      </c>
      <c r="T106" s="417" t="s">
        <v>178</v>
      </c>
      <c r="U106" s="418" t="e">
        <f ca="1">+(SUM(S100:S106))-(SUM(V101:V104))</f>
        <v>#N/A</v>
      </c>
      <c r="V106" s="418"/>
    </row>
    <row r="107" spans="14:37" ht="24.75" customHeight="1" thickBot="1" x14ac:dyDescent="0.3">
      <c r="N107" s="421" t="s">
        <v>180</v>
      </c>
      <c r="O107" s="360" t="s">
        <v>181</v>
      </c>
      <c r="P107" s="361">
        <f>+O91</f>
        <v>46235</v>
      </c>
      <c r="Q107" s="362" t="e">
        <f ca="1">(INDEX(PYRL_Summary,MATCH(P107,months,1),32))</f>
        <v>#N/A</v>
      </c>
      <c r="R107" s="363"/>
      <c r="S107" s="364"/>
      <c r="T107" s="544" t="str">
        <f>IF(Y107=0, "DO NOT INPUT HERE. USE HIGHLIGHTED ",Y107)</f>
        <v xml:space="preserve">DO NOT INPUT HERE. USE HIGHLIGHTED </v>
      </c>
      <c r="U107" s="545"/>
      <c r="V107" s="546"/>
      <c r="W107" s="73" t="s">
        <v>183</v>
      </c>
      <c r="Y107" s="436"/>
      <c r="Z107" s="78"/>
    </row>
    <row r="108" spans="14:37" ht="38.25" customHeight="1" thickBot="1" x14ac:dyDescent="0.3">
      <c r="N108" s="388" t="e">
        <f ca="1">INDEX(PYRL_Summary,MATCH(O101,months,0),4)</f>
        <v>#N/A</v>
      </c>
      <c r="O108" s="389" t="s">
        <v>187</v>
      </c>
      <c r="P108" s="390">
        <f>+O91</f>
        <v>46235</v>
      </c>
      <c r="Q108" s="391" t="e">
        <f ca="1">INDEX(PYRL_Summary,MATCH(P108,months,0),31)</f>
        <v>#N/A</v>
      </c>
      <c r="R108" s="392" t="s">
        <v>188</v>
      </c>
      <c r="S108" s="393" t="e">
        <f ca="1">INDEX(PYRL_Summary,MATCH(O101,months,0),33)</f>
        <v>#N/A</v>
      </c>
      <c r="T108" s="425" t="str">
        <f>+Clinic_add</f>
        <v>7,  Mediatrix, Sanctuary Str. Zabbar ZBR1010
8, Mediatrix, Guze Duca Str., Qormi QRM9088</v>
      </c>
      <c r="U108" s="426"/>
      <c r="V108" s="427" t="s">
        <v>189</v>
      </c>
    </row>
    <row r="109" spans="14:37" ht="27" customHeight="1" thickBot="1" x14ac:dyDescent="0.3">
      <c r="N109" s="403" t="e">
        <f ca="1">IF(OR(INDEX(PYRL_Summary,MATCH(W109,months,0),28)="pt",INDEX(PYRL_Summary,MATCH(W109,months,0),28)="pt_casual"),0,IF(N112-N111&gt;=1,1,0))</f>
        <v>#N/A</v>
      </c>
      <c r="O109" s="908" t="e">
        <f>Surname&amp;" "&amp;Name</f>
        <v>#N/A</v>
      </c>
      <c r="P109" s="394" t="e">
        <f>+IDCard</f>
        <v>#N/A</v>
      </c>
      <c r="Q109" s="395" t="e">
        <f>+designation</f>
        <v>#N/A</v>
      </c>
      <c r="R109" s="396" t="s">
        <v>156</v>
      </c>
      <c r="S109" s="397" t="e">
        <f ca="1">+S110+S113+S112+S114+S115+S116+S111</f>
        <v>#N/A</v>
      </c>
      <c r="T109" s="431" t="e">
        <f>+FS4_Status</f>
        <v>#N/A</v>
      </c>
      <c r="U109" s="573" t="e">
        <f ca="1">INDEX(INDAT,MATCH(W109,(INDIRECT(("months"),TRUE)),0),26)</f>
        <v>#N/A</v>
      </c>
      <c r="V109" s="432" t="e">
        <f ca="1">INDEX(INDAT,MATCH(W109,(INDIRECT(("months"),TRUE)),0),25)</f>
        <v>#N/A</v>
      </c>
      <c r="W109" s="412">
        <f>+$O$111</f>
        <v>46296</v>
      </c>
      <c r="X109" s="424"/>
      <c r="Y109" s="424"/>
      <c r="Z109" s="73"/>
      <c r="AA109" s="73"/>
    </row>
    <row r="110" spans="14:37" ht="20.25" customHeight="1" thickBot="1" x14ac:dyDescent="0.3">
      <c r="N110" s="404" t="e">
        <f ca="1">IF(AND(OR((INDEX(PYRL_Summary,MATCH(W109,months,0),28))="PT",( INDEX(PYRL_Summary,MATCH(W109,months,0),28))="PT_casual" ),(N112-N111&gt;=1)),1,0)</f>
        <v>#N/A</v>
      </c>
      <c r="O110" s="909"/>
      <c r="P110" s="415" t="s">
        <v>161</v>
      </c>
      <c r="Q110" s="414" t="e">
        <f ca="1">INDEX(PYRL_Summary,MATCH(W109,months,0),5)</f>
        <v>#N/A</v>
      </c>
      <c r="R110" s="398" t="s">
        <v>94</v>
      </c>
      <c r="S110" s="399" t="e">
        <f ca="1">INDEX(PYRL_Summary,MATCH(W109,months,0),7)</f>
        <v>#N/A</v>
      </c>
      <c r="T110" s="400" t="s">
        <v>162</v>
      </c>
      <c r="U110" s="401" t="s">
        <v>163</v>
      </c>
      <c r="V110" s="402" t="s">
        <v>164</v>
      </c>
      <c r="Z110" s="446" t="e">
        <f ca="1">IF((INDIRECT("[EMPINFO.xlsm]"&amp;$O$2&amp;"!M110")) = 0," ",(INDIRECT("[EMPINFO.xlsm]"&amp;$O$2&amp;"!M110")
))</f>
        <v>#N/A</v>
      </c>
      <c r="AA110" s="446" t="e">
        <f ca="1">IF((INDIRECT("[EMPINFO.xlsm]"&amp;$O$2&amp;"!n110")) = 0," ",(INDIRECT("[EMPINFO.xlsm]"&amp;$O$2&amp;"!n110")
))</f>
        <v>#N/A</v>
      </c>
      <c r="AB110" s="444" t="s">
        <v>165</v>
      </c>
      <c r="AC110" s="446" t="e">
        <f ca="1">IF((INDIRECT("[EMPINFO.xlsm]"&amp;$O$2&amp;"!p110")) = 0," ",(INDIRECT("[EMPINFO.xlsm]"&amp;$O$2&amp;"!p110")
))</f>
        <v>#N/A</v>
      </c>
      <c r="AD110" s="446" t="e">
        <f ca="1">IF((INDIRECT("[EMPINFO.xlsm]"&amp;$O$2&amp;"!q110")) = 0," ",(INDIRECT("[EMPINFO.xlsm]"&amp;$O$2&amp;"!q110")
))</f>
        <v>#N/A</v>
      </c>
    </row>
    <row r="111" spans="14:37" ht="15.75" customHeight="1" thickBot="1" x14ac:dyDescent="0.3">
      <c r="N111" s="405" t="e">
        <f>IF(TERMDATE&lt;W109,0,IF(StartEmp&lt;=W109,W109,(IF(AND(StartEmp&gt;=W109,StartEmp&lt;=W119),StartEmp,0))))</f>
        <v>#N/A</v>
      </c>
      <c r="O111" s="343">
        <f>+O13</f>
        <v>46296</v>
      </c>
      <c r="P111" s="191" t="str">
        <f>IF(AN94="PT","Hours Worked","Extra/ under Hours")</f>
        <v>Extra/ under Hours</v>
      </c>
      <c r="Q111" s="192"/>
      <c r="R111" s="192" t="e">
        <f ca="1">INDEX(PYRL_Summary,MATCH(W109,months,0),41)&amp;" HRS"</f>
        <v>#N/A</v>
      </c>
      <c r="S111" s="193" t="e">
        <f ca="1">INDEX(PYRL_Summary,MATCH(W109,months,0),41)*octhrrt</f>
        <v>#N/A</v>
      </c>
      <c r="T111" s="357" t="e">
        <f ca="1">+U111+V111</f>
        <v>#N/A</v>
      </c>
      <c r="U111" s="358" t="e">
        <f ca="1">INDEX(PYRL_Summary,MATCH(W109,months,0),22)</f>
        <v>#N/A</v>
      </c>
      <c r="V111" s="359" t="e">
        <f ca="1">INDEX(PYRL_Summary,MATCH(W109,months,0),23)</f>
        <v>#N/A</v>
      </c>
      <c r="Z111" s="446" t="e">
        <f ca="1">IF((INDIRECT("[EMPINFO.xlsm]"&amp;$O$2&amp;"!M111")) = 0," ",(INDIRECT("[EMPINFO.xlsm]"&amp;$O$2&amp;"!M111")
))</f>
        <v>#N/A</v>
      </c>
      <c r="AA111" s="446" t="e">
        <f ca="1">IF((INDIRECT("[EMPINFO.xlsm]"&amp;$O$2&amp;"!n111")) = 0," ",(INDIRECT("[EMPINFO.xlsm]"&amp;$O$2&amp;"!n111")
))</f>
        <v>#N/A</v>
      </c>
      <c r="AB111" s="445" t="s">
        <v>165</v>
      </c>
      <c r="AC111" s="446" t="e">
        <f ca="1">IF((INDIRECT("[EMPINFO.xlsm]"&amp;$O$2&amp;"!p111")) = 0," ",(INDIRECT("[EMPINFO.xlsm]"&amp;$O$2&amp;"!p111")
))</f>
        <v>#N/A</v>
      </c>
      <c r="AD111" s="446" t="e">
        <f ca="1">IF((INDIRECT("[EMPINFO.xlsm]"&amp;$O$2&amp;"!q111")) = 0," ",(INDIRECT("[EMPINFO.xlsm]"&amp;$O$2&amp;"!q111")
))</f>
        <v>#N/A</v>
      </c>
    </row>
    <row r="112" spans="14:37" ht="15" customHeight="1" thickBot="1" x14ac:dyDescent="0.3">
      <c r="N112" s="405" t="e">
        <f>+IF(StartEmp&gt;=W119,0,IF(TERMDATE&gt;=W119,W119-1,(IF(AND(TERMDATE&lt;W119,TERMDATE&gt;=W109),TERMDATE,0))))</f>
        <v>#N/A</v>
      </c>
      <c r="O112" s="341" t="s">
        <v>170</v>
      </c>
      <c r="P112" s="342" t="s">
        <v>171</v>
      </c>
      <c r="Q112" s="300">
        <f>+O101</f>
        <v>46266</v>
      </c>
      <c r="R112" s="184" t="e">
        <f ca="1">INDEX(PYRL_Summary,MATCH(O101,months,0),39)&amp;" HRS"</f>
        <v>#N/A</v>
      </c>
      <c r="S112" s="193" t="e">
        <f ca="1">INDEX(PYRL_Summary,MATCH(O101,months,0),9)</f>
        <v>#N/A</v>
      </c>
      <c r="T112" s="186" t="s">
        <v>72</v>
      </c>
      <c r="U112" s="187" t="e">
        <f ca="1">INDEX(PYRL_Summary,MATCH(W109,months,0),25)</f>
        <v>#N/A</v>
      </c>
      <c r="V112" s="348"/>
      <c r="Z112" s="446" t="e">
        <f ca="1">IF((INDIRECT("[EMPINFO.xlsm]"&amp;$O$2&amp;"!M112")) = 0," ",(INDIRECT("[EMPINFO.xlsm]"&amp;$O$2&amp;"!M112")
))</f>
        <v>#N/A</v>
      </c>
      <c r="AA112" s="446" t="e">
        <f ca="1">IF((INDIRECT("[EMPINFO.xlsm]"&amp;$O$2&amp;"!n112")) = 0," ",(INDIRECT("[EMPINFO.xlsm]"&amp;$O$2&amp;"!n112")
))</f>
        <v>#N/A</v>
      </c>
      <c r="AB112" s="445" t="s">
        <v>165</v>
      </c>
      <c r="AC112" s="446" t="e">
        <f ca="1">IF((INDIRECT("[EMPINFO.xlsm]"&amp;$O$2&amp;"!p112")) = 0," ",(INDIRECT("[EMPINFO.xlsm]"&amp;$O$2&amp;"!p112")
))</f>
        <v>#N/A</v>
      </c>
      <c r="AD112" s="446" t="e">
        <f ca="1">IF((INDIRECT("[EMPINFO.xlsm]"&amp;$O$2&amp;"!q112")) = 0," ",(INDIRECT("[EMPINFO.xlsm]"&amp;$O$2&amp;"!q112")
))</f>
        <v>#N/A</v>
      </c>
      <c r="AJ112" s="55"/>
      <c r="AK112" s="67"/>
    </row>
    <row r="113" spans="14:37" ht="16.149999999999999" customHeight="1" thickBot="1" x14ac:dyDescent="0.3">
      <c r="N113" s="404"/>
      <c r="O113" s="344">
        <f>+ID</f>
        <v>0</v>
      </c>
      <c r="P113" s="195" t="s">
        <v>172</v>
      </c>
      <c r="Q113" s="195"/>
      <c r="R113" s="194"/>
      <c r="S113" s="193">
        <f>INDEX(PYRL_Summary,MATCH(W109,months,0),11)</f>
        <v>0</v>
      </c>
      <c r="T113" s="196" t="e">
        <f ca="1">IF((INDEX(PYRL_Summary,MATCH(W109,months,0),19))&gt;=0.01, "Overtime Tax"," ")</f>
        <v>#N/A</v>
      </c>
      <c r="U113" s="197"/>
      <c r="V113" s="349" t="e">
        <f ca="1">INDEX(PYRL_Summary,MATCH(W109,months,0),19)</f>
        <v>#N/A</v>
      </c>
      <c r="X113" s="412">
        <f>+$O$111</f>
        <v>46296</v>
      </c>
      <c r="AJ113" s="55"/>
    </row>
    <row r="114" spans="14:37" ht="18" customHeight="1" thickBot="1" x14ac:dyDescent="0.35">
      <c r="N114" s="404"/>
      <c r="O114" s="188" t="s">
        <v>175</v>
      </c>
      <c r="P114" s="188"/>
      <c r="Q114" s="188"/>
      <c r="R114" s="200">
        <v>0</v>
      </c>
      <c r="S114" s="185" t="e">
        <f ca="1">INDEX(PYRL_Summary,MATCH(W109,months,0),10)</f>
        <v>#N/A</v>
      </c>
      <c r="T114" s="189" t="s">
        <v>176</v>
      </c>
      <c r="U114" s="190"/>
      <c r="V114" s="350" t="e">
        <f ca="1">INDEX(PYRL_Summary,MATCH(W109,months,0),15)</f>
        <v>#N/A</v>
      </c>
      <c r="X114" s="577"/>
    </row>
    <row r="115" spans="14:37" ht="15.75" customHeight="1" thickBot="1" x14ac:dyDescent="0.3">
      <c r="N115" s="404"/>
      <c r="O115" s="345" t="e">
        <f ca="1">IF(INDEX(INDAT,MATCH(W109,(INDIRECT(("months"),TRUE)),0),4)&gt;=0.01, "Performance Bonus"," ")</f>
        <v>#N/A</v>
      </c>
      <c r="P115" s="100" t="e">
        <f ca="1">IF((INDEX(PYRL_Summary,MATCH(W109,months,0),12)&gt;=0.01),(INDEX(PYRL_Summary,MATCH(W109,months,0),12)),0)</f>
        <v>#N/A</v>
      </c>
      <c r="Q115" s="99" t="e">
        <f ca="1">IF(INDEX(INDAT,MATCH(W109,(INDIRECT(("months"),TRUE)),0),5)&gt;=0.01, "Sup
 Bonus"," ")</f>
        <v>#N/A</v>
      </c>
      <c r="R115" s="100" t="e">
        <f ca="1">IF((INDEX(PYRL_Summary,MATCH(W109,months,0),13)&gt;=0.01),(INDEX(PYRL_Summary,MATCH(W109,months,0),13)),0)</f>
        <v>#N/A</v>
      </c>
      <c r="S115" s="102" t="e">
        <f ca="1">+P115+R115</f>
        <v>#N/A</v>
      </c>
      <c r="T115" s="889" t="e">
        <f>+IBAN</f>
        <v>#N/A</v>
      </c>
      <c r="U115" s="890"/>
      <c r="V115" s="891"/>
    </row>
    <row r="116" spans="14:37" ht="17.25" customHeight="1" thickBot="1" x14ac:dyDescent="0.3">
      <c r="N116" s="404"/>
      <c r="O116" s="346" t="e">
        <f ca="1">IF(INDEX(INDAT,MATCH(W109,(INDIRECT(("months"),TRUE)),0),14)&gt;=0.01, "Overtime Hours"," ")</f>
        <v>#N/A</v>
      </c>
      <c r="P116" s="199"/>
      <c r="Q116" s="199" t="e">
        <f ca="1">IF((INDEX(PYRL_Summary,MATCH(W109,months,0),16)&gt;=0.01),(INDEX(PYRL_Summary,MATCH(W109,months,0),16)&amp;" HRS"),0)</f>
        <v>#N/A</v>
      </c>
      <c r="R116" s="198"/>
      <c r="S116" s="355" t="e">
        <f ca="1">IF((INDEX(PYRL_Summary,MATCH(W109,months,0),18)&gt;=0.01),(INDEX(PYRL_Summary,MATCH(W109,months,0),18)&amp;" HRS"),0)</f>
        <v>#N/A</v>
      </c>
      <c r="T116" s="417" t="s">
        <v>178</v>
      </c>
      <c r="U116" s="418" t="e">
        <f ca="1">+(SUM(S110:S116))-(SUM(V111:V114))</f>
        <v>#N/A</v>
      </c>
      <c r="V116" s="418"/>
    </row>
    <row r="117" spans="14:37" ht="24.75" customHeight="1" thickBot="1" x14ac:dyDescent="0.3">
      <c r="N117" s="413" t="s">
        <v>180</v>
      </c>
      <c r="O117" s="352" t="s">
        <v>181</v>
      </c>
      <c r="P117" s="351">
        <f>+O101</f>
        <v>46266</v>
      </c>
      <c r="Q117" s="353" t="e">
        <f ca="1">(INDEX(PYRL_Summary,MATCH(P117,months,1),32))</f>
        <v>#N/A</v>
      </c>
      <c r="R117" s="354"/>
      <c r="S117" s="356"/>
      <c r="T117" s="544" t="str">
        <f>IF(Y117=0, "DO NOT INPUT HERE. USE HIGHLIGHTED ",Y117)</f>
        <v xml:space="preserve">DO NOT INPUT HERE. USE HIGHLIGHTED </v>
      </c>
      <c r="U117" s="545"/>
      <c r="V117" s="546"/>
      <c r="W117" s="73" t="s">
        <v>183</v>
      </c>
      <c r="Y117" s="436"/>
      <c r="Z117" s="78"/>
    </row>
    <row r="118" spans="14:37" ht="38.25" customHeight="1" thickBot="1" x14ac:dyDescent="0.3">
      <c r="N118" s="406" t="e">
        <f ca="1">INDEX(PYRL_Summary,MATCH(W109,months,0),4)</f>
        <v>#N/A</v>
      </c>
      <c r="O118" s="407" t="s">
        <v>187</v>
      </c>
      <c r="P118" s="408">
        <f>+O101</f>
        <v>46266</v>
      </c>
      <c r="Q118" s="409" t="e">
        <f ca="1">INDEX(PYRL_Summary,MATCH(P118,months,0),31)</f>
        <v>#N/A</v>
      </c>
      <c r="R118" s="410" t="s">
        <v>188</v>
      </c>
      <c r="S118" s="411" t="e">
        <f ca="1">INDEX(PYRL_Summary,MATCH(W109,months,0),33)</f>
        <v>#N/A</v>
      </c>
      <c r="T118" s="428" t="str">
        <f>+Clinic_add</f>
        <v>7,  Mediatrix, Sanctuary Str. Zabbar ZBR1010
8, Mediatrix, Guze Duca Str., Qormi QRM9088</v>
      </c>
      <c r="U118" s="429"/>
      <c r="V118" s="430" t="s">
        <v>189</v>
      </c>
    </row>
    <row r="119" spans="14:37" ht="27" customHeight="1" thickBot="1" x14ac:dyDescent="0.3">
      <c r="N119" s="386" t="e">
        <f ca="1">IF(OR(INDEX(PYRL_Summary,MATCH(W119,months,0),28)="pt",INDEX(PYRL_Summary,MATCH(W119,months,0),28)="pt_casual"),0,IF(N122-N121&gt;=1,1,0))</f>
        <v>#N/A</v>
      </c>
      <c r="O119" s="894" t="e">
        <f>Surname&amp;" "&amp;Name</f>
        <v>#N/A</v>
      </c>
      <c r="P119" s="374" t="e">
        <f>+IDCard</f>
        <v>#N/A</v>
      </c>
      <c r="Q119" s="375" t="e">
        <f>+designation</f>
        <v>#N/A</v>
      </c>
      <c r="R119" s="376" t="s">
        <v>156</v>
      </c>
      <c r="S119" s="377" t="e">
        <f ca="1">+S120+S123+S122+S124+S125+S126+S121</f>
        <v>#N/A</v>
      </c>
      <c r="T119" s="378" t="e">
        <f>+FS4_Status</f>
        <v>#N/A</v>
      </c>
      <c r="U119" s="572" t="e">
        <f ca="1">INDEX(INDAT,MATCH(W119,(INDIRECT(("months"),TRUE)),0),26)</f>
        <v>#N/A</v>
      </c>
      <c r="V119" s="379" t="e">
        <f ca="1">INDEX(INDAT,MATCH(W119,(INDIRECT(("months"),TRUE)),0),25)</f>
        <v>#N/A</v>
      </c>
      <c r="W119" s="422">
        <f>+$O$121</f>
        <v>46327</v>
      </c>
      <c r="X119" s="423"/>
      <c r="Y119" s="423"/>
      <c r="Z119" s="73"/>
      <c r="AA119" s="73"/>
    </row>
    <row r="120" spans="14:37" ht="20.25" customHeight="1" thickBot="1" x14ac:dyDescent="0.3">
      <c r="N120" s="387" t="e">
        <f ca="1">IF(AND(OR((INDEX(PYRL_Summary,MATCH(W119,months,0),28))="PT",( INDEX(PYRL_Summary,MATCH(W119,months,0),28))="PT_casual" ),(N122-N121&gt;=1)),1,0)</f>
        <v>#N/A</v>
      </c>
      <c r="O120" s="895"/>
      <c r="P120" s="416" t="s">
        <v>161</v>
      </c>
      <c r="Q120" s="380" t="e">
        <f ca="1">INDEX(PYRL_Summary,MATCH(W119,months,0),5)</f>
        <v>#N/A</v>
      </c>
      <c r="R120" s="381" t="s">
        <v>94</v>
      </c>
      <c r="S120" s="382" t="e">
        <f ca="1">INDEX(PYRL_Summary,MATCH(W119,months,0),7)</f>
        <v>#N/A</v>
      </c>
      <c r="T120" s="383" t="s">
        <v>162</v>
      </c>
      <c r="U120" s="384" t="s">
        <v>163</v>
      </c>
      <c r="V120" s="385" t="s">
        <v>164</v>
      </c>
      <c r="Z120" s="446" t="e">
        <f ca="1">IF((INDIRECT("[EMPINFO.xlsm]"&amp;$O$2&amp;"!M120")) = 0," ",(INDIRECT("[EMPINFO.xlsm]"&amp;$O$2&amp;"!M120")
))</f>
        <v>#N/A</v>
      </c>
      <c r="AA120" s="446" t="e">
        <f ca="1">IF((INDIRECT("[EMPINFO.xlsm]"&amp;$O$2&amp;"!n120")) = 0," ",(INDIRECT("[EMPINFO.xlsm]"&amp;$O$2&amp;"!n120")
))</f>
        <v>#N/A</v>
      </c>
      <c r="AB120" s="444" t="s">
        <v>165</v>
      </c>
      <c r="AC120" s="446" t="e">
        <f ca="1">IF((INDIRECT("[EMPINFO.xlsm]"&amp;$O$2&amp;"!p120")) = 0," ",(INDIRECT("[EMPINFO.xlsm]"&amp;$O$2&amp;"!p120")
))</f>
        <v>#N/A</v>
      </c>
      <c r="AD120" s="446" t="e">
        <f ca="1">IF((INDIRECT("[EMPINFO.xlsm]"&amp;$O$2&amp;"!q120")) = 0," ",(INDIRECT("[EMPINFO.xlsm]"&amp;$O$2&amp;"!q120")
))</f>
        <v>#N/A</v>
      </c>
    </row>
    <row r="121" spans="14:37" ht="15.75" customHeight="1" thickBot="1" x14ac:dyDescent="0.3">
      <c r="N121" s="419" t="e">
        <f>IF(TERMDATE&lt;W119,0,IF(StartEmp&lt;=W119,W119,(IF(AND(StartEmp&gt;=W119,StartEmp&lt;=W129),StartEmp,0))))</f>
        <v>#N/A</v>
      </c>
      <c r="O121" s="343">
        <f>+O14</f>
        <v>46327</v>
      </c>
      <c r="P121" s="371" t="str">
        <f>IF(AN104="PT","Hours Worked","Extra/ under Hours")</f>
        <v>Extra/ under Hours</v>
      </c>
      <c r="Q121" s="99"/>
      <c r="R121" s="99" t="e">
        <f ca="1">INDEX(PYRL_Summary,MATCH(W119,months,0),41)&amp;" HRS"</f>
        <v>#N/A</v>
      </c>
      <c r="S121" s="367" t="e">
        <f ca="1">INDEX(PYRL_Summary,MATCH(W119,months,0),41)*novhrrt</f>
        <v>#N/A</v>
      </c>
      <c r="T121" s="372" t="e">
        <f ca="1">+U121+V121</f>
        <v>#N/A</v>
      </c>
      <c r="U121" s="372" t="e">
        <f ca="1">INDEX(PYRL_Summary,MATCH(W119,months,0),22)</f>
        <v>#N/A</v>
      </c>
      <c r="V121" s="373" t="e">
        <f ca="1">INDEX(PYRL_Summary,MATCH(W119,months,0),23)</f>
        <v>#N/A</v>
      </c>
      <c r="Z121" s="446" t="e">
        <f ca="1">IF((INDIRECT("[EMPINFO.xlsm]"&amp;$O$2&amp;"!M121")) = 0," ",(INDIRECT("[EMPINFO.xlsm]"&amp;$O$2&amp;"!M121")
))</f>
        <v>#N/A</v>
      </c>
      <c r="AA121" s="446" t="e">
        <f ca="1">IF((INDIRECT("[EMPINFO.xlsm]"&amp;$O$2&amp;"!n121")) = 0," ",(INDIRECT("[EMPINFO.xlsm]"&amp;$O$2&amp;"!n121")
))</f>
        <v>#N/A</v>
      </c>
      <c r="AB121" s="445" t="s">
        <v>165</v>
      </c>
      <c r="AC121" s="446" t="e">
        <f ca="1">IF((INDIRECT("[EMPINFO.xlsm]"&amp;$O$2&amp;"!p121")) = 0," ",(INDIRECT("[EMPINFO.xlsm]"&amp;$O$2&amp;"!p121")
))</f>
        <v>#N/A</v>
      </c>
      <c r="AD121" s="446" t="e">
        <f ca="1">IF((INDIRECT("[EMPINFO.xlsm]"&amp;$O$2&amp;"!q121")) = 0," ",(INDIRECT("[EMPINFO.xlsm]"&amp;$O$2&amp;"!q121")
))</f>
        <v>#N/A</v>
      </c>
    </row>
    <row r="122" spans="14:37" ht="15" customHeight="1" thickBot="1" x14ac:dyDescent="0.3">
      <c r="N122" s="419" t="e">
        <f>+IF(StartEmp&gt;=W129,0,IF(TERMDATE&gt;=W129,W129-1,(IF(AND(TERMDATE&lt;W129,TERMDATE&gt;=W119),TERMDATE,0))))</f>
        <v>#N/A</v>
      </c>
      <c r="O122" s="341" t="s">
        <v>170</v>
      </c>
      <c r="P122" s="342" t="s">
        <v>171</v>
      </c>
      <c r="Q122" s="300">
        <f>+W109</f>
        <v>46296</v>
      </c>
      <c r="R122" s="184" t="e">
        <f ca="1">INDEX(PYRL_Summary,MATCH(W109,months,0),39)&amp;" HRS"</f>
        <v>#N/A</v>
      </c>
      <c r="S122" s="193" t="e">
        <f ca="1">INDEX(PYRL_Summary,MATCH(W109,months,0),9)</f>
        <v>#N/A</v>
      </c>
      <c r="T122" s="186" t="s">
        <v>72</v>
      </c>
      <c r="U122" s="187" t="e">
        <f ca="1">INDEX(PYRL_Summary,MATCH(W119,months,0),25)</f>
        <v>#N/A</v>
      </c>
      <c r="V122" s="348"/>
      <c r="Z122" s="446" t="e">
        <f ca="1">IF((INDIRECT("[EMPINFO.xlsm]"&amp;$O$2&amp;"!M122")) = 0," ",(INDIRECT("[EMPINFO.xlsm]"&amp;$O$2&amp;"!M122")
))</f>
        <v>#N/A</v>
      </c>
      <c r="AA122" s="446" t="e">
        <f ca="1">IF((INDIRECT("[EMPINFO.xlsm]"&amp;$O$2&amp;"!n122")) = 0," ",(INDIRECT("[EMPINFO.xlsm]"&amp;$O$2&amp;"!n122")
))</f>
        <v>#N/A</v>
      </c>
      <c r="AB122" s="445" t="s">
        <v>165</v>
      </c>
      <c r="AC122" s="446" t="e">
        <f ca="1">IF((INDIRECT("[EMPINFO.xlsm]"&amp;$O$2&amp;"!p122")) = 0," ",(INDIRECT("[EMPINFO.xlsm]"&amp;$O$2&amp;"!p122")
))</f>
        <v>#N/A</v>
      </c>
      <c r="AD122" s="446" t="e">
        <f ca="1">IF((INDIRECT("[EMPINFO.xlsm]"&amp;$O$2&amp;"!q122")) = 0," ",(INDIRECT("[EMPINFO.xlsm]"&amp;$O$2&amp;"!q122")
))</f>
        <v>#N/A</v>
      </c>
      <c r="AJ122" s="55"/>
      <c r="AK122" s="67"/>
    </row>
    <row r="123" spans="14:37" ht="16.149999999999999" customHeight="1" thickBot="1" x14ac:dyDescent="0.3">
      <c r="N123" s="420"/>
      <c r="O123" s="344">
        <f>+ID</f>
        <v>0</v>
      </c>
      <c r="P123" s="365" t="s">
        <v>172</v>
      </c>
      <c r="Q123" s="365"/>
      <c r="R123" s="366"/>
      <c r="S123" s="367">
        <f>INDEX(PYRL_Summary,MATCH(W119,months,0),11)</f>
        <v>0</v>
      </c>
      <c r="T123" s="368" t="e">
        <f ca="1">IF((INDEX(PYRL_Summary,MATCH(W119,months,0),19))&gt;=0.01, "Overtime Tax"," ")</f>
        <v>#N/A</v>
      </c>
      <c r="U123" s="369"/>
      <c r="V123" s="370" t="e">
        <f ca="1">INDEX(PYRL_Summary,MATCH(W119,months,0),19)</f>
        <v>#N/A</v>
      </c>
      <c r="X123" s="422">
        <f>+$O$121</f>
        <v>46327</v>
      </c>
      <c r="AJ123" s="55"/>
    </row>
    <row r="124" spans="14:37" ht="18.75" customHeight="1" thickBot="1" x14ac:dyDescent="0.35">
      <c r="N124" s="420"/>
      <c r="O124" s="188" t="s">
        <v>175</v>
      </c>
      <c r="P124" s="188"/>
      <c r="Q124" s="188"/>
      <c r="R124" s="200">
        <v>0</v>
      </c>
      <c r="S124" s="185" t="e">
        <f ca="1">INDEX(PYRL_Summary,MATCH(W119,months,0),10)</f>
        <v>#N/A</v>
      </c>
      <c r="T124" s="189" t="s">
        <v>176</v>
      </c>
      <c r="U124" s="190"/>
      <c r="V124" s="350" t="e">
        <f ca="1">INDEX(PYRL_Summary,MATCH(W119,months,0),15)</f>
        <v>#N/A</v>
      </c>
      <c r="X124" s="577"/>
    </row>
    <row r="125" spans="14:37" ht="15.75" customHeight="1" thickBot="1" x14ac:dyDescent="0.3">
      <c r="N125" s="420"/>
      <c r="O125" s="345" t="e">
        <f ca="1">IF(INDEX(INDAT,MATCH(W119,(INDIRECT(("months"),TRUE)),0),4)&gt;=0.01, "Performance Bonus"," ")</f>
        <v>#N/A</v>
      </c>
      <c r="P125" s="100" t="e">
        <f ca="1">IF((INDEX(PYRL_Summary,MATCH(W119,months,0),12)&gt;=0.01),(INDEX(PYRL_Summary,MATCH(W119,months,0),12)),0)</f>
        <v>#N/A</v>
      </c>
      <c r="Q125" s="99" t="e">
        <f ca="1">IF(INDEX(INDAT,MATCH(W119,(INDIRECT(("months"),TRUE)),0),5)&gt;=0.01, "Sup
 Bonus"," ")</f>
        <v>#N/A</v>
      </c>
      <c r="R125" s="100" t="e">
        <f ca="1">IF((INDEX(PYRL_Summary,MATCH(W119,months,0),13)&gt;=0.01),(INDEX(PYRL_Summary,MATCH(W119,months,0),13)),0)</f>
        <v>#N/A</v>
      </c>
      <c r="S125" s="102" t="e">
        <f ca="1">+P125+R125</f>
        <v>#N/A</v>
      </c>
      <c r="T125" s="889" t="e">
        <f>+IBAN</f>
        <v>#N/A</v>
      </c>
      <c r="U125" s="890"/>
      <c r="V125" s="891"/>
    </row>
    <row r="126" spans="14:37" ht="17.25" customHeight="1" thickBot="1" x14ac:dyDescent="0.3">
      <c r="N126" s="420"/>
      <c r="O126" s="346" t="e">
        <f ca="1">IF(INDEX(INDAT,MATCH(W119,(INDIRECT(("months"),TRUE)),0),14)&gt;=0.01, "Overtime Hours"," ")</f>
        <v>#N/A</v>
      </c>
      <c r="P126" s="199"/>
      <c r="Q126" s="199" t="e">
        <f ca="1">IF((INDEX(PYRL_Summary,MATCH(W119,months,0),16)&gt;=0.01),(INDEX(PYRL_Summary,MATCH(W119,months,0),16)&amp;" HRS"),0)</f>
        <v>#N/A</v>
      </c>
      <c r="R126" s="198"/>
      <c r="S126" s="355" t="e">
        <f ca="1">IF((INDEX(PYRL_Summary,MATCH(W119,months,0),18)&gt;=0.01),(INDEX(PYRL_Summary,MATCH(W119,months,0),18)&amp;" HRS"),0)</f>
        <v>#N/A</v>
      </c>
      <c r="T126" s="417" t="s">
        <v>178</v>
      </c>
      <c r="U126" s="418" t="e">
        <f ca="1">+(SUM(S120:S126))-(SUM(V121:V124))</f>
        <v>#N/A</v>
      </c>
      <c r="V126" s="418"/>
    </row>
    <row r="127" spans="14:37" ht="24" customHeight="1" thickBot="1" x14ac:dyDescent="0.3">
      <c r="N127" s="421" t="s">
        <v>180</v>
      </c>
      <c r="O127" s="360" t="s">
        <v>181</v>
      </c>
      <c r="P127" s="361">
        <f>+W109</f>
        <v>46296</v>
      </c>
      <c r="Q127" s="362" t="e">
        <f ca="1">(INDEX(PYRL_Summary,MATCH(P127,months,1),32))</f>
        <v>#N/A</v>
      </c>
      <c r="R127" s="363"/>
      <c r="S127" s="364"/>
      <c r="T127" s="544" t="str">
        <f>IF(Y127=0, "DO NOT INPUT HERE. USE HIGHLIGHTED ",Y127)</f>
        <v xml:space="preserve">DO NOT INPUT HERE. USE HIGHLIGHTED </v>
      </c>
      <c r="U127" s="545"/>
      <c r="V127" s="546"/>
      <c r="W127" s="73" t="s">
        <v>183</v>
      </c>
      <c r="Y127" s="436"/>
      <c r="Z127" s="78"/>
    </row>
    <row r="128" spans="14:37" ht="38.25" customHeight="1" thickBot="1" x14ac:dyDescent="0.3">
      <c r="N128" s="388" t="e">
        <f ca="1">INDEX(PYRL_Summary,MATCH(W119,months,0),4)</f>
        <v>#N/A</v>
      </c>
      <c r="O128" s="389" t="s">
        <v>187</v>
      </c>
      <c r="P128" s="390">
        <f>+W109</f>
        <v>46296</v>
      </c>
      <c r="Q128" s="391" t="e">
        <f ca="1">INDEX(PYRL_Summary,MATCH(P128,months,0),31)</f>
        <v>#N/A</v>
      </c>
      <c r="R128" s="392" t="s">
        <v>188</v>
      </c>
      <c r="S128" s="393" t="e">
        <f ca="1">INDEX(PYRL_Summary,MATCH(W119,months,0),33)</f>
        <v>#N/A</v>
      </c>
      <c r="T128" s="425" t="str">
        <f>+Clinic_add</f>
        <v>7,  Mediatrix, Sanctuary Str. Zabbar ZBR1010
8, Mediatrix, Guze Duca Str., Qormi QRM9088</v>
      </c>
      <c r="U128" s="426"/>
      <c r="V128" s="427" t="s">
        <v>189</v>
      </c>
    </row>
    <row r="129" spans="14:37" ht="27" customHeight="1" thickBot="1" x14ac:dyDescent="0.3">
      <c r="N129" s="403" t="e">
        <f ca="1">IF(OR(INDEX(PYRL_Summary,MATCH(W129,months,0),28)="pt",INDEX(PYRL_Summary,MATCH(W129,months,0),28)="pt_casual"),0,IF(N132-N131&gt;=1,1,0))</f>
        <v>#N/A</v>
      </c>
      <c r="O129" s="908" t="e">
        <f>Surname&amp;" "&amp;Name</f>
        <v>#N/A</v>
      </c>
      <c r="P129" s="394" t="e">
        <f>+IDCard</f>
        <v>#N/A</v>
      </c>
      <c r="Q129" s="395" t="e">
        <f>+designation</f>
        <v>#N/A</v>
      </c>
      <c r="R129" s="396" t="s">
        <v>156</v>
      </c>
      <c r="S129" s="397" t="e">
        <f ca="1">+S130+S133+S132+S134+S135+S136+S131</f>
        <v>#N/A</v>
      </c>
      <c r="T129" s="431" t="e">
        <f>+FS4_Status</f>
        <v>#N/A</v>
      </c>
      <c r="U129" s="573" t="e">
        <f ca="1">INDEX(INDAT,MATCH(W129,(INDIRECT(("months"),TRUE)),0),26)</f>
        <v>#N/A</v>
      </c>
      <c r="V129" s="432" t="e">
        <f ca="1">INDEX(INDAT,MATCH(W129,(INDIRECT(("months"),TRUE)),0),25)</f>
        <v>#N/A</v>
      </c>
      <c r="W129" s="412">
        <f>+$O$131</f>
        <v>46357</v>
      </c>
      <c r="X129" s="424"/>
      <c r="Y129" s="424"/>
      <c r="Z129" s="73"/>
      <c r="AA129" s="73"/>
    </row>
    <row r="130" spans="14:37" ht="20.25" customHeight="1" thickBot="1" x14ac:dyDescent="0.3">
      <c r="N130" s="404"/>
      <c r="O130" s="909"/>
      <c r="P130" s="415" t="s">
        <v>161</v>
      </c>
      <c r="Q130" s="414" t="e">
        <f ca="1">INDEX(PYRL_Summary,MATCH(W129,months,0),5)</f>
        <v>#N/A</v>
      </c>
      <c r="R130" s="398" t="s">
        <v>94</v>
      </c>
      <c r="S130" s="399" t="e">
        <f ca="1">INDEX(PYRL_Summary,MATCH(W129,months,0),7)</f>
        <v>#N/A</v>
      </c>
      <c r="T130" s="400" t="s">
        <v>162</v>
      </c>
      <c r="U130" s="401" t="s">
        <v>163</v>
      </c>
      <c r="V130" s="402" t="s">
        <v>164</v>
      </c>
      <c r="Z130" s="446" t="e">
        <f ca="1">IF((INDIRECT("[EMPINFO.xlsm]"&amp;$O$2&amp;"!M130")) = 0," ",(INDIRECT("[EMPINFO.xlsm]"&amp;$O$2&amp;"!M130")
))</f>
        <v>#N/A</v>
      </c>
      <c r="AA130" s="446" t="e">
        <f ca="1">IF((INDIRECT("[EMPINFO.xlsm]"&amp;$O$2&amp;"!n130")) = 0," ",(INDIRECT("[EMPINFO.xlsm]"&amp;$O$2&amp;"!n130")
))</f>
        <v>#N/A</v>
      </c>
      <c r="AB130" s="444" t="s">
        <v>165</v>
      </c>
      <c r="AC130" s="446" t="e">
        <f ca="1">IF((INDIRECT("[EMPINFO.xlsm]"&amp;$O$2&amp;"!p130")) = 0," ",(INDIRECT("[EMPINFO.xlsm]"&amp;$O$2&amp;"!p130")
))</f>
        <v>#N/A</v>
      </c>
      <c r="AD130" s="446" t="e">
        <f ca="1">IF((INDIRECT("[EMPINFO.xlsm]"&amp;$O$2&amp;"!q130")) = 0," ",(INDIRECT("[EMPINFO.xlsm]"&amp;$O$2&amp;"!q130")
))</f>
        <v>#N/A</v>
      </c>
    </row>
    <row r="131" spans="14:37" ht="15.75" customHeight="1" thickBot="1" x14ac:dyDescent="0.3">
      <c r="N131" s="405" t="e">
        <f>IF(TERMDATE&lt;W129,0,IF(StartEmp&lt;=W129,W129,(IF(AND(StartEmp&gt;=W129,StartEmp&lt;=W146),StartEmp,0))))</f>
        <v>#N/A</v>
      </c>
      <c r="O131" s="343">
        <f>+O15</f>
        <v>46357</v>
      </c>
      <c r="P131" s="191" t="str">
        <f>IF(AN114="PT","Hours Worked","Extra/ under Hours")</f>
        <v>Extra/ under Hours</v>
      </c>
      <c r="Q131" s="192"/>
      <c r="R131" s="192" t="e">
        <f ca="1">INDEX(PYRL_Summary,MATCH(W129,months,0),41)&amp;" HRS"</f>
        <v>#N/A</v>
      </c>
      <c r="S131" s="193" t="e">
        <f ca="1">INDEX(PYRL_Summary,MATCH(W129,months,0),41)*dechrrt</f>
        <v>#N/A</v>
      </c>
      <c r="T131" s="357" t="e">
        <f ca="1">+U131+V131</f>
        <v>#N/A</v>
      </c>
      <c r="U131" s="358" t="e">
        <f ca="1">INDEX(PYRL_Summary,MATCH(W129,months,0),22)</f>
        <v>#N/A</v>
      </c>
      <c r="V131" s="359" t="e">
        <f ca="1">INDEX(PYRL_Summary,MATCH(W129,months,0),23)</f>
        <v>#N/A</v>
      </c>
      <c r="Z131" s="446" t="e">
        <f ca="1">IF((INDIRECT("[EMPINFO.xlsm]"&amp;$O$2&amp;"!M131")) = 0," ",(INDIRECT("[EMPINFO.xlsm]"&amp;$O$2&amp;"!M131")
))</f>
        <v>#N/A</v>
      </c>
      <c r="AA131" s="446" t="e">
        <f ca="1">IF((INDIRECT("[EMPINFO.xlsm]"&amp;$O$2&amp;"!n131")) = 0," ",(INDIRECT("[EMPINFO.xlsm]"&amp;$O$2&amp;"!n131")
))</f>
        <v>#N/A</v>
      </c>
      <c r="AB131" s="445" t="s">
        <v>165</v>
      </c>
      <c r="AC131" s="446" t="e">
        <f ca="1">IF((INDIRECT("[EMPINFO.xlsm]"&amp;$O$2&amp;"!p131")) = 0," ",(INDIRECT("[EMPINFO.xlsm]"&amp;$O$2&amp;"!p131")
))</f>
        <v>#N/A</v>
      </c>
      <c r="AD131" s="446" t="e">
        <f ca="1">IF((INDIRECT("[EMPINFO.xlsm]"&amp;$O$2&amp;"!q131")) = 0," ",(INDIRECT("[EMPINFO.xlsm]"&amp;$O$2&amp;"!q131")
))</f>
        <v>#N/A</v>
      </c>
    </row>
    <row r="132" spans="14:37" ht="20.25" customHeight="1" thickBot="1" x14ac:dyDescent="0.3">
      <c r="N132" s="405" t="e">
        <f>+IF(StartEmp&gt;=W146,0,IF(TERMDATE&gt;=W146,W146-1,(IF(AND(TERMDATE&lt;W146,TERMDATE&gt;=W129),TERMDATE,0))))</f>
        <v>#N/A</v>
      </c>
      <c r="O132" s="341" t="s">
        <v>170</v>
      </c>
      <c r="P132" s="342" t="s">
        <v>171</v>
      </c>
      <c r="Q132" s="300">
        <f>+W119</f>
        <v>46327</v>
      </c>
      <c r="R132" s="184" t="e">
        <f ca="1">INDEX(PYRL_Summary,MATCH(W119,months,0),39)&amp;" HRS"</f>
        <v>#N/A</v>
      </c>
      <c r="S132" s="193" t="e">
        <f ca="1">INDEX(PYRL_Summary,MATCH(W119,months,0),9)</f>
        <v>#N/A</v>
      </c>
      <c r="T132" s="186" t="s">
        <v>72</v>
      </c>
      <c r="U132" s="187" t="e">
        <f ca="1">INDEX(PYRL_Summary,MATCH(W129,months,0),25)</f>
        <v>#N/A</v>
      </c>
      <c r="V132" s="348"/>
      <c r="Z132" s="446" t="e">
        <f ca="1">IF((INDIRECT("[EMPINFO.xlsm]"&amp;$O$2&amp;"!M132")) = 0," ",(INDIRECT("[EMPINFO.xlsm]"&amp;$O$2&amp;"!M132")
))</f>
        <v>#N/A</v>
      </c>
      <c r="AA132" s="446" t="e">
        <f ca="1">IF((INDIRECT("[EMPINFO.xlsm]"&amp;$O$2&amp;"!n132")) = 0," ",(INDIRECT("[EMPINFO.xlsm]"&amp;$O$2&amp;"!n132")
))</f>
        <v>#N/A</v>
      </c>
      <c r="AB132" s="445" t="s">
        <v>165</v>
      </c>
      <c r="AC132" s="446" t="e">
        <f ca="1">IF((INDIRECT("[EMPINFO.xlsm]"&amp;$O$2&amp;"!p132")) = 0," ",(INDIRECT("[EMPINFO.xlsm]"&amp;$O$2&amp;"!p132")
))</f>
        <v>#N/A</v>
      </c>
      <c r="AD132" s="446" t="e">
        <f ca="1">IF((INDIRECT("[EMPINFO.xlsm]"&amp;$O$2&amp;"!q132")) = 0," ",(INDIRECT("[EMPINFO.xlsm]"&amp;$O$2&amp;"!q132")
))</f>
        <v>#N/A</v>
      </c>
      <c r="AJ132" s="55"/>
      <c r="AK132" s="67"/>
    </row>
    <row r="133" spans="14:37" ht="16.149999999999999" customHeight="1" thickBot="1" x14ac:dyDescent="0.3">
      <c r="N133" s="404"/>
      <c r="O133" s="344">
        <f>+ID</f>
        <v>0</v>
      </c>
      <c r="P133" s="195" t="s">
        <v>172</v>
      </c>
      <c r="Q133" s="195"/>
      <c r="R133" s="194"/>
      <c r="S133" s="193" t="e">
        <f ca="1">INDEX(PYRL_Summary,MATCH(W129,months,0),11)</f>
        <v>#N/A</v>
      </c>
      <c r="T133" s="196" t="e">
        <f ca="1">IF((INDEX(PYRL_Summary,MATCH(W129,months,0),19))&gt;=0.01, "Overtime Tax"," ")</f>
        <v>#N/A</v>
      </c>
      <c r="U133" s="197"/>
      <c r="V133" s="349" t="e">
        <f ca="1">INDEX(PYRL_Summary,MATCH(W129,months,0),19)</f>
        <v>#N/A</v>
      </c>
      <c r="X133" s="412">
        <f>+$O$131</f>
        <v>46357</v>
      </c>
      <c r="AJ133" s="55"/>
    </row>
    <row r="134" spans="14:37" ht="18" customHeight="1" thickBot="1" x14ac:dyDescent="0.35">
      <c r="N134" s="404"/>
      <c r="O134" s="188" t="s">
        <v>175</v>
      </c>
      <c r="P134" s="188"/>
      <c r="Q134" s="188"/>
      <c r="R134" s="200">
        <v>0</v>
      </c>
      <c r="S134" s="185" t="e">
        <f ca="1">INDEX(PYRL_Summary,MATCH(W129,months,0),10)</f>
        <v>#N/A</v>
      </c>
      <c r="T134" s="189" t="s">
        <v>176</v>
      </c>
      <c r="U134" s="190"/>
      <c r="V134" s="350" t="e">
        <f ca="1">INDEX(PYRL_Summary,MATCH(W129,months,0),15)</f>
        <v>#N/A</v>
      </c>
      <c r="X134" s="577"/>
    </row>
    <row r="135" spans="14:37" ht="15.75" customHeight="1" thickBot="1" x14ac:dyDescent="0.3">
      <c r="N135" s="404"/>
      <c r="O135" s="345" t="e">
        <f ca="1">IF(INDEX(INDAT,MATCH(W129,(INDIRECT(("months"),TRUE)),0),4)&gt;=0.01, "Performance Bonus"," ")</f>
        <v>#N/A</v>
      </c>
      <c r="P135" s="100" t="e">
        <f ca="1">IF((INDEX(PYRL_Summary,MATCH(W129,months,0),12)&gt;=0.01),(INDEX(PYRL_Summary,MATCH(W129,months,0),12)),0)</f>
        <v>#N/A</v>
      </c>
      <c r="Q135" s="99" t="e">
        <f ca="1">IF(INDEX(INDAT,MATCH(W129,(INDIRECT(("months"),TRUE)),0),5)&gt;=0.01, "Sup
 Bonus"," ")</f>
        <v>#N/A</v>
      </c>
      <c r="R135" s="100" t="e">
        <f ca="1">IF((INDEX(PYRL_Summary,MATCH(W129,months,0),13)&gt;=0.01),(INDEX(PYRL_Summary,MATCH(W129,months,0),13)),0)</f>
        <v>#N/A</v>
      </c>
      <c r="S135" s="102" t="e">
        <f ca="1">+P135+R135</f>
        <v>#N/A</v>
      </c>
      <c r="T135" s="889" t="e">
        <f>+IBAN</f>
        <v>#N/A</v>
      </c>
      <c r="U135" s="890"/>
      <c r="V135" s="891"/>
    </row>
    <row r="136" spans="14:37" ht="17.25" customHeight="1" thickBot="1" x14ac:dyDescent="0.3">
      <c r="N136" s="404"/>
      <c r="O136" s="346" t="e">
        <f ca="1">IF(INDEX(INDAT,MATCH(W129,(INDIRECT(("months"),TRUE)),0),14)&gt;=0.01, "Overtime Hours"," ")</f>
        <v>#N/A</v>
      </c>
      <c r="P136" s="199"/>
      <c r="Q136" s="199" t="e">
        <f ca="1">IF((INDEX(PYRL_Summary,MATCH(W129,months,0),16)&gt;=0.01),(INDEX(PYRL_Summary,MATCH(W129,months,0),16)&amp;" HRS"),0)</f>
        <v>#N/A</v>
      </c>
      <c r="R136" s="198"/>
      <c r="S136" s="355" t="e">
        <f ca="1">IF((INDEX(PYRL_Summary,MATCH(W129,months,0),18)&gt;=0.01),(INDEX(PYRL_Summary,MATCH(W129,months,0),18)&amp;" HRS"),0)</f>
        <v>#N/A</v>
      </c>
      <c r="T136" s="417" t="s">
        <v>178</v>
      </c>
      <c r="U136" s="418" t="e">
        <f ca="1">+(SUM(S130:S136))-(SUM(V131:V134))</f>
        <v>#N/A</v>
      </c>
      <c r="V136" s="418"/>
    </row>
    <row r="137" spans="14:37" ht="25.5" customHeight="1" thickBot="1" x14ac:dyDescent="0.3">
      <c r="N137" s="413" t="s">
        <v>180</v>
      </c>
      <c r="O137" s="352" t="s">
        <v>181</v>
      </c>
      <c r="P137" s="351">
        <f>+W119</f>
        <v>46327</v>
      </c>
      <c r="Q137" s="353" t="e">
        <f ca="1">(INDEX(PYRL_Summary,MATCH(P137,months,1),32))</f>
        <v>#N/A</v>
      </c>
      <c r="R137" s="354"/>
      <c r="S137" s="356"/>
      <c r="T137" s="544" t="str">
        <f>IF(Y137=0, "DO NOT INPUT HERE. USE HIGHLIGHTED ",Y137)</f>
        <v xml:space="preserve">DO NOT INPUT HERE. USE HIGHLIGHTED </v>
      </c>
      <c r="U137" s="545"/>
      <c r="V137" s="546"/>
      <c r="W137" s="73" t="s">
        <v>183</v>
      </c>
      <c r="Y137" s="436"/>
      <c r="Z137" s="78"/>
    </row>
    <row r="138" spans="14:37" ht="39" customHeight="1" thickTop="1" thickBot="1" x14ac:dyDescent="0.3">
      <c r="N138" s="406" t="e">
        <f ca="1">INDEX(PYRL_Summary,MATCH(W129,months,0),4)</f>
        <v>#N/A</v>
      </c>
      <c r="O138" s="407" t="s">
        <v>187</v>
      </c>
      <c r="P138" s="408">
        <f>+W119</f>
        <v>46327</v>
      </c>
      <c r="Q138" s="409" t="e">
        <f ca="1">INDEX(PYRL_Summary,MATCH(P138,months,0),31)</f>
        <v>#N/A</v>
      </c>
      <c r="R138" s="410" t="s">
        <v>188</v>
      </c>
      <c r="S138" s="411" t="e">
        <f ca="1">INDEX(PYRL_Summary,MATCH(W129,months,0),33)</f>
        <v>#N/A</v>
      </c>
      <c r="T138" s="428" t="str">
        <f>+Clinic_add</f>
        <v>7,  Mediatrix, Sanctuary Str. Zabbar ZBR1010
8, Mediatrix, Guze Duca Str., Qormi QRM9088</v>
      </c>
      <c r="U138" s="429"/>
      <c r="V138" s="430" t="s">
        <v>189</v>
      </c>
      <c r="W138" s="434" t="s">
        <v>233</v>
      </c>
      <c r="X138" s="435">
        <f>+W129+32</f>
        <v>46389</v>
      </c>
      <c r="Y138" s="433" t="s">
        <v>234</v>
      </c>
      <c r="Z138" s="203"/>
    </row>
    <row r="139" spans="14:37" ht="39.75" customHeight="1" thickTop="1" thickBot="1" x14ac:dyDescent="0.3">
      <c r="O139" s="29"/>
      <c r="P139" s="29"/>
      <c r="Q139" s="29"/>
      <c r="R139" s="29"/>
      <c r="S139" s="29"/>
      <c r="T139" s="29"/>
      <c r="U139" s="29"/>
      <c r="V139" s="29"/>
      <c r="W139" s="434" t="s">
        <v>235</v>
      </c>
      <c r="X139" s="435">
        <f>+W129+31</f>
        <v>46388</v>
      </c>
      <c r="Y139" s="433" t="s">
        <v>236</v>
      </c>
      <c r="Z139" s="203"/>
      <c r="AE139" s="45"/>
      <c r="AF139" s="31"/>
      <c r="AG139" s="31"/>
      <c r="AH139" s="31"/>
    </row>
    <row r="140" spans="14:37" ht="29.25" customHeight="1" thickTop="1" x14ac:dyDescent="0.25">
      <c r="O140" s="29"/>
      <c r="P140" s="29"/>
      <c r="Q140" s="29"/>
      <c r="R140" s="29"/>
      <c r="S140" s="29"/>
      <c r="T140" s="29"/>
      <c r="U140" s="29"/>
      <c r="V140" s="29"/>
      <c r="X140" s="55"/>
      <c r="Y140" s="29"/>
      <c r="Z140" s="29"/>
      <c r="AE140" s="45"/>
      <c r="AF140" s="46"/>
      <c r="AG140" s="46"/>
      <c r="AH140" s="46"/>
    </row>
    <row r="141" spans="14:37" x14ac:dyDescent="0.25">
      <c r="O141" s="29"/>
      <c r="P141" s="29"/>
      <c r="Q141" s="29"/>
      <c r="R141" s="29"/>
      <c r="S141" s="29"/>
      <c r="T141" s="29"/>
      <c r="U141" s="29"/>
      <c r="V141" s="29"/>
      <c r="W141" s="29"/>
      <c r="X141" s="29"/>
      <c r="Y141" s="29"/>
      <c r="Z141" s="29"/>
      <c r="AE141" s="31"/>
      <c r="AF141" s="31"/>
      <c r="AG141" s="31"/>
      <c r="AH141" s="47"/>
    </row>
    <row r="142" spans="14:37" x14ac:dyDescent="0.25">
      <c r="O142" s="29"/>
      <c r="P142" s="29"/>
      <c r="Q142" s="29"/>
      <c r="R142" s="29"/>
      <c r="S142" s="29"/>
      <c r="T142" s="29"/>
      <c r="U142" s="29"/>
      <c r="V142" s="29"/>
      <c r="W142" s="29"/>
      <c r="X142" s="29"/>
      <c r="Y142" s="29"/>
      <c r="Z142" s="29"/>
      <c r="AE142" s="26"/>
      <c r="AF142" s="26"/>
      <c r="AG142" s="26"/>
      <c r="AH142" s="31"/>
    </row>
    <row r="143" spans="14:37" x14ac:dyDescent="0.25">
      <c r="O143" s="29"/>
      <c r="P143" s="29"/>
      <c r="Q143" s="29"/>
      <c r="R143" s="29"/>
      <c r="S143" s="29"/>
      <c r="T143" s="29"/>
      <c r="U143" s="29"/>
      <c r="V143" s="29"/>
      <c r="W143" s="29"/>
      <c r="X143" s="29"/>
      <c r="Y143" s="29"/>
      <c r="Z143" s="29"/>
      <c r="AE143" s="26"/>
      <c r="AF143" s="26"/>
      <c r="AG143" s="26"/>
      <c r="AH143" s="31"/>
    </row>
    <row r="144" spans="14:37" x14ac:dyDescent="0.25">
      <c r="O144" s="29"/>
      <c r="P144" s="29"/>
      <c r="Q144" s="29"/>
      <c r="R144" s="29"/>
      <c r="S144" s="29"/>
      <c r="T144" s="29"/>
      <c r="U144" s="29"/>
      <c r="V144" s="29"/>
      <c r="W144" s="29"/>
      <c r="X144" s="29"/>
      <c r="Y144" s="29"/>
      <c r="Z144" s="29"/>
      <c r="AE144" s="35"/>
      <c r="AF144" s="33"/>
      <c r="AG144" s="33"/>
      <c r="AH144" s="31"/>
    </row>
    <row r="145" spans="15:34" x14ac:dyDescent="0.25">
      <c r="O145" s="29"/>
      <c r="P145" s="29"/>
      <c r="Q145" s="29"/>
      <c r="R145" s="29"/>
      <c r="S145" s="29"/>
      <c r="T145" s="29"/>
      <c r="U145" s="29"/>
      <c r="V145" s="29"/>
      <c r="W145" s="29"/>
      <c r="X145" s="29"/>
      <c r="Y145" s="29"/>
      <c r="Z145" s="29"/>
      <c r="AE145" s="35"/>
      <c r="AF145" s="34"/>
      <c r="AG145" s="34"/>
      <c r="AH145" s="31"/>
    </row>
    <row r="146" spans="15:34" x14ac:dyDescent="0.25">
      <c r="O146" s="29"/>
      <c r="P146" s="29"/>
      <c r="Q146" s="29"/>
      <c r="R146" s="29"/>
      <c r="S146" s="29"/>
      <c r="T146" s="29"/>
      <c r="U146" s="29"/>
      <c r="V146" s="29" t="s">
        <v>237</v>
      </c>
      <c r="W146" s="55">
        <f>+(EOMONTH(W129,0)+1)</f>
        <v>46388</v>
      </c>
      <c r="X146" s="29"/>
      <c r="Y146" s="29"/>
      <c r="Z146" s="29"/>
      <c r="AE146" s="31"/>
      <c r="AF146" s="31"/>
      <c r="AG146" s="31"/>
      <c r="AH146" s="31"/>
    </row>
    <row r="147" spans="15:34" x14ac:dyDescent="0.25">
      <c r="O147" s="29"/>
      <c r="P147" s="29"/>
      <c r="Q147" s="29"/>
      <c r="R147" s="29"/>
      <c r="S147" s="29"/>
      <c r="T147" s="29"/>
      <c r="U147" s="29"/>
      <c r="V147" s="29"/>
      <c r="W147" s="29"/>
      <c r="X147" s="29"/>
      <c r="Y147" s="29"/>
      <c r="Z147" s="29"/>
      <c r="AE147" s="31"/>
      <c r="AF147" s="31"/>
      <c r="AG147" s="31"/>
      <c r="AH147" s="31"/>
    </row>
    <row r="148" spans="15:34" ht="15" customHeight="1" x14ac:dyDescent="0.25">
      <c r="O148" s="29"/>
      <c r="P148" s="29"/>
      <c r="Q148" s="29"/>
      <c r="R148" s="29"/>
      <c r="S148" s="29"/>
      <c r="T148" s="29"/>
      <c r="U148" s="29"/>
      <c r="V148" s="29"/>
      <c r="W148" s="29"/>
      <c r="X148" s="29"/>
      <c r="Y148" s="29"/>
      <c r="Z148" s="29"/>
    </row>
    <row r="149" spans="15:34" ht="15" customHeight="1" x14ac:dyDescent="0.25">
      <c r="O149" s="29"/>
      <c r="P149" s="29"/>
      <c r="Q149" s="29"/>
      <c r="R149" s="29"/>
      <c r="S149" s="29"/>
      <c r="T149" s="29"/>
      <c r="U149" s="29"/>
      <c r="V149" s="29"/>
    </row>
  </sheetData>
  <mergeCells count="68">
    <mergeCell ref="B2:B4"/>
    <mergeCell ref="C10:F10"/>
    <mergeCell ref="T125:V125"/>
    <mergeCell ref="T45:V45"/>
    <mergeCell ref="H42:I42"/>
    <mergeCell ref="C12:F12"/>
    <mergeCell ref="B5:C5"/>
    <mergeCell ref="C46:F46"/>
    <mergeCell ref="T35:V35"/>
    <mergeCell ref="K19:L19"/>
    <mergeCell ref="O39:O40"/>
    <mergeCell ref="E66:F66"/>
    <mergeCell ref="C51:F51"/>
    <mergeCell ref="C11:F11"/>
    <mergeCell ref="K18:L18"/>
    <mergeCell ref="T25:V25"/>
    <mergeCell ref="C6:F6"/>
    <mergeCell ref="O99:O100"/>
    <mergeCell ref="O59:O60"/>
    <mergeCell ref="K22:L22"/>
    <mergeCell ref="B44:C44"/>
    <mergeCell ref="C48:D48"/>
    <mergeCell ref="O49:O50"/>
    <mergeCell ref="B14:D14"/>
    <mergeCell ref="C8:F8"/>
    <mergeCell ref="C9:F9"/>
    <mergeCell ref="A35:E35"/>
    <mergeCell ref="I11:K11"/>
    <mergeCell ref="O19:O20"/>
    <mergeCell ref="I7:K7"/>
    <mergeCell ref="E65:F65"/>
    <mergeCell ref="I51:K51"/>
    <mergeCell ref="C7:F7"/>
    <mergeCell ref="J35:L35"/>
    <mergeCell ref="E64:F64"/>
    <mergeCell ref="K21:L21"/>
    <mergeCell ref="C50:F50"/>
    <mergeCell ref="I9:K9"/>
    <mergeCell ref="C52:F53"/>
    <mergeCell ref="C45:F45"/>
    <mergeCell ref="B34:G34"/>
    <mergeCell ref="C49:F49"/>
    <mergeCell ref="C36:D36"/>
    <mergeCell ref="T135:V135"/>
    <mergeCell ref="T85:V85"/>
    <mergeCell ref="K20:L20"/>
    <mergeCell ref="O29:O30"/>
    <mergeCell ref="O109:O110"/>
    <mergeCell ref="T75:V75"/>
    <mergeCell ref="G52:L53"/>
    <mergeCell ref="T105:V105"/>
    <mergeCell ref="T115:V115"/>
    <mergeCell ref="O129:O130"/>
    <mergeCell ref="K23:L23"/>
    <mergeCell ref="O69:O70"/>
    <mergeCell ref="T65:V65"/>
    <mergeCell ref="O119:O120"/>
    <mergeCell ref="T55:V55"/>
    <mergeCell ref="F35:H35"/>
    <mergeCell ref="T95:V95"/>
    <mergeCell ref="H16:I16"/>
    <mergeCell ref="O79:O80"/>
    <mergeCell ref="B16:D16"/>
    <mergeCell ref="B26:F26"/>
    <mergeCell ref="A31:E32"/>
    <mergeCell ref="C47:F47"/>
    <mergeCell ref="B52:B53"/>
    <mergeCell ref="O89:O90"/>
  </mergeCells>
  <conditionalFormatting sqref="O25:P25">
    <cfRule type="expression" dxfId="28" priority="29">
      <formula>$P25=0</formula>
    </cfRule>
  </conditionalFormatting>
  <conditionalFormatting sqref="Q25:R25">
    <cfRule type="expression" dxfId="27" priority="28">
      <formula>$R25=0</formula>
    </cfRule>
  </conditionalFormatting>
  <conditionalFormatting sqref="S25">
    <cfRule type="expression" dxfId="26" priority="27">
      <formula>$S25=0</formula>
    </cfRule>
  </conditionalFormatting>
  <conditionalFormatting sqref="S26">
    <cfRule type="expression" dxfId="25" priority="25">
      <formula>$S$46&gt;0.01</formula>
    </cfRule>
    <cfRule type="expression" dxfId="24" priority="26">
      <formula>$S$46=0</formula>
    </cfRule>
  </conditionalFormatting>
  <conditionalFormatting sqref="T23 T33 T43 T53 T63 T73 T83 T93 T103 T113 T123 T133">
    <cfRule type="expression" dxfId="23" priority="24" stopIfTrue="1">
      <formula>"$R$23=0"""</formula>
    </cfRule>
  </conditionalFormatting>
  <conditionalFormatting sqref="O26:Q26">
    <cfRule type="expression" dxfId="22" priority="23">
      <formula>$Q$26=0</formula>
    </cfRule>
  </conditionalFormatting>
  <conditionalFormatting sqref="V23">
    <cfRule type="expression" dxfId="21" priority="22">
      <formula>$V$23=0</formula>
    </cfRule>
  </conditionalFormatting>
  <conditionalFormatting sqref="O35:P35">
    <cfRule type="expression" dxfId="20" priority="21">
      <formula>$P35=0</formula>
    </cfRule>
  </conditionalFormatting>
  <conditionalFormatting sqref="Q35:R35">
    <cfRule type="expression" dxfId="19" priority="20">
      <formula>$R35=0</formula>
    </cfRule>
  </conditionalFormatting>
  <conditionalFormatting sqref="S35">
    <cfRule type="expression" dxfId="18" priority="19">
      <formula>$S35=0</formula>
    </cfRule>
  </conditionalFormatting>
  <conditionalFormatting sqref="S36">
    <cfRule type="expression" dxfId="17" priority="17">
      <formula>$S$46&gt;0.01</formula>
    </cfRule>
    <cfRule type="expression" dxfId="16" priority="18">
      <formula>$S$46=0</formula>
    </cfRule>
  </conditionalFormatting>
  <conditionalFormatting sqref="O36:Q36">
    <cfRule type="expression" dxfId="15" priority="16">
      <formula>$Q$26=0</formula>
    </cfRule>
  </conditionalFormatting>
  <conditionalFormatting sqref="V33">
    <cfRule type="expression" dxfId="14" priority="15">
      <formula>$V$23=0</formula>
    </cfRule>
  </conditionalFormatting>
  <conditionalFormatting sqref="O45:P45 O65:P65 O85:P85 O105:P105 O125:P125">
    <cfRule type="expression" dxfId="13" priority="14">
      <formula>$P45=0</formula>
    </cfRule>
  </conditionalFormatting>
  <conditionalFormatting sqref="Q45:R45 Q65:R65 Q85:R85 Q105:R105 Q125:R125">
    <cfRule type="expression" dxfId="12" priority="13">
      <formula>$R45=0</formula>
    </cfRule>
  </conditionalFormatting>
  <conditionalFormatting sqref="S45 S65 S85 S105 S125">
    <cfRule type="expression" dxfId="11" priority="12">
      <formula>$S45=0</formula>
    </cfRule>
  </conditionalFormatting>
  <conditionalFormatting sqref="S46 S66 S86 S106 S126">
    <cfRule type="expression" dxfId="10" priority="10">
      <formula>$S$46&gt;0.01</formula>
    </cfRule>
    <cfRule type="expression" dxfId="9" priority="11">
      <formula>$S$46=0</formula>
    </cfRule>
  </conditionalFormatting>
  <conditionalFormatting sqref="O46:Q46 O66:Q66 O86:Q86 O106:Q106 O126:Q126">
    <cfRule type="expression" dxfId="8" priority="9">
      <formula>$Q$26=0</formula>
    </cfRule>
  </conditionalFormatting>
  <conditionalFormatting sqref="V43 V63 V83 V103 V123">
    <cfRule type="expression" dxfId="7" priority="8">
      <formula>$V$23=0</formula>
    </cfRule>
  </conditionalFormatting>
  <conditionalFormatting sqref="O55:P55 O75:P75 O95:P95 O115:P115 O135:P135">
    <cfRule type="expression" dxfId="6" priority="7">
      <formula>$P55=0</formula>
    </cfRule>
  </conditionalFormatting>
  <conditionalFormatting sqref="Q55:R55 Q75:R75 Q95:R95 Q115:R115 Q135:R135">
    <cfRule type="expression" dxfId="5" priority="6">
      <formula>$R55=0</formula>
    </cfRule>
  </conditionalFormatting>
  <conditionalFormatting sqref="S55 S75 S95 S115 S135">
    <cfRule type="expression" dxfId="4" priority="5">
      <formula>$S55=0</formula>
    </cfRule>
  </conditionalFormatting>
  <conditionalFormatting sqref="S56 S76 S96 S116 S136">
    <cfRule type="expression" dxfId="3" priority="3">
      <formula>$S$46&gt;0.01</formula>
    </cfRule>
    <cfRule type="expression" dxfId="2" priority="4">
      <formula>$S$46=0</formula>
    </cfRule>
  </conditionalFormatting>
  <conditionalFormatting sqref="O56:Q56 O76:Q76 O96:Q96 O116:Q116 O136:Q136">
    <cfRule type="expression" dxfId="1" priority="2">
      <formula>$Q$26=0</formula>
    </cfRule>
  </conditionalFormatting>
  <conditionalFormatting sqref="V53 V73 V93 V113 V133">
    <cfRule type="expression" dxfId="0" priority="1">
      <formula>$V$23=0</formula>
    </cfRule>
  </conditionalFormatting>
  <hyperlinks>
    <hyperlink ref="F57" r:id="rId1" display="drchrisgauci@gmail.com" xr:uid="{00000000-0004-0000-3A00-000000000000}"/>
  </hyperlinks>
  <pageMargins left="0.25" right="0.25" top="0.25" bottom="0.25" header="0.3" footer="0.3"/>
  <pageSetup paperSize="9" scale="75" orientation="landscape"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87489" r:id="rId5" name="Button 1">
              <controlPr defaultSize="0" print="0" autoFill="0" autoPict="0" macro="[0]!JanPay">
                <anchor moveWithCells="1">
                  <from>
                    <xdr:col>22</xdr:col>
                    <xdr:colOff>1057275</xdr:colOff>
                    <xdr:row>20</xdr:row>
                    <xdr:rowOff>9525</xdr:rowOff>
                  </from>
                  <to>
                    <xdr:col>23</xdr:col>
                    <xdr:colOff>990600</xdr:colOff>
                    <xdr:row>21</xdr:row>
                    <xdr:rowOff>190500</xdr:rowOff>
                  </to>
                </anchor>
              </controlPr>
            </control>
          </mc:Choice>
        </mc:AlternateContent>
        <mc:AlternateContent xmlns:mc="http://schemas.openxmlformats.org/markup-compatibility/2006">
          <mc:Choice Requires="x14">
            <control shapeId="1087490" r:id="rId6" name="Button 2">
              <controlPr defaultSize="0" print="0" autoFill="0" autoPict="0" macro="[0]!FebPay">
                <anchor moveWithCells="1">
                  <from>
                    <xdr:col>22</xdr:col>
                    <xdr:colOff>1085850</xdr:colOff>
                    <xdr:row>29</xdr:row>
                    <xdr:rowOff>228600</xdr:rowOff>
                  </from>
                  <to>
                    <xdr:col>24</xdr:col>
                    <xdr:colOff>133350</xdr:colOff>
                    <xdr:row>31</xdr:row>
                    <xdr:rowOff>228600</xdr:rowOff>
                  </to>
                </anchor>
              </controlPr>
            </control>
          </mc:Choice>
        </mc:AlternateContent>
        <mc:AlternateContent xmlns:mc="http://schemas.openxmlformats.org/markup-compatibility/2006">
          <mc:Choice Requires="x14">
            <control shapeId="1087491" r:id="rId7" name="Button 3">
              <controlPr defaultSize="0" print="0" autoFill="0" autoPict="0" macro="[0]!MarPay">
                <anchor moveWithCells="1">
                  <from>
                    <xdr:col>22</xdr:col>
                    <xdr:colOff>1028700</xdr:colOff>
                    <xdr:row>39</xdr:row>
                    <xdr:rowOff>104775</xdr:rowOff>
                  </from>
                  <to>
                    <xdr:col>24</xdr:col>
                    <xdr:colOff>76200</xdr:colOff>
                    <xdr:row>41</xdr:row>
                    <xdr:rowOff>180975</xdr:rowOff>
                  </to>
                </anchor>
              </controlPr>
            </control>
          </mc:Choice>
        </mc:AlternateContent>
        <mc:AlternateContent xmlns:mc="http://schemas.openxmlformats.org/markup-compatibility/2006">
          <mc:Choice Requires="x14">
            <control shapeId="1087492" r:id="rId8" name="Button 4">
              <controlPr defaultSize="0" print="0" autoFill="0" autoPict="0" macro="[0]!AprPay">
                <anchor moveWithCells="1">
                  <from>
                    <xdr:col>22</xdr:col>
                    <xdr:colOff>1047750</xdr:colOff>
                    <xdr:row>49</xdr:row>
                    <xdr:rowOff>180975</xdr:rowOff>
                  </from>
                  <to>
                    <xdr:col>24</xdr:col>
                    <xdr:colOff>95250</xdr:colOff>
                    <xdr:row>51</xdr:row>
                    <xdr:rowOff>114300</xdr:rowOff>
                  </to>
                </anchor>
              </controlPr>
            </control>
          </mc:Choice>
        </mc:AlternateContent>
        <mc:AlternateContent xmlns:mc="http://schemas.openxmlformats.org/markup-compatibility/2006">
          <mc:Choice Requires="x14">
            <control shapeId="1087493" r:id="rId9" name="Button 5">
              <controlPr defaultSize="0" print="0" autoFill="0" autoPict="0" macro="[0]!MayPay">
                <anchor moveWithCells="1">
                  <from>
                    <xdr:col>22</xdr:col>
                    <xdr:colOff>1028700</xdr:colOff>
                    <xdr:row>59</xdr:row>
                    <xdr:rowOff>161925</xdr:rowOff>
                  </from>
                  <to>
                    <xdr:col>24</xdr:col>
                    <xdr:colOff>76200</xdr:colOff>
                    <xdr:row>61</xdr:row>
                    <xdr:rowOff>171450</xdr:rowOff>
                  </to>
                </anchor>
              </controlPr>
            </control>
          </mc:Choice>
        </mc:AlternateContent>
        <mc:AlternateContent xmlns:mc="http://schemas.openxmlformats.org/markup-compatibility/2006">
          <mc:Choice Requires="x14">
            <control shapeId="1087494" r:id="rId10" name="Button 6">
              <controlPr defaultSize="0" print="0" autoFill="0" autoPict="0" macro="[0]!JunPay">
                <anchor moveWithCells="1">
                  <from>
                    <xdr:col>22</xdr:col>
                    <xdr:colOff>1009650</xdr:colOff>
                    <xdr:row>69</xdr:row>
                    <xdr:rowOff>152400</xdr:rowOff>
                  </from>
                  <to>
                    <xdr:col>24</xdr:col>
                    <xdr:colOff>57150</xdr:colOff>
                    <xdr:row>71</xdr:row>
                    <xdr:rowOff>161925</xdr:rowOff>
                  </to>
                </anchor>
              </controlPr>
            </control>
          </mc:Choice>
        </mc:AlternateContent>
        <mc:AlternateContent xmlns:mc="http://schemas.openxmlformats.org/markup-compatibility/2006">
          <mc:Choice Requires="x14">
            <control shapeId="1087495" r:id="rId11" name="Button 7">
              <controlPr defaultSize="0" print="0" autoFill="0" autoPict="0" macro="[0]!JulPay">
                <anchor moveWithCells="1">
                  <from>
                    <xdr:col>22</xdr:col>
                    <xdr:colOff>1047750</xdr:colOff>
                    <xdr:row>79</xdr:row>
                    <xdr:rowOff>142875</xdr:rowOff>
                  </from>
                  <to>
                    <xdr:col>24</xdr:col>
                    <xdr:colOff>95250</xdr:colOff>
                    <xdr:row>81</xdr:row>
                    <xdr:rowOff>152400</xdr:rowOff>
                  </to>
                </anchor>
              </controlPr>
            </control>
          </mc:Choice>
        </mc:AlternateContent>
        <mc:AlternateContent xmlns:mc="http://schemas.openxmlformats.org/markup-compatibility/2006">
          <mc:Choice Requires="x14">
            <control shapeId="1087496" r:id="rId12" name="Button 8">
              <controlPr defaultSize="0" print="0" autoFill="0" autoPict="0" macro="[0]!AugPay">
                <anchor moveWithCells="1">
                  <from>
                    <xdr:col>22</xdr:col>
                    <xdr:colOff>1066800</xdr:colOff>
                    <xdr:row>89</xdr:row>
                    <xdr:rowOff>133350</xdr:rowOff>
                  </from>
                  <to>
                    <xdr:col>24</xdr:col>
                    <xdr:colOff>114300</xdr:colOff>
                    <xdr:row>91</xdr:row>
                    <xdr:rowOff>142875</xdr:rowOff>
                  </to>
                </anchor>
              </controlPr>
            </control>
          </mc:Choice>
        </mc:AlternateContent>
        <mc:AlternateContent xmlns:mc="http://schemas.openxmlformats.org/markup-compatibility/2006">
          <mc:Choice Requires="x14">
            <control shapeId="1087497" r:id="rId13" name="Button 9">
              <controlPr defaultSize="0" print="0" autoFill="0" autoPict="0" macro="[0]!SepPay">
                <anchor moveWithCells="1">
                  <from>
                    <xdr:col>22</xdr:col>
                    <xdr:colOff>1038225</xdr:colOff>
                    <xdr:row>99</xdr:row>
                    <xdr:rowOff>161925</xdr:rowOff>
                  </from>
                  <to>
                    <xdr:col>24</xdr:col>
                    <xdr:colOff>85725</xdr:colOff>
                    <xdr:row>101</xdr:row>
                    <xdr:rowOff>171450</xdr:rowOff>
                  </to>
                </anchor>
              </controlPr>
            </control>
          </mc:Choice>
        </mc:AlternateContent>
        <mc:AlternateContent xmlns:mc="http://schemas.openxmlformats.org/markup-compatibility/2006">
          <mc:Choice Requires="x14">
            <control shapeId="1087498" r:id="rId14" name="Button 10">
              <controlPr defaultSize="0" print="0" autoFill="0" autoPict="0" macro="[0]!OctPay">
                <anchor moveWithCells="1">
                  <from>
                    <xdr:col>22</xdr:col>
                    <xdr:colOff>1019175</xdr:colOff>
                    <xdr:row>109</xdr:row>
                    <xdr:rowOff>104775</xdr:rowOff>
                  </from>
                  <to>
                    <xdr:col>24</xdr:col>
                    <xdr:colOff>66675</xdr:colOff>
                    <xdr:row>111</xdr:row>
                    <xdr:rowOff>114300</xdr:rowOff>
                  </to>
                </anchor>
              </controlPr>
            </control>
          </mc:Choice>
        </mc:AlternateContent>
        <mc:AlternateContent xmlns:mc="http://schemas.openxmlformats.org/markup-compatibility/2006">
          <mc:Choice Requires="x14">
            <control shapeId="1087499" r:id="rId15" name="Button 11">
              <controlPr defaultSize="0" print="0" autoFill="0" autoPict="0" macro="[0]!NovPay">
                <anchor moveWithCells="1">
                  <from>
                    <xdr:col>22</xdr:col>
                    <xdr:colOff>1047750</xdr:colOff>
                    <xdr:row>119</xdr:row>
                    <xdr:rowOff>95250</xdr:rowOff>
                  </from>
                  <to>
                    <xdr:col>24</xdr:col>
                    <xdr:colOff>95250</xdr:colOff>
                    <xdr:row>121</xdr:row>
                    <xdr:rowOff>104775</xdr:rowOff>
                  </to>
                </anchor>
              </controlPr>
            </control>
          </mc:Choice>
        </mc:AlternateContent>
        <mc:AlternateContent xmlns:mc="http://schemas.openxmlformats.org/markup-compatibility/2006">
          <mc:Choice Requires="x14">
            <control shapeId="1087500" r:id="rId16" name="Button 12">
              <controlPr defaultSize="0" print="0" autoFill="0" autoPict="0" macro="[0]!DecPay">
                <anchor moveWithCells="1">
                  <from>
                    <xdr:col>22</xdr:col>
                    <xdr:colOff>1019175</xdr:colOff>
                    <xdr:row>129</xdr:row>
                    <xdr:rowOff>66675</xdr:rowOff>
                  </from>
                  <to>
                    <xdr:col>24</xdr:col>
                    <xdr:colOff>66675</xdr:colOff>
                    <xdr:row>131</xdr:row>
                    <xdr:rowOff>76200</xdr:rowOff>
                  </to>
                </anchor>
              </controlPr>
            </control>
          </mc:Choice>
        </mc:AlternateContent>
        <mc:AlternateContent xmlns:mc="http://schemas.openxmlformats.org/markup-compatibility/2006">
          <mc:Choice Requires="x14">
            <control shapeId="1087501" r:id="rId17" name="Button 13">
              <controlPr defaultSize="0" print="0" autoFill="0" autoPict="0" macro="[0]!Fillsocsec">
                <anchor moveWithCells="1" sizeWithCells="1">
                  <from>
                    <xdr:col>10</xdr:col>
                    <xdr:colOff>238125</xdr:colOff>
                    <xdr:row>40</xdr:row>
                    <xdr:rowOff>95250</xdr:rowOff>
                  </from>
                  <to>
                    <xdr:col>11</xdr:col>
                    <xdr:colOff>790575</xdr:colOff>
                    <xdr:row>42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60</vt:i4>
      </vt:variant>
      <vt:variant>
        <vt:lpstr>Named Ranges</vt:lpstr>
      </vt:variant>
      <vt:variant>
        <vt:i4>4318</vt:i4>
      </vt:variant>
    </vt:vector>
  </HeadingPairs>
  <TitlesOfParts>
    <vt:vector size="4378" baseType="lpstr">
      <vt:lpstr>fs7</vt:lpstr>
      <vt:lpstr>FTBLANK</vt:lpstr>
      <vt:lpstr>DIV1</vt:lpstr>
      <vt:lpstr>RGaldes</vt:lpstr>
      <vt:lpstr>LCarini</vt:lpstr>
      <vt:lpstr>KMizzi</vt:lpstr>
      <vt:lpstr>RCamilleri</vt:lpstr>
      <vt:lpstr>DMifsud_Ceci</vt:lpstr>
      <vt:lpstr>DIV2</vt:lpstr>
      <vt:lpstr>MCamilleri</vt:lpstr>
      <vt:lpstr>LBonnici</vt:lpstr>
      <vt:lpstr>DIV3</vt:lpstr>
      <vt:lpstr>DIV4</vt:lpstr>
      <vt:lpstr>RMallan_Albani</vt:lpstr>
      <vt:lpstr>AHaneena</vt:lpstr>
      <vt:lpstr>ELama</vt:lpstr>
      <vt:lpstr>MAcero_Garzon</vt:lpstr>
      <vt:lpstr>DIV5</vt:lpstr>
      <vt:lpstr>RSreejith</vt:lpstr>
      <vt:lpstr>AKunnamkudath</vt:lpstr>
      <vt:lpstr>DIV6</vt:lpstr>
      <vt:lpstr>RAttard</vt:lpstr>
      <vt:lpstr>NScerri_Esposito</vt:lpstr>
      <vt:lpstr>DIV7</vt:lpstr>
      <vt:lpstr>RAcharya</vt:lpstr>
      <vt:lpstr>DIV8</vt:lpstr>
      <vt:lpstr>FTBLANKE</vt:lpstr>
      <vt:lpstr>PTBLANK</vt:lpstr>
      <vt:lpstr>DIVP1</vt:lpstr>
      <vt:lpstr>DIVP2</vt:lpstr>
      <vt:lpstr>DIVP3</vt:lpstr>
      <vt:lpstr>DIVP4</vt:lpstr>
      <vt:lpstr>DIVP5</vt:lpstr>
      <vt:lpstr>ECurmi</vt:lpstr>
      <vt:lpstr>AFalzon</vt:lpstr>
      <vt:lpstr>ZMifsud</vt:lpstr>
      <vt:lpstr>DIVP6</vt:lpstr>
      <vt:lpstr>MEllul</vt:lpstr>
      <vt:lpstr>DIVP7</vt:lpstr>
      <vt:lpstr>PTBLANKE</vt:lpstr>
      <vt:lpstr>Summary</vt:lpstr>
      <vt:lpstr>SummaryPT</vt:lpstr>
      <vt:lpstr>SummaryTOTS</vt:lpstr>
      <vt:lpstr>SumDiv</vt:lpstr>
      <vt:lpstr>JAN_FS5</vt:lpstr>
      <vt:lpstr>FEB_FS5</vt:lpstr>
      <vt:lpstr>MAR_FS5</vt:lpstr>
      <vt:lpstr>APR_FS5</vt:lpstr>
      <vt:lpstr>MAY_FS5</vt:lpstr>
      <vt:lpstr>JUN_FS5</vt:lpstr>
      <vt:lpstr>JUL_FS5</vt:lpstr>
      <vt:lpstr>AUG_FS5</vt:lpstr>
      <vt:lpstr>SEP_FS5</vt:lpstr>
      <vt:lpstr>OCT_FS5</vt:lpstr>
      <vt:lpstr>NOV_FS5</vt:lpstr>
      <vt:lpstr>DEC_FS5</vt:lpstr>
      <vt:lpstr>DATA</vt:lpstr>
      <vt:lpstr>FS3 Filling sheet</vt:lpstr>
      <vt:lpstr>ss filling sheet</vt:lpstr>
      <vt:lpstr>SPare</vt:lpstr>
      <vt:lpstr>AFalzon!APR_PAY</vt:lpstr>
      <vt:lpstr>AHaneena!APR_PAY</vt:lpstr>
      <vt:lpstr>AKunnamkudath!APR_PAY</vt:lpstr>
      <vt:lpstr>DMifsud_Ceci!APR_PAY</vt:lpstr>
      <vt:lpstr>ECurmi!APR_PAY</vt:lpstr>
      <vt:lpstr>ELama!APR_PAY</vt:lpstr>
      <vt:lpstr>KMizzi!APR_PAY</vt:lpstr>
      <vt:lpstr>LBonnici!APR_PAY</vt:lpstr>
      <vt:lpstr>LCarini!APR_PAY</vt:lpstr>
      <vt:lpstr>MAcero_Garzon!APR_PAY</vt:lpstr>
      <vt:lpstr>MCamilleri!APR_PAY</vt:lpstr>
      <vt:lpstr>MEllul!APR_PAY</vt:lpstr>
      <vt:lpstr>NScerri_Esposito!APR_PAY</vt:lpstr>
      <vt:lpstr>RAcharya!APR_PAY</vt:lpstr>
      <vt:lpstr>RAttard!APR_PAY</vt:lpstr>
      <vt:lpstr>RCamilleri!APR_PAY</vt:lpstr>
      <vt:lpstr>RGaldes!APR_PAY</vt:lpstr>
      <vt:lpstr>RMallan_Albani!APR_PAY</vt:lpstr>
      <vt:lpstr>RSreejith!APR_PAY</vt:lpstr>
      <vt:lpstr>SPare!APR_PAY</vt:lpstr>
      <vt:lpstr>ZMifsud!APR_PAY</vt:lpstr>
      <vt:lpstr>AFalzon!ApreeSocSec</vt:lpstr>
      <vt:lpstr>AHaneena!ApreeSocSec</vt:lpstr>
      <vt:lpstr>AKunnamkudath!ApreeSocSec</vt:lpstr>
      <vt:lpstr>DMifsud_Ceci!ApreeSocSec</vt:lpstr>
      <vt:lpstr>ECurmi!ApreeSocSec</vt:lpstr>
      <vt:lpstr>ELama!ApreeSocSec</vt:lpstr>
      <vt:lpstr>KMizzi!ApreeSocSec</vt:lpstr>
      <vt:lpstr>LBonnici!ApreeSocSec</vt:lpstr>
      <vt:lpstr>LCarini!ApreeSocSec</vt:lpstr>
      <vt:lpstr>MAcero_Garzon!ApreeSocSec</vt:lpstr>
      <vt:lpstr>MCamilleri!ApreeSocSec</vt:lpstr>
      <vt:lpstr>MEllul!ApreeSocSec</vt:lpstr>
      <vt:lpstr>NScerri_Esposito!ApreeSocSec</vt:lpstr>
      <vt:lpstr>RAcharya!ApreeSocSec</vt:lpstr>
      <vt:lpstr>RAttard!ApreeSocSec</vt:lpstr>
      <vt:lpstr>RCamilleri!ApreeSocSec</vt:lpstr>
      <vt:lpstr>RGaldes!ApreeSocSec</vt:lpstr>
      <vt:lpstr>RMallan_Albani!ApreeSocSec</vt:lpstr>
      <vt:lpstr>RSreejith!ApreeSocSec</vt:lpstr>
      <vt:lpstr>SPare!ApreeSocSec</vt:lpstr>
      <vt:lpstr>ZMifsud!ApreeSocSec</vt:lpstr>
      <vt:lpstr>AFalzon!APRERSocSec</vt:lpstr>
      <vt:lpstr>AHaneena!APRERSocSec</vt:lpstr>
      <vt:lpstr>AKunnamkudath!APRERSocSec</vt:lpstr>
      <vt:lpstr>DMifsud_Ceci!APRERSocSec</vt:lpstr>
      <vt:lpstr>ECurmi!APRERSocSec</vt:lpstr>
      <vt:lpstr>ELama!APRERSocSec</vt:lpstr>
      <vt:lpstr>KMizzi!APRERSocSec</vt:lpstr>
      <vt:lpstr>LBonnici!APRERSocSec</vt:lpstr>
      <vt:lpstr>LCarini!APRERSocSec</vt:lpstr>
      <vt:lpstr>MAcero_Garzon!APRERSocSec</vt:lpstr>
      <vt:lpstr>MCamilleri!APRERSocSec</vt:lpstr>
      <vt:lpstr>MEllul!APRERSocSec</vt:lpstr>
      <vt:lpstr>NScerri_Esposito!APRERSocSec</vt:lpstr>
      <vt:lpstr>RAcharya!APRERSocSec</vt:lpstr>
      <vt:lpstr>RAttard!APRERSocSec</vt:lpstr>
      <vt:lpstr>RCamilleri!APRERSocSec</vt:lpstr>
      <vt:lpstr>RGaldes!APRERSocSec</vt:lpstr>
      <vt:lpstr>RMallan_Albani!APRERSocSec</vt:lpstr>
      <vt:lpstr>RSreejith!APRERSocSec</vt:lpstr>
      <vt:lpstr>SPare!APRERSocSec</vt:lpstr>
      <vt:lpstr>ZMifsud!APRERSocSec</vt:lpstr>
      <vt:lpstr>AFalzon!apreuhrs</vt:lpstr>
      <vt:lpstr>AHaneena!apreuhrs</vt:lpstr>
      <vt:lpstr>AKunnamkudath!apreuhrs</vt:lpstr>
      <vt:lpstr>DMifsud_Ceci!apreuhrs</vt:lpstr>
      <vt:lpstr>ECurmi!apreuhrs</vt:lpstr>
      <vt:lpstr>ELama!apreuhrs</vt:lpstr>
      <vt:lpstr>KMizzi!apreuhrs</vt:lpstr>
      <vt:lpstr>LBonnici!apreuhrs</vt:lpstr>
      <vt:lpstr>LCarini!apreuhrs</vt:lpstr>
      <vt:lpstr>MAcero_Garzon!apreuhrs</vt:lpstr>
      <vt:lpstr>MCamilleri!apreuhrs</vt:lpstr>
      <vt:lpstr>MEllul!apreuhrs</vt:lpstr>
      <vt:lpstr>NScerri_Esposito!apreuhrs</vt:lpstr>
      <vt:lpstr>RAcharya!apreuhrs</vt:lpstr>
      <vt:lpstr>RAttard!apreuhrs</vt:lpstr>
      <vt:lpstr>RCamilleri!apreuhrs</vt:lpstr>
      <vt:lpstr>RGaldes!apreuhrs</vt:lpstr>
      <vt:lpstr>RMallan_Albani!apreuhrs</vt:lpstr>
      <vt:lpstr>RSreejith!apreuhrs</vt:lpstr>
      <vt:lpstr>SPare!apreuhrs</vt:lpstr>
      <vt:lpstr>ZMifsud!apreuhrs</vt:lpstr>
      <vt:lpstr>AFalzon!aprgrs</vt:lpstr>
      <vt:lpstr>AHaneena!aprgrs</vt:lpstr>
      <vt:lpstr>AKunnamkudath!aprgrs</vt:lpstr>
      <vt:lpstr>DMifsud_Ceci!aprgrs</vt:lpstr>
      <vt:lpstr>ECurmi!aprgrs</vt:lpstr>
      <vt:lpstr>ELama!aprgrs</vt:lpstr>
      <vt:lpstr>KMizzi!aprgrs</vt:lpstr>
      <vt:lpstr>LBonnici!aprgrs</vt:lpstr>
      <vt:lpstr>LCarini!aprgrs</vt:lpstr>
      <vt:lpstr>MAcero_Garzon!aprgrs</vt:lpstr>
      <vt:lpstr>MCamilleri!aprgrs</vt:lpstr>
      <vt:lpstr>MEllul!aprgrs</vt:lpstr>
      <vt:lpstr>NScerri_Esposito!aprgrs</vt:lpstr>
      <vt:lpstr>RAcharya!aprgrs</vt:lpstr>
      <vt:lpstr>RAttard!aprgrs</vt:lpstr>
      <vt:lpstr>RCamilleri!aprgrs</vt:lpstr>
      <vt:lpstr>RGaldes!aprgrs</vt:lpstr>
      <vt:lpstr>RMallan_Albani!aprgrs</vt:lpstr>
      <vt:lpstr>RSreejith!aprgrs</vt:lpstr>
      <vt:lpstr>SPare!aprgrs</vt:lpstr>
      <vt:lpstr>ZMifsud!aprgrs</vt:lpstr>
      <vt:lpstr>AFalzon!aprhrrt</vt:lpstr>
      <vt:lpstr>AHaneena!aprhrrt</vt:lpstr>
      <vt:lpstr>AKunnamkudath!aprhrrt</vt:lpstr>
      <vt:lpstr>DMifsud_Ceci!aprhrrt</vt:lpstr>
      <vt:lpstr>ECurmi!aprhrrt</vt:lpstr>
      <vt:lpstr>ELama!aprhrrt</vt:lpstr>
      <vt:lpstr>KMizzi!aprhrrt</vt:lpstr>
      <vt:lpstr>LBonnici!aprhrrt</vt:lpstr>
      <vt:lpstr>LCarini!aprhrrt</vt:lpstr>
      <vt:lpstr>MAcero_Garzon!aprhrrt</vt:lpstr>
      <vt:lpstr>MCamilleri!aprhrrt</vt:lpstr>
      <vt:lpstr>MEllul!aprhrrt</vt:lpstr>
      <vt:lpstr>NScerri_Esposito!aprhrrt</vt:lpstr>
      <vt:lpstr>RAcharya!aprhrrt</vt:lpstr>
      <vt:lpstr>RAttard!aprhrrt</vt:lpstr>
      <vt:lpstr>RCamilleri!aprhrrt</vt:lpstr>
      <vt:lpstr>RGaldes!aprhrrt</vt:lpstr>
      <vt:lpstr>RMallan_Albani!aprhrrt</vt:lpstr>
      <vt:lpstr>RSreejith!aprhrrt</vt:lpstr>
      <vt:lpstr>SPare!aprhrrt</vt:lpstr>
      <vt:lpstr>ZMifsud!aprhrrt</vt:lpstr>
      <vt:lpstr>AFalzon!aprmlf</vt:lpstr>
      <vt:lpstr>AHaneena!aprmlf</vt:lpstr>
      <vt:lpstr>AKunnamkudath!aprmlf</vt:lpstr>
      <vt:lpstr>DMifsud_Ceci!aprmlf</vt:lpstr>
      <vt:lpstr>ECurmi!aprmlf</vt:lpstr>
      <vt:lpstr>ELama!aprmlf</vt:lpstr>
      <vt:lpstr>'fs7'!aprmlf</vt:lpstr>
      <vt:lpstr>KMizzi!aprmlf</vt:lpstr>
      <vt:lpstr>LBonnici!aprmlf</vt:lpstr>
      <vt:lpstr>LCarini!aprmlf</vt:lpstr>
      <vt:lpstr>MAcero_Garzon!aprmlf</vt:lpstr>
      <vt:lpstr>MCamilleri!aprmlf</vt:lpstr>
      <vt:lpstr>MEllul!aprmlf</vt:lpstr>
      <vt:lpstr>NScerri_Esposito!aprmlf</vt:lpstr>
      <vt:lpstr>RAcharya!aprmlf</vt:lpstr>
      <vt:lpstr>RAttard!aprmlf</vt:lpstr>
      <vt:lpstr>RCamilleri!aprmlf</vt:lpstr>
      <vt:lpstr>RGaldes!aprmlf</vt:lpstr>
      <vt:lpstr>RMallan_Albani!aprmlf</vt:lpstr>
      <vt:lpstr>RSreejith!aprmlf</vt:lpstr>
      <vt:lpstr>SPare!aprmlf</vt:lpstr>
      <vt:lpstr>ZMifsud!aprmlf</vt:lpstr>
      <vt:lpstr>AFalzon!aproth</vt:lpstr>
      <vt:lpstr>AHaneena!aproth</vt:lpstr>
      <vt:lpstr>AKunnamkudath!aproth</vt:lpstr>
      <vt:lpstr>DMifsud_Ceci!aproth</vt:lpstr>
      <vt:lpstr>ECurmi!aproth</vt:lpstr>
      <vt:lpstr>ELama!aproth</vt:lpstr>
      <vt:lpstr>KMizzi!aproth</vt:lpstr>
      <vt:lpstr>LBonnici!aproth</vt:lpstr>
      <vt:lpstr>LCarini!aproth</vt:lpstr>
      <vt:lpstr>MAcero_Garzon!aproth</vt:lpstr>
      <vt:lpstr>MCamilleri!aproth</vt:lpstr>
      <vt:lpstr>MEllul!aproth</vt:lpstr>
      <vt:lpstr>NScerri_Esposito!aproth</vt:lpstr>
      <vt:lpstr>RAcharya!aproth</vt:lpstr>
      <vt:lpstr>RAttard!aproth</vt:lpstr>
      <vt:lpstr>RCamilleri!aproth</vt:lpstr>
      <vt:lpstr>RGaldes!aproth</vt:lpstr>
      <vt:lpstr>RMallan_Albani!aproth</vt:lpstr>
      <vt:lpstr>RSreejith!aproth</vt:lpstr>
      <vt:lpstr>SPare!aproth</vt:lpstr>
      <vt:lpstr>ZMifsud!aproth</vt:lpstr>
      <vt:lpstr>AFalzon!aprpb</vt:lpstr>
      <vt:lpstr>AHaneena!aprpb</vt:lpstr>
      <vt:lpstr>AKunnamkudath!aprpb</vt:lpstr>
      <vt:lpstr>DMifsud_Ceci!aprpb</vt:lpstr>
      <vt:lpstr>ECurmi!aprpb</vt:lpstr>
      <vt:lpstr>ELama!aprpb</vt:lpstr>
      <vt:lpstr>KMizzi!aprpb</vt:lpstr>
      <vt:lpstr>LBonnici!aprpb</vt:lpstr>
      <vt:lpstr>LCarini!aprpb</vt:lpstr>
      <vt:lpstr>MAcero_Garzon!aprpb</vt:lpstr>
      <vt:lpstr>MCamilleri!aprpb</vt:lpstr>
      <vt:lpstr>MEllul!aprpb</vt:lpstr>
      <vt:lpstr>NScerri_Esposito!aprpb</vt:lpstr>
      <vt:lpstr>RAcharya!aprpb</vt:lpstr>
      <vt:lpstr>RAttard!aprpb</vt:lpstr>
      <vt:lpstr>RCamilleri!aprpb</vt:lpstr>
      <vt:lpstr>RGaldes!aprpb</vt:lpstr>
      <vt:lpstr>RMallan_Albani!aprpb</vt:lpstr>
      <vt:lpstr>RSreejith!aprpb</vt:lpstr>
      <vt:lpstr>SPare!aprpb</vt:lpstr>
      <vt:lpstr>ZMifsud!aprpb</vt:lpstr>
      <vt:lpstr>AFalzon!aprsb</vt:lpstr>
      <vt:lpstr>AHaneena!aprsb</vt:lpstr>
      <vt:lpstr>AKunnamkudath!aprsb</vt:lpstr>
      <vt:lpstr>DMifsud_Ceci!aprsb</vt:lpstr>
      <vt:lpstr>ECurmi!aprsb</vt:lpstr>
      <vt:lpstr>ELama!aprsb</vt:lpstr>
      <vt:lpstr>KMizzi!aprsb</vt:lpstr>
      <vt:lpstr>LBonnici!aprsb</vt:lpstr>
      <vt:lpstr>LCarini!aprsb</vt:lpstr>
      <vt:lpstr>MAcero_Garzon!aprsb</vt:lpstr>
      <vt:lpstr>MCamilleri!aprsb</vt:lpstr>
      <vt:lpstr>MEllul!aprsb</vt:lpstr>
      <vt:lpstr>NScerri_Esposito!aprsb</vt:lpstr>
      <vt:lpstr>RAcharya!aprsb</vt:lpstr>
      <vt:lpstr>RAttard!aprsb</vt:lpstr>
      <vt:lpstr>RCamilleri!aprsb</vt:lpstr>
      <vt:lpstr>RGaldes!aprsb</vt:lpstr>
      <vt:lpstr>RMallan_Albani!aprsb</vt:lpstr>
      <vt:lpstr>RSreejith!aprsb</vt:lpstr>
      <vt:lpstr>SPare!aprsb</vt:lpstr>
      <vt:lpstr>ZMifsud!aprsb</vt:lpstr>
      <vt:lpstr>'fs7'!aprssc</vt:lpstr>
      <vt:lpstr>AFalzon!aprULHr</vt:lpstr>
      <vt:lpstr>AHaneena!aprULHr</vt:lpstr>
      <vt:lpstr>AKunnamkudath!aprULHr</vt:lpstr>
      <vt:lpstr>DMifsud_Ceci!aprULHr</vt:lpstr>
      <vt:lpstr>ECurmi!aprULHr</vt:lpstr>
      <vt:lpstr>ELama!aprULHr</vt:lpstr>
      <vt:lpstr>KMizzi!aprULHr</vt:lpstr>
      <vt:lpstr>LBonnici!aprULHr</vt:lpstr>
      <vt:lpstr>LCarini!aprULHr</vt:lpstr>
      <vt:lpstr>MAcero_Garzon!aprULHr</vt:lpstr>
      <vt:lpstr>MCamilleri!aprULHr</vt:lpstr>
      <vt:lpstr>MEllul!aprULHr</vt:lpstr>
      <vt:lpstr>NScerri_Esposito!aprULHr</vt:lpstr>
      <vt:lpstr>RAcharya!aprULHr</vt:lpstr>
      <vt:lpstr>RAttard!aprULHr</vt:lpstr>
      <vt:lpstr>RCamilleri!aprULHr</vt:lpstr>
      <vt:lpstr>RGaldes!aprULHr</vt:lpstr>
      <vt:lpstr>RMallan_Albani!aprULHr</vt:lpstr>
      <vt:lpstr>RSreejith!aprULHr</vt:lpstr>
      <vt:lpstr>SPare!aprULHr</vt:lpstr>
      <vt:lpstr>ZMifsud!aprULHr</vt:lpstr>
      <vt:lpstr>AFalzon!Aug_PAY</vt:lpstr>
      <vt:lpstr>AHaneena!Aug_PAY</vt:lpstr>
      <vt:lpstr>AKunnamkudath!Aug_PAY</vt:lpstr>
      <vt:lpstr>DMifsud_Ceci!Aug_PAY</vt:lpstr>
      <vt:lpstr>ECurmi!Aug_PAY</vt:lpstr>
      <vt:lpstr>ELama!Aug_PAY</vt:lpstr>
      <vt:lpstr>KMizzi!Aug_PAY</vt:lpstr>
      <vt:lpstr>LBonnici!Aug_PAY</vt:lpstr>
      <vt:lpstr>LCarini!Aug_PAY</vt:lpstr>
      <vt:lpstr>MAcero_Garzon!Aug_PAY</vt:lpstr>
      <vt:lpstr>MCamilleri!Aug_PAY</vt:lpstr>
      <vt:lpstr>MEllul!Aug_PAY</vt:lpstr>
      <vt:lpstr>NScerri_Esposito!Aug_PAY</vt:lpstr>
      <vt:lpstr>RAcharya!Aug_PAY</vt:lpstr>
      <vt:lpstr>RAttard!Aug_PAY</vt:lpstr>
      <vt:lpstr>RCamilleri!Aug_PAY</vt:lpstr>
      <vt:lpstr>RGaldes!Aug_PAY</vt:lpstr>
      <vt:lpstr>RMallan_Albani!Aug_PAY</vt:lpstr>
      <vt:lpstr>RSreejith!Aug_PAY</vt:lpstr>
      <vt:lpstr>SPare!Aug_PAY</vt:lpstr>
      <vt:lpstr>ZMifsud!Aug_PAY</vt:lpstr>
      <vt:lpstr>AFalzon!augeeSocSec</vt:lpstr>
      <vt:lpstr>AHaneena!augeeSocSec</vt:lpstr>
      <vt:lpstr>AKunnamkudath!augeeSocSec</vt:lpstr>
      <vt:lpstr>DMifsud_Ceci!augeeSocSec</vt:lpstr>
      <vt:lpstr>ECurmi!augeeSocSec</vt:lpstr>
      <vt:lpstr>ELama!augeeSocSec</vt:lpstr>
      <vt:lpstr>KMizzi!augeeSocSec</vt:lpstr>
      <vt:lpstr>LBonnici!augeeSocSec</vt:lpstr>
      <vt:lpstr>LCarini!augeeSocSec</vt:lpstr>
      <vt:lpstr>MAcero_Garzon!augeeSocSec</vt:lpstr>
      <vt:lpstr>MCamilleri!augeeSocSec</vt:lpstr>
      <vt:lpstr>MEllul!augeeSocSec</vt:lpstr>
      <vt:lpstr>NScerri_Esposito!augeeSocSec</vt:lpstr>
      <vt:lpstr>RAcharya!augeeSocSec</vt:lpstr>
      <vt:lpstr>RAttard!augeeSocSec</vt:lpstr>
      <vt:lpstr>RCamilleri!augeeSocSec</vt:lpstr>
      <vt:lpstr>RGaldes!augeeSocSec</vt:lpstr>
      <vt:lpstr>RMallan_Albani!augeeSocSec</vt:lpstr>
      <vt:lpstr>RSreejith!augeeSocSec</vt:lpstr>
      <vt:lpstr>SPare!augeeSocSec</vt:lpstr>
      <vt:lpstr>ZMifsud!augeeSocSec</vt:lpstr>
      <vt:lpstr>AFalzon!AugERSocSec</vt:lpstr>
      <vt:lpstr>AHaneena!AugERSocSec</vt:lpstr>
      <vt:lpstr>AKunnamkudath!AugERSocSec</vt:lpstr>
      <vt:lpstr>DMifsud_Ceci!AugERSocSec</vt:lpstr>
      <vt:lpstr>ECurmi!AugERSocSec</vt:lpstr>
      <vt:lpstr>ELama!AugERSocSec</vt:lpstr>
      <vt:lpstr>KMizzi!AugERSocSec</vt:lpstr>
      <vt:lpstr>LBonnici!AugERSocSec</vt:lpstr>
      <vt:lpstr>LCarini!AugERSocSec</vt:lpstr>
      <vt:lpstr>MAcero_Garzon!AugERSocSec</vt:lpstr>
      <vt:lpstr>MCamilleri!AugERSocSec</vt:lpstr>
      <vt:lpstr>MEllul!AugERSocSec</vt:lpstr>
      <vt:lpstr>NScerri_Esposito!AugERSocSec</vt:lpstr>
      <vt:lpstr>RAcharya!AugERSocSec</vt:lpstr>
      <vt:lpstr>RAttard!AugERSocSec</vt:lpstr>
      <vt:lpstr>RCamilleri!AugERSocSec</vt:lpstr>
      <vt:lpstr>RGaldes!AugERSocSec</vt:lpstr>
      <vt:lpstr>RMallan_Albani!AugERSocSec</vt:lpstr>
      <vt:lpstr>RSreejith!AugERSocSec</vt:lpstr>
      <vt:lpstr>SPare!AugERSocSec</vt:lpstr>
      <vt:lpstr>ZMifsud!AugERSocSec</vt:lpstr>
      <vt:lpstr>AFalzon!augeuhrs</vt:lpstr>
      <vt:lpstr>AHaneena!augeuhrs</vt:lpstr>
      <vt:lpstr>AKunnamkudath!augeuhrs</vt:lpstr>
      <vt:lpstr>DMifsud_Ceci!augeuhrs</vt:lpstr>
      <vt:lpstr>ECurmi!augeuhrs</vt:lpstr>
      <vt:lpstr>ELama!augeuhrs</vt:lpstr>
      <vt:lpstr>KMizzi!augeuhrs</vt:lpstr>
      <vt:lpstr>LBonnici!augeuhrs</vt:lpstr>
      <vt:lpstr>LCarini!augeuhrs</vt:lpstr>
      <vt:lpstr>MAcero_Garzon!augeuhrs</vt:lpstr>
      <vt:lpstr>MCamilleri!augeuhrs</vt:lpstr>
      <vt:lpstr>MEllul!augeuhrs</vt:lpstr>
      <vt:lpstr>NScerri_Esposito!augeuhrs</vt:lpstr>
      <vt:lpstr>RAcharya!augeuhrs</vt:lpstr>
      <vt:lpstr>RAttard!augeuhrs</vt:lpstr>
      <vt:lpstr>RCamilleri!augeuhrs</vt:lpstr>
      <vt:lpstr>RGaldes!augeuhrs</vt:lpstr>
      <vt:lpstr>RMallan_Albani!augeuhrs</vt:lpstr>
      <vt:lpstr>RSreejith!augeuhrs</vt:lpstr>
      <vt:lpstr>SPare!augeuhrs</vt:lpstr>
      <vt:lpstr>ZMifsud!augeuhrs</vt:lpstr>
      <vt:lpstr>'fs7'!augfsstax</vt:lpstr>
      <vt:lpstr>AFalzon!auggrs</vt:lpstr>
      <vt:lpstr>AHaneena!auggrs</vt:lpstr>
      <vt:lpstr>AKunnamkudath!auggrs</vt:lpstr>
      <vt:lpstr>DMifsud_Ceci!auggrs</vt:lpstr>
      <vt:lpstr>ECurmi!auggrs</vt:lpstr>
      <vt:lpstr>ELama!auggrs</vt:lpstr>
      <vt:lpstr>KMizzi!auggrs</vt:lpstr>
      <vt:lpstr>LBonnici!auggrs</vt:lpstr>
      <vt:lpstr>LCarini!auggrs</vt:lpstr>
      <vt:lpstr>MAcero_Garzon!auggrs</vt:lpstr>
      <vt:lpstr>MCamilleri!auggrs</vt:lpstr>
      <vt:lpstr>MEllul!auggrs</vt:lpstr>
      <vt:lpstr>NScerri_Esposito!auggrs</vt:lpstr>
      <vt:lpstr>RAcharya!auggrs</vt:lpstr>
      <vt:lpstr>RAttard!auggrs</vt:lpstr>
      <vt:lpstr>RCamilleri!auggrs</vt:lpstr>
      <vt:lpstr>RGaldes!auggrs</vt:lpstr>
      <vt:lpstr>RMallan_Albani!auggrs</vt:lpstr>
      <vt:lpstr>RSreejith!auggrs</vt:lpstr>
      <vt:lpstr>SPare!auggrs</vt:lpstr>
      <vt:lpstr>ZMifsud!auggrs</vt:lpstr>
      <vt:lpstr>AFalzon!aughrrt</vt:lpstr>
      <vt:lpstr>AHaneena!aughrrt</vt:lpstr>
      <vt:lpstr>AKunnamkudath!aughrrt</vt:lpstr>
      <vt:lpstr>DMifsud_Ceci!aughrrt</vt:lpstr>
      <vt:lpstr>ECurmi!aughrrt</vt:lpstr>
      <vt:lpstr>ELama!aughrrt</vt:lpstr>
      <vt:lpstr>KMizzi!aughrrt</vt:lpstr>
      <vt:lpstr>LBonnici!aughrrt</vt:lpstr>
      <vt:lpstr>LCarini!aughrrt</vt:lpstr>
      <vt:lpstr>MAcero_Garzon!aughrrt</vt:lpstr>
      <vt:lpstr>MCamilleri!aughrrt</vt:lpstr>
      <vt:lpstr>MEllul!aughrrt</vt:lpstr>
      <vt:lpstr>NScerri_Esposito!aughrrt</vt:lpstr>
      <vt:lpstr>RAcharya!aughrrt</vt:lpstr>
      <vt:lpstr>RAttard!aughrrt</vt:lpstr>
      <vt:lpstr>RCamilleri!aughrrt</vt:lpstr>
      <vt:lpstr>RGaldes!aughrrt</vt:lpstr>
      <vt:lpstr>RMallan_Albani!aughrrt</vt:lpstr>
      <vt:lpstr>RSreejith!aughrrt</vt:lpstr>
      <vt:lpstr>SPare!aughrrt</vt:lpstr>
      <vt:lpstr>ZMifsud!aughrrt</vt:lpstr>
      <vt:lpstr>AFalzon!augmlf</vt:lpstr>
      <vt:lpstr>AHaneena!augmlf</vt:lpstr>
      <vt:lpstr>AKunnamkudath!augmlf</vt:lpstr>
      <vt:lpstr>DMifsud_Ceci!augmlf</vt:lpstr>
      <vt:lpstr>ECurmi!augmlf</vt:lpstr>
      <vt:lpstr>ELama!augmlf</vt:lpstr>
      <vt:lpstr>'fs7'!augmlf</vt:lpstr>
      <vt:lpstr>KMizzi!augmlf</vt:lpstr>
      <vt:lpstr>LBonnici!augmlf</vt:lpstr>
      <vt:lpstr>LCarini!augmlf</vt:lpstr>
      <vt:lpstr>MAcero_Garzon!augmlf</vt:lpstr>
      <vt:lpstr>MCamilleri!augmlf</vt:lpstr>
      <vt:lpstr>MEllul!augmlf</vt:lpstr>
      <vt:lpstr>NScerri_Esposito!augmlf</vt:lpstr>
      <vt:lpstr>RAcharya!augmlf</vt:lpstr>
      <vt:lpstr>RAttard!augmlf</vt:lpstr>
      <vt:lpstr>RCamilleri!augmlf</vt:lpstr>
      <vt:lpstr>RGaldes!augmlf</vt:lpstr>
      <vt:lpstr>RMallan_Albani!augmlf</vt:lpstr>
      <vt:lpstr>RSreejith!augmlf</vt:lpstr>
      <vt:lpstr>SPare!augmlf</vt:lpstr>
      <vt:lpstr>ZMifsud!augmlf</vt:lpstr>
      <vt:lpstr>AFalzon!augoth</vt:lpstr>
      <vt:lpstr>AHaneena!augoth</vt:lpstr>
      <vt:lpstr>AKunnamkudath!augoth</vt:lpstr>
      <vt:lpstr>DMifsud_Ceci!augoth</vt:lpstr>
      <vt:lpstr>ECurmi!augoth</vt:lpstr>
      <vt:lpstr>ELama!augoth</vt:lpstr>
      <vt:lpstr>KMizzi!augoth</vt:lpstr>
      <vt:lpstr>LBonnici!augoth</vt:lpstr>
      <vt:lpstr>LCarini!augoth</vt:lpstr>
      <vt:lpstr>MAcero_Garzon!augoth</vt:lpstr>
      <vt:lpstr>MCamilleri!augoth</vt:lpstr>
      <vt:lpstr>MEllul!augoth</vt:lpstr>
      <vt:lpstr>NScerri_Esposito!augoth</vt:lpstr>
      <vt:lpstr>RAcharya!augoth</vt:lpstr>
      <vt:lpstr>RAttard!augoth</vt:lpstr>
      <vt:lpstr>RCamilleri!augoth</vt:lpstr>
      <vt:lpstr>RGaldes!augoth</vt:lpstr>
      <vt:lpstr>RMallan_Albani!augoth</vt:lpstr>
      <vt:lpstr>RSreejith!augoth</vt:lpstr>
      <vt:lpstr>SPare!augoth</vt:lpstr>
      <vt:lpstr>ZMifsud!augoth</vt:lpstr>
      <vt:lpstr>AFalzon!augpb</vt:lpstr>
      <vt:lpstr>AHaneena!augpb</vt:lpstr>
      <vt:lpstr>AKunnamkudath!augpb</vt:lpstr>
      <vt:lpstr>DMifsud_Ceci!augpb</vt:lpstr>
      <vt:lpstr>ECurmi!augpb</vt:lpstr>
      <vt:lpstr>ELama!augpb</vt:lpstr>
      <vt:lpstr>KMizzi!augpb</vt:lpstr>
      <vt:lpstr>LBonnici!augpb</vt:lpstr>
      <vt:lpstr>LCarini!augpb</vt:lpstr>
      <vt:lpstr>MAcero_Garzon!augpb</vt:lpstr>
      <vt:lpstr>MCamilleri!augpb</vt:lpstr>
      <vt:lpstr>MEllul!augpb</vt:lpstr>
      <vt:lpstr>NScerri_Esposito!augpb</vt:lpstr>
      <vt:lpstr>RAcharya!augpb</vt:lpstr>
      <vt:lpstr>RAttard!augpb</vt:lpstr>
      <vt:lpstr>RCamilleri!augpb</vt:lpstr>
      <vt:lpstr>RGaldes!augpb</vt:lpstr>
      <vt:lpstr>RMallan_Albani!augpb</vt:lpstr>
      <vt:lpstr>RSreejith!augpb</vt:lpstr>
      <vt:lpstr>SPare!augpb</vt:lpstr>
      <vt:lpstr>ZMifsud!augpb</vt:lpstr>
      <vt:lpstr>AFalzon!augsb</vt:lpstr>
      <vt:lpstr>AHaneena!augsb</vt:lpstr>
      <vt:lpstr>AKunnamkudath!augsb</vt:lpstr>
      <vt:lpstr>DMifsud_Ceci!augsb</vt:lpstr>
      <vt:lpstr>ECurmi!augsb</vt:lpstr>
      <vt:lpstr>ELama!augsb</vt:lpstr>
      <vt:lpstr>KMizzi!augsb</vt:lpstr>
      <vt:lpstr>LBonnici!augsb</vt:lpstr>
      <vt:lpstr>LCarini!augsb</vt:lpstr>
      <vt:lpstr>MAcero_Garzon!augsb</vt:lpstr>
      <vt:lpstr>MCamilleri!augsb</vt:lpstr>
      <vt:lpstr>MEllul!augsb</vt:lpstr>
      <vt:lpstr>NScerri_Esposito!augsb</vt:lpstr>
      <vt:lpstr>RAcharya!augsb</vt:lpstr>
      <vt:lpstr>RAttard!augsb</vt:lpstr>
      <vt:lpstr>RCamilleri!augsb</vt:lpstr>
      <vt:lpstr>RGaldes!augsb</vt:lpstr>
      <vt:lpstr>RMallan_Albani!augsb</vt:lpstr>
      <vt:lpstr>RSreejith!augsb</vt:lpstr>
      <vt:lpstr>SPare!augsb</vt:lpstr>
      <vt:lpstr>ZMifsud!augsb</vt:lpstr>
      <vt:lpstr>AFalzon!augULHr</vt:lpstr>
      <vt:lpstr>AHaneena!augULHr</vt:lpstr>
      <vt:lpstr>AKunnamkudath!augULHr</vt:lpstr>
      <vt:lpstr>DMifsud_Ceci!augULHr</vt:lpstr>
      <vt:lpstr>ECurmi!augULHr</vt:lpstr>
      <vt:lpstr>ELama!augULHr</vt:lpstr>
      <vt:lpstr>KMizzi!augULHr</vt:lpstr>
      <vt:lpstr>LBonnici!augULHr</vt:lpstr>
      <vt:lpstr>LCarini!augULHr</vt:lpstr>
      <vt:lpstr>MAcero_Garzon!augULHr</vt:lpstr>
      <vt:lpstr>MCamilleri!augULHr</vt:lpstr>
      <vt:lpstr>MEllul!augULHr</vt:lpstr>
      <vt:lpstr>NScerri_Esposito!augULHr</vt:lpstr>
      <vt:lpstr>RAcharya!augULHr</vt:lpstr>
      <vt:lpstr>RAttard!augULHr</vt:lpstr>
      <vt:lpstr>RCamilleri!augULHr</vt:lpstr>
      <vt:lpstr>RGaldes!augULHr</vt:lpstr>
      <vt:lpstr>RMallan_Albani!augULHr</vt:lpstr>
      <vt:lpstr>RSreejith!augULHr</vt:lpstr>
      <vt:lpstr>SPare!augULHr</vt:lpstr>
      <vt:lpstr>ZMifsud!augULHr</vt:lpstr>
      <vt:lpstr>AFalzon!Basic_Wage</vt:lpstr>
      <vt:lpstr>AHaneena!Basic_Wage</vt:lpstr>
      <vt:lpstr>AKunnamkudath!Basic_Wage</vt:lpstr>
      <vt:lpstr>DMifsud_Ceci!Basic_Wage</vt:lpstr>
      <vt:lpstr>ECurmi!Basic_Wage</vt:lpstr>
      <vt:lpstr>ELama!Basic_Wage</vt:lpstr>
      <vt:lpstr>KMizzi!Basic_Wage</vt:lpstr>
      <vt:lpstr>LBonnici!Basic_Wage</vt:lpstr>
      <vt:lpstr>LCarini!Basic_Wage</vt:lpstr>
      <vt:lpstr>MAcero_Garzon!Basic_Wage</vt:lpstr>
      <vt:lpstr>MCamilleri!Basic_Wage</vt:lpstr>
      <vt:lpstr>MEllul!Basic_Wage</vt:lpstr>
      <vt:lpstr>NScerri_Esposito!Basic_Wage</vt:lpstr>
      <vt:lpstr>RAcharya!Basic_Wage</vt:lpstr>
      <vt:lpstr>RAttard!Basic_Wage</vt:lpstr>
      <vt:lpstr>RCamilleri!Basic_Wage</vt:lpstr>
      <vt:lpstr>RGaldes!Basic_Wage</vt:lpstr>
      <vt:lpstr>RMallan_Albani!Basic_Wage</vt:lpstr>
      <vt:lpstr>RSreejith!Basic_Wage</vt:lpstr>
      <vt:lpstr>SPare!Basic_Wage</vt:lpstr>
      <vt:lpstr>ZMifsud!Basic_Wage</vt:lpstr>
      <vt:lpstr>FEB_FS5!bonusdec</vt:lpstr>
      <vt:lpstr>'FS3 Filling sheet'!bonusdec</vt:lpstr>
      <vt:lpstr>'fs7'!bonusdec</vt:lpstr>
      <vt:lpstr>JAN_FS5!bonusdec</vt:lpstr>
      <vt:lpstr>MAR_FS5!bonusdec</vt:lpstr>
      <vt:lpstr>'ss filling sheet'!bonusdec</vt:lpstr>
      <vt:lpstr>bonusdec</vt:lpstr>
      <vt:lpstr>FEB_FS5!BONUSJUN</vt:lpstr>
      <vt:lpstr>'FS3 Filling sheet'!BONUSJUN</vt:lpstr>
      <vt:lpstr>'fs7'!BONUSJUN</vt:lpstr>
      <vt:lpstr>JAN_FS5!BONUSJUN</vt:lpstr>
      <vt:lpstr>MAR_FS5!BONUSJUN</vt:lpstr>
      <vt:lpstr>'ss filling sheet'!BONUSJUN</vt:lpstr>
      <vt:lpstr>BONUSJUN</vt:lpstr>
      <vt:lpstr>FEB_FS5!bonusmar</vt:lpstr>
      <vt:lpstr>'FS3 Filling sheet'!bonusmar</vt:lpstr>
      <vt:lpstr>'fs7'!bonusmar</vt:lpstr>
      <vt:lpstr>JAN_FS5!bonusmar</vt:lpstr>
      <vt:lpstr>MAR_FS5!bonusmar</vt:lpstr>
      <vt:lpstr>'ss filling sheet'!bonusmar</vt:lpstr>
      <vt:lpstr>bonusmar</vt:lpstr>
      <vt:lpstr>FEB_FS5!bonussep</vt:lpstr>
      <vt:lpstr>'FS3 Filling sheet'!bonussep</vt:lpstr>
      <vt:lpstr>'fs7'!bonussep</vt:lpstr>
      <vt:lpstr>JAN_FS5!bonussep</vt:lpstr>
      <vt:lpstr>MAR_FS5!bonussep</vt:lpstr>
      <vt:lpstr>'ss filling sheet'!bonussep</vt:lpstr>
      <vt:lpstr>bonussep</vt:lpstr>
      <vt:lpstr>Summary!Clinic_add</vt:lpstr>
      <vt:lpstr>Clinic_add</vt:lpstr>
      <vt:lpstr>COLA</vt:lpstr>
      <vt:lpstr>AFalzon!DEC_PAY</vt:lpstr>
      <vt:lpstr>AHaneena!DEC_PAY</vt:lpstr>
      <vt:lpstr>AKunnamkudath!DEC_PAY</vt:lpstr>
      <vt:lpstr>DMifsud_Ceci!DEC_PAY</vt:lpstr>
      <vt:lpstr>ECurmi!DEC_PAY</vt:lpstr>
      <vt:lpstr>ELama!DEC_PAY</vt:lpstr>
      <vt:lpstr>KMizzi!DEC_PAY</vt:lpstr>
      <vt:lpstr>LBonnici!DEC_PAY</vt:lpstr>
      <vt:lpstr>LCarini!DEC_PAY</vt:lpstr>
      <vt:lpstr>MAcero_Garzon!DEC_PAY</vt:lpstr>
      <vt:lpstr>MCamilleri!DEC_PAY</vt:lpstr>
      <vt:lpstr>MEllul!DEC_PAY</vt:lpstr>
      <vt:lpstr>NScerri_Esposito!DEC_PAY</vt:lpstr>
      <vt:lpstr>RAcharya!DEC_PAY</vt:lpstr>
      <vt:lpstr>RAttard!DEC_PAY</vt:lpstr>
      <vt:lpstr>RCamilleri!DEC_PAY</vt:lpstr>
      <vt:lpstr>RGaldes!DEC_PAY</vt:lpstr>
      <vt:lpstr>RMallan_Albani!DEC_PAY</vt:lpstr>
      <vt:lpstr>RSreejith!DEC_PAY</vt:lpstr>
      <vt:lpstr>SPare!DEC_PAY</vt:lpstr>
      <vt:lpstr>ZMifsud!DEC_PAY</vt:lpstr>
      <vt:lpstr>AFalzon!deceesocsec</vt:lpstr>
      <vt:lpstr>AHaneena!deceesocsec</vt:lpstr>
      <vt:lpstr>AKunnamkudath!deceesocsec</vt:lpstr>
      <vt:lpstr>DMifsud_Ceci!deceesocsec</vt:lpstr>
      <vt:lpstr>ECurmi!deceesocsec</vt:lpstr>
      <vt:lpstr>ELama!deceesocsec</vt:lpstr>
      <vt:lpstr>KMizzi!deceesocsec</vt:lpstr>
      <vt:lpstr>LBonnici!deceesocsec</vt:lpstr>
      <vt:lpstr>LCarini!deceesocsec</vt:lpstr>
      <vt:lpstr>MAcero_Garzon!deceesocsec</vt:lpstr>
      <vt:lpstr>MCamilleri!deceesocsec</vt:lpstr>
      <vt:lpstr>MEllul!deceesocsec</vt:lpstr>
      <vt:lpstr>NScerri_Esposito!deceesocsec</vt:lpstr>
      <vt:lpstr>RAcharya!deceesocsec</vt:lpstr>
      <vt:lpstr>RAttard!deceesocsec</vt:lpstr>
      <vt:lpstr>RCamilleri!deceesocsec</vt:lpstr>
      <vt:lpstr>RGaldes!deceesocsec</vt:lpstr>
      <vt:lpstr>RMallan_Albani!deceesocsec</vt:lpstr>
      <vt:lpstr>RSreejith!deceesocsec</vt:lpstr>
      <vt:lpstr>SPare!deceesocsec</vt:lpstr>
      <vt:lpstr>ZMifsud!deceesocsec</vt:lpstr>
      <vt:lpstr>AFalzon!deceuhrs</vt:lpstr>
      <vt:lpstr>AHaneena!deceuhrs</vt:lpstr>
      <vt:lpstr>AKunnamkudath!deceuhrs</vt:lpstr>
      <vt:lpstr>DMifsud_Ceci!deceuhrs</vt:lpstr>
      <vt:lpstr>ECurmi!deceuhrs</vt:lpstr>
      <vt:lpstr>ELama!deceuhrs</vt:lpstr>
      <vt:lpstr>KMizzi!deceuhrs</vt:lpstr>
      <vt:lpstr>LBonnici!deceuhrs</vt:lpstr>
      <vt:lpstr>LCarini!deceuhrs</vt:lpstr>
      <vt:lpstr>MAcero_Garzon!deceuhrs</vt:lpstr>
      <vt:lpstr>MCamilleri!deceuhrs</vt:lpstr>
      <vt:lpstr>MEllul!deceuhrs</vt:lpstr>
      <vt:lpstr>NScerri_Esposito!deceuhrs</vt:lpstr>
      <vt:lpstr>RAcharya!deceuhrs</vt:lpstr>
      <vt:lpstr>RAttard!deceuhrs</vt:lpstr>
      <vt:lpstr>RCamilleri!deceuhrs</vt:lpstr>
      <vt:lpstr>RGaldes!deceuhrs</vt:lpstr>
      <vt:lpstr>RMallan_Albani!deceuhrs</vt:lpstr>
      <vt:lpstr>RSreejith!deceuhrs</vt:lpstr>
      <vt:lpstr>SPare!deceuhrs</vt:lpstr>
      <vt:lpstr>ZMifsud!deceuhrs</vt:lpstr>
      <vt:lpstr>'fs7'!decfsstax</vt:lpstr>
      <vt:lpstr>AFalzon!decgrs</vt:lpstr>
      <vt:lpstr>AHaneena!decgrs</vt:lpstr>
      <vt:lpstr>AKunnamkudath!decgrs</vt:lpstr>
      <vt:lpstr>DMifsud_Ceci!decgrs</vt:lpstr>
      <vt:lpstr>ECurmi!decgrs</vt:lpstr>
      <vt:lpstr>ELama!decgrs</vt:lpstr>
      <vt:lpstr>KMizzi!decgrs</vt:lpstr>
      <vt:lpstr>LBonnici!decgrs</vt:lpstr>
      <vt:lpstr>LCarini!decgrs</vt:lpstr>
      <vt:lpstr>MAcero_Garzon!decgrs</vt:lpstr>
      <vt:lpstr>MCamilleri!decgrs</vt:lpstr>
      <vt:lpstr>MEllul!decgrs</vt:lpstr>
      <vt:lpstr>NScerri_Esposito!decgrs</vt:lpstr>
      <vt:lpstr>RAcharya!decgrs</vt:lpstr>
      <vt:lpstr>RAttard!decgrs</vt:lpstr>
      <vt:lpstr>RCamilleri!decgrs</vt:lpstr>
      <vt:lpstr>RGaldes!decgrs</vt:lpstr>
      <vt:lpstr>RMallan_Albani!decgrs</vt:lpstr>
      <vt:lpstr>RSreejith!decgrs</vt:lpstr>
      <vt:lpstr>SPare!decgrs</vt:lpstr>
      <vt:lpstr>ZMifsud!decgrs</vt:lpstr>
      <vt:lpstr>AFalzon!dechrrt</vt:lpstr>
      <vt:lpstr>AHaneena!dechrrt</vt:lpstr>
      <vt:lpstr>AKunnamkudath!dechrrt</vt:lpstr>
      <vt:lpstr>DMifsud_Ceci!dechrrt</vt:lpstr>
      <vt:lpstr>ECurmi!dechrrt</vt:lpstr>
      <vt:lpstr>ELama!dechrrt</vt:lpstr>
      <vt:lpstr>KMizzi!dechrrt</vt:lpstr>
      <vt:lpstr>LBonnici!dechrrt</vt:lpstr>
      <vt:lpstr>LCarini!dechrrt</vt:lpstr>
      <vt:lpstr>MAcero_Garzon!dechrrt</vt:lpstr>
      <vt:lpstr>MCamilleri!dechrrt</vt:lpstr>
      <vt:lpstr>MEllul!dechrrt</vt:lpstr>
      <vt:lpstr>NScerri_Esposito!dechrrt</vt:lpstr>
      <vt:lpstr>RAcharya!dechrrt</vt:lpstr>
      <vt:lpstr>RAttard!dechrrt</vt:lpstr>
      <vt:lpstr>RCamilleri!dechrrt</vt:lpstr>
      <vt:lpstr>RGaldes!dechrrt</vt:lpstr>
      <vt:lpstr>RMallan_Albani!dechrrt</vt:lpstr>
      <vt:lpstr>RSreejith!dechrrt</vt:lpstr>
      <vt:lpstr>SPare!dechrrt</vt:lpstr>
      <vt:lpstr>ZMifsud!dechrrt</vt:lpstr>
      <vt:lpstr>AFalzon!decmlf</vt:lpstr>
      <vt:lpstr>AHaneena!decmlf</vt:lpstr>
      <vt:lpstr>AKunnamkudath!decmlf</vt:lpstr>
      <vt:lpstr>DMifsud_Ceci!decmlf</vt:lpstr>
      <vt:lpstr>ECurmi!decmlf</vt:lpstr>
      <vt:lpstr>ELama!decmlf</vt:lpstr>
      <vt:lpstr>'fs7'!decmlf</vt:lpstr>
      <vt:lpstr>KMizzi!decmlf</vt:lpstr>
      <vt:lpstr>LBonnici!decmlf</vt:lpstr>
      <vt:lpstr>LCarini!decmlf</vt:lpstr>
      <vt:lpstr>MAcero_Garzon!decmlf</vt:lpstr>
      <vt:lpstr>MCamilleri!decmlf</vt:lpstr>
      <vt:lpstr>MEllul!decmlf</vt:lpstr>
      <vt:lpstr>NScerri_Esposito!decmlf</vt:lpstr>
      <vt:lpstr>RAcharya!decmlf</vt:lpstr>
      <vt:lpstr>RAttard!decmlf</vt:lpstr>
      <vt:lpstr>RCamilleri!decmlf</vt:lpstr>
      <vt:lpstr>RGaldes!decmlf</vt:lpstr>
      <vt:lpstr>RMallan_Albani!decmlf</vt:lpstr>
      <vt:lpstr>RSreejith!decmlf</vt:lpstr>
      <vt:lpstr>SPare!decmlf</vt:lpstr>
      <vt:lpstr>ZMifsud!decmlf</vt:lpstr>
      <vt:lpstr>AFalzon!decoth</vt:lpstr>
      <vt:lpstr>AHaneena!decoth</vt:lpstr>
      <vt:lpstr>AKunnamkudath!decoth</vt:lpstr>
      <vt:lpstr>DMifsud_Ceci!decoth</vt:lpstr>
      <vt:lpstr>ECurmi!decoth</vt:lpstr>
      <vt:lpstr>ELama!decoth</vt:lpstr>
      <vt:lpstr>KMizzi!decoth</vt:lpstr>
      <vt:lpstr>LBonnici!decoth</vt:lpstr>
      <vt:lpstr>LCarini!decoth</vt:lpstr>
      <vt:lpstr>MAcero_Garzon!decoth</vt:lpstr>
      <vt:lpstr>MCamilleri!decoth</vt:lpstr>
      <vt:lpstr>MEllul!decoth</vt:lpstr>
      <vt:lpstr>NScerri_Esposito!decoth</vt:lpstr>
      <vt:lpstr>RAcharya!decoth</vt:lpstr>
      <vt:lpstr>RAttard!decoth</vt:lpstr>
      <vt:lpstr>RCamilleri!decoth</vt:lpstr>
      <vt:lpstr>RGaldes!decoth</vt:lpstr>
      <vt:lpstr>RMallan_Albani!decoth</vt:lpstr>
      <vt:lpstr>RSreejith!decoth</vt:lpstr>
      <vt:lpstr>SPare!decoth</vt:lpstr>
      <vt:lpstr>ZMifsud!decoth</vt:lpstr>
      <vt:lpstr>AFalzon!decpb</vt:lpstr>
      <vt:lpstr>AHaneena!decpb</vt:lpstr>
      <vt:lpstr>AKunnamkudath!decpb</vt:lpstr>
      <vt:lpstr>DMifsud_Ceci!decpb</vt:lpstr>
      <vt:lpstr>ECurmi!decpb</vt:lpstr>
      <vt:lpstr>ELama!decpb</vt:lpstr>
      <vt:lpstr>KMizzi!decpb</vt:lpstr>
      <vt:lpstr>LBonnici!decpb</vt:lpstr>
      <vt:lpstr>LCarini!decpb</vt:lpstr>
      <vt:lpstr>MAcero_Garzon!decpb</vt:lpstr>
      <vt:lpstr>MCamilleri!decpb</vt:lpstr>
      <vt:lpstr>MEllul!decpb</vt:lpstr>
      <vt:lpstr>NScerri_Esposito!decpb</vt:lpstr>
      <vt:lpstr>RAcharya!decpb</vt:lpstr>
      <vt:lpstr>RAttard!decpb</vt:lpstr>
      <vt:lpstr>RCamilleri!decpb</vt:lpstr>
      <vt:lpstr>RGaldes!decpb</vt:lpstr>
      <vt:lpstr>RMallan_Albani!decpb</vt:lpstr>
      <vt:lpstr>RSreejith!decpb</vt:lpstr>
      <vt:lpstr>SPare!decpb</vt:lpstr>
      <vt:lpstr>ZMifsud!decpb</vt:lpstr>
      <vt:lpstr>AFalzon!decsb</vt:lpstr>
      <vt:lpstr>AHaneena!decsb</vt:lpstr>
      <vt:lpstr>AKunnamkudath!decsb</vt:lpstr>
      <vt:lpstr>DMifsud_Ceci!decsb</vt:lpstr>
      <vt:lpstr>ECurmi!decsb</vt:lpstr>
      <vt:lpstr>ELama!decsb</vt:lpstr>
      <vt:lpstr>KMizzi!decsb</vt:lpstr>
      <vt:lpstr>LBonnici!decsb</vt:lpstr>
      <vt:lpstr>LCarini!decsb</vt:lpstr>
      <vt:lpstr>MAcero_Garzon!decsb</vt:lpstr>
      <vt:lpstr>MCamilleri!decsb</vt:lpstr>
      <vt:lpstr>MEllul!decsb</vt:lpstr>
      <vt:lpstr>NScerri_Esposito!decsb</vt:lpstr>
      <vt:lpstr>RAcharya!decsb</vt:lpstr>
      <vt:lpstr>RAttard!decsb</vt:lpstr>
      <vt:lpstr>RCamilleri!decsb</vt:lpstr>
      <vt:lpstr>RGaldes!decsb</vt:lpstr>
      <vt:lpstr>RMallan_Albani!decsb</vt:lpstr>
      <vt:lpstr>RSreejith!decsb</vt:lpstr>
      <vt:lpstr>SPare!decsb</vt:lpstr>
      <vt:lpstr>ZMifsud!decsb</vt:lpstr>
      <vt:lpstr>'fs7'!decssc</vt:lpstr>
      <vt:lpstr>AFalzon!decULHr</vt:lpstr>
      <vt:lpstr>AHaneena!decULHr</vt:lpstr>
      <vt:lpstr>AKunnamkudath!decULHr</vt:lpstr>
      <vt:lpstr>DMifsud_Ceci!decULHr</vt:lpstr>
      <vt:lpstr>ECurmi!decULHr</vt:lpstr>
      <vt:lpstr>ELama!decULHr</vt:lpstr>
      <vt:lpstr>KMizzi!decULHr</vt:lpstr>
      <vt:lpstr>LBonnici!decULHr</vt:lpstr>
      <vt:lpstr>LCarini!decULHr</vt:lpstr>
      <vt:lpstr>MAcero_Garzon!decULHr</vt:lpstr>
      <vt:lpstr>MCamilleri!decULHr</vt:lpstr>
      <vt:lpstr>MEllul!decULHr</vt:lpstr>
      <vt:lpstr>NScerri_Esposito!decULHr</vt:lpstr>
      <vt:lpstr>RAcharya!decULHr</vt:lpstr>
      <vt:lpstr>RAttard!decULHr</vt:lpstr>
      <vt:lpstr>RCamilleri!decULHr</vt:lpstr>
      <vt:lpstr>RGaldes!decULHr</vt:lpstr>
      <vt:lpstr>RMallan_Albani!decULHr</vt:lpstr>
      <vt:lpstr>RSreejith!decULHr</vt:lpstr>
      <vt:lpstr>SPare!decULHr</vt:lpstr>
      <vt:lpstr>ZMifsud!decULHr</vt:lpstr>
      <vt:lpstr>AFalzon!designation</vt:lpstr>
      <vt:lpstr>AHaneena!designation</vt:lpstr>
      <vt:lpstr>AKunnamkudath!designation</vt:lpstr>
      <vt:lpstr>DMifsud_Ceci!designation</vt:lpstr>
      <vt:lpstr>ECurmi!designation</vt:lpstr>
      <vt:lpstr>ELama!designation</vt:lpstr>
      <vt:lpstr>JAN_FS5!designation</vt:lpstr>
      <vt:lpstr>KMizzi!designation</vt:lpstr>
      <vt:lpstr>LBonnici!designation</vt:lpstr>
      <vt:lpstr>LCarini!designation</vt:lpstr>
      <vt:lpstr>MAcero_Garzon!designation</vt:lpstr>
      <vt:lpstr>MCamilleri!designation</vt:lpstr>
      <vt:lpstr>MEllul!designation</vt:lpstr>
      <vt:lpstr>NOV_FS5!designation</vt:lpstr>
      <vt:lpstr>NScerri_Esposito!designation</vt:lpstr>
      <vt:lpstr>OCT_FS5!designation</vt:lpstr>
      <vt:lpstr>RAcharya!designation</vt:lpstr>
      <vt:lpstr>RAttard!designation</vt:lpstr>
      <vt:lpstr>RCamilleri!designation</vt:lpstr>
      <vt:lpstr>RGaldes!designation</vt:lpstr>
      <vt:lpstr>RMallan_Albani!designation</vt:lpstr>
      <vt:lpstr>RSreejith!designation</vt:lpstr>
      <vt:lpstr>SPare!designation</vt:lpstr>
      <vt:lpstr>ZMifsud!designation</vt:lpstr>
      <vt:lpstr>SumDiv!DivSum</vt:lpstr>
      <vt:lpstr>Expense_Category</vt:lpstr>
      <vt:lpstr>AFalzon!FEB_PAY</vt:lpstr>
      <vt:lpstr>AHaneena!FEB_PAY</vt:lpstr>
      <vt:lpstr>AKunnamkudath!FEB_PAY</vt:lpstr>
      <vt:lpstr>DMifsud_Ceci!FEB_PAY</vt:lpstr>
      <vt:lpstr>ECurmi!FEB_PAY</vt:lpstr>
      <vt:lpstr>ELama!FEB_PAY</vt:lpstr>
      <vt:lpstr>KMizzi!FEB_PAY</vt:lpstr>
      <vt:lpstr>LBonnici!FEB_PAY</vt:lpstr>
      <vt:lpstr>LCarini!FEB_PAY</vt:lpstr>
      <vt:lpstr>MAcero_Garzon!FEB_PAY</vt:lpstr>
      <vt:lpstr>MCamilleri!FEB_PAY</vt:lpstr>
      <vt:lpstr>MEllul!FEB_PAY</vt:lpstr>
      <vt:lpstr>NScerri_Esposito!FEB_PAY</vt:lpstr>
      <vt:lpstr>RAcharya!FEB_PAY</vt:lpstr>
      <vt:lpstr>RAttard!FEB_PAY</vt:lpstr>
      <vt:lpstr>RCamilleri!FEB_PAY</vt:lpstr>
      <vt:lpstr>RGaldes!FEB_PAY</vt:lpstr>
      <vt:lpstr>RMallan_Albani!FEB_PAY</vt:lpstr>
      <vt:lpstr>RSreejith!FEB_PAY</vt:lpstr>
      <vt:lpstr>SPare!FEB_PAY</vt:lpstr>
      <vt:lpstr>ZMifsud!FEB_PAY</vt:lpstr>
      <vt:lpstr>AFalzon!FebeeSocSec</vt:lpstr>
      <vt:lpstr>AHaneena!FebeeSocSec</vt:lpstr>
      <vt:lpstr>AKunnamkudath!FebeeSocSec</vt:lpstr>
      <vt:lpstr>DMifsud_Ceci!FebeeSocSec</vt:lpstr>
      <vt:lpstr>ECurmi!FebeeSocSec</vt:lpstr>
      <vt:lpstr>ELama!FebeeSocSec</vt:lpstr>
      <vt:lpstr>KMizzi!FebeeSocSec</vt:lpstr>
      <vt:lpstr>LBonnici!FebeeSocSec</vt:lpstr>
      <vt:lpstr>LCarini!FebeeSocSec</vt:lpstr>
      <vt:lpstr>MAcero_Garzon!FebeeSocSec</vt:lpstr>
      <vt:lpstr>MCamilleri!FebeeSocSec</vt:lpstr>
      <vt:lpstr>MEllul!FebeeSocSec</vt:lpstr>
      <vt:lpstr>NScerri_Esposito!FebeeSocSec</vt:lpstr>
      <vt:lpstr>RAcharya!FebeeSocSec</vt:lpstr>
      <vt:lpstr>RAttard!FebeeSocSec</vt:lpstr>
      <vt:lpstr>RCamilleri!FebeeSocSec</vt:lpstr>
      <vt:lpstr>RGaldes!FebeeSocSec</vt:lpstr>
      <vt:lpstr>RMallan_Albani!FebeeSocSec</vt:lpstr>
      <vt:lpstr>RSreejith!FebeeSocSec</vt:lpstr>
      <vt:lpstr>SPare!FebeeSocSec</vt:lpstr>
      <vt:lpstr>ZMifsud!FebeeSocSec</vt:lpstr>
      <vt:lpstr>AFalzon!FebErSocSec</vt:lpstr>
      <vt:lpstr>AHaneena!FebErSocSec</vt:lpstr>
      <vt:lpstr>AKunnamkudath!FebErSocSec</vt:lpstr>
      <vt:lpstr>DMifsud_Ceci!FebErSocSec</vt:lpstr>
      <vt:lpstr>ECurmi!FebErSocSec</vt:lpstr>
      <vt:lpstr>ELama!FebErSocSec</vt:lpstr>
      <vt:lpstr>KMizzi!FebErSocSec</vt:lpstr>
      <vt:lpstr>LBonnici!FebErSocSec</vt:lpstr>
      <vt:lpstr>LCarini!FebErSocSec</vt:lpstr>
      <vt:lpstr>MAcero_Garzon!FebErSocSec</vt:lpstr>
      <vt:lpstr>MCamilleri!FebErSocSec</vt:lpstr>
      <vt:lpstr>MEllul!FebErSocSec</vt:lpstr>
      <vt:lpstr>NScerri_Esposito!FebErSocSec</vt:lpstr>
      <vt:lpstr>RAcharya!FebErSocSec</vt:lpstr>
      <vt:lpstr>RAttard!FebErSocSec</vt:lpstr>
      <vt:lpstr>RCamilleri!FebErSocSec</vt:lpstr>
      <vt:lpstr>RGaldes!FebErSocSec</vt:lpstr>
      <vt:lpstr>RMallan_Albani!FebErSocSec</vt:lpstr>
      <vt:lpstr>RSreejith!FebErSocSec</vt:lpstr>
      <vt:lpstr>SPare!FebErSocSec</vt:lpstr>
      <vt:lpstr>ZMifsud!FebErSocSec</vt:lpstr>
      <vt:lpstr>AFalzon!febeuhrs</vt:lpstr>
      <vt:lpstr>AHaneena!febeuhrs</vt:lpstr>
      <vt:lpstr>AKunnamkudath!febeuhrs</vt:lpstr>
      <vt:lpstr>DMifsud_Ceci!febeuhrs</vt:lpstr>
      <vt:lpstr>ECurmi!febeuhrs</vt:lpstr>
      <vt:lpstr>ELama!febeuhrs</vt:lpstr>
      <vt:lpstr>KMizzi!febeuhrs</vt:lpstr>
      <vt:lpstr>LBonnici!febeuhrs</vt:lpstr>
      <vt:lpstr>LCarini!febeuhrs</vt:lpstr>
      <vt:lpstr>MAcero_Garzon!febeuhrs</vt:lpstr>
      <vt:lpstr>MCamilleri!febeuhrs</vt:lpstr>
      <vt:lpstr>MEllul!febeuhrs</vt:lpstr>
      <vt:lpstr>NScerri_Esposito!febeuhrs</vt:lpstr>
      <vt:lpstr>RAcharya!febeuhrs</vt:lpstr>
      <vt:lpstr>RAttard!febeuhrs</vt:lpstr>
      <vt:lpstr>RCamilleri!febeuhrs</vt:lpstr>
      <vt:lpstr>RGaldes!febeuhrs</vt:lpstr>
      <vt:lpstr>RMallan_Albani!febeuhrs</vt:lpstr>
      <vt:lpstr>RSreejith!febeuhrs</vt:lpstr>
      <vt:lpstr>SPare!febeuhrs</vt:lpstr>
      <vt:lpstr>ZMifsud!febeuhrs</vt:lpstr>
      <vt:lpstr>'fs7'!febfsstax</vt:lpstr>
      <vt:lpstr>AFalzon!febgrs</vt:lpstr>
      <vt:lpstr>AHaneena!febgrs</vt:lpstr>
      <vt:lpstr>AKunnamkudath!febgrs</vt:lpstr>
      <vt:lpstr>DMifsud_Ceci!febgrs</vt:lpstr>
      <vt:lpstr>ECurmi!febgrs</vt:lpstr>
      <vt:lpstr>ELama!febgrs</vt:lpstr>
      <vt:lpstr>KMizzi!febgrs</vt:lpstr>
      <vt:lpstr>LBonnici!febgrs</vt:lpstr>
      <vt:lpstr>LCarini!febgrs</vt:lpstr>
      <vt:lpstr>MAcero_Garzon!febgrs</vt:lpstr>
      <vt:lpstr>MCamilleri!febgrs</vt:lpstr>
      <vt:lpstr>MEllul!febgrs</vt:lpstr>
      <vt:lpstr>NScerri_Esposito!febgrs</vt:lpstr>
      <vt:lpstr>RAcharya!febgrs</vt:lpstr>
      <vt:lpstr>RAttard!febgrs</vt:lpstr>
      <vt:lpstr>RCamilleri!febgrs</vt:lpstr>
      <vt:lpstr>RGaldes!febgrs</vt:lpstr>
      <vt:lpstr>RMallan_Albani!febgrs</vt:lpstr>
      <vt:lpstr>RSreejith!febgrs</vt:lpstr>
      <vt:lpstr>SPare!febgrs</vt:lpstr>
      <vt:lpstr>ZMifsud!febgrs</vt:lpstr>
      <vt:lpstr>AFalzon!febhrrt</vt:lpstr>
      <vt:lpstr>AHaneena!febhrrt</vt:lpstr>
      <vt:lpstr>AKunnamkudath!febhrrt</vt:lpstr>
      <vt:lpstr>DMifsud_Ceci!febhrrt</vt:lpstr>
      <vt:lpstr>ECurmi!febhrrt</vt:lpstr>
      <vt:lpstr>ELama!febhrrt</vt:lpstr>
      <vt:lpstr>KMizzi!febhrrt</vt:lpstr>
      <vt:lpstr>LBonnici!febhrrt</vt:lpstr>
      <vt:lpstr>LCarini!febhrrt</vt:lpstr>
      <vt:lpstr>MAcero_Garzon!febhrrt</vt:lpstr>
      <vt:lpstr>MCamilleri!febhrrt</vt:lpstr>
      <vt:lpstr>MEllul!febhrrt</vt:lpstr>
      <vt:lpstr>NScerri_Esposito!febhrrt</vt:lpstr>
      <vt:lpstr>RAcharya!febhrrt</vt:lpstr>
      <vt:lpstr>RAttard!febhrrt</vt:lpstr>
      <vt:lpstr>RCamilleri!febhrrt</vt:lpstr>
      <vt:lpstr>RGaldes!febhrrt</vt:lpstr>
      <vt:lpstr>RMallan_Albani!febhrrt</vt:lpstr>
      <vt:lpstr>RSreejith!febhrrt</vt:lpstr>
      <vt:lpstr>SPare!febhrrt</vt:lpstr>
      <vt:lpstr>ZMifsud!febhrrt</vt:lpstr>
      <vt:lpstr>AFalzon!febmlf</vt:lpstr>
      <vt:lpstr>AHaneena!febmlf</vt:lpstr>
      <vt:lpstr>AKunnamkudath!febmlf</vt:lpstr>
      <vt:lpstr>DMifsud_Ceci!febmlf</vt:lpstr>
      <vt:lpstr>ECurmi!febmlf</vt:lpstr>
      <vt:lpstr>ELama!febmlf</vt:lpstr>
      <vt:lpstr>'fs7'!febmlf</vt:lpstr>
      <vt:lpstr>KMizzi!febmlf</vt:lpstr>
      <vt:lpstr>LBonnici!febmlf</vt:lpstr>
      <vt:lpstr>LCarini!febmlf</vt:lpstr>
      <vt:lpstr>MAcero_Garzon!febmlf</vt:lpstr>
      <vt:lpstr>MCamilleri!febmlf</vt:lpstr>
      <vt:lpstr>MEllul!febmlf</vt:lpstr>
      <vt:lpstr>NScerri_Esposito!febmlf</vt:lpstr>
      <vt:lpstr>RAcharya!febmlf</vt:lpstr>
      <vt:lpstr>RAttard!febmlf</vt:lpstr>
      <vt:lpstr>RCamilleri!febmlf</vt:lpstr>
      <vt:lpstr>RGaldes!febmlf</vt:lpstr>
      <vt:lpstr>RMallan_Albani!febmlf</vt:lpstr>
      <vt:lpstr>RSreejith!febmlf</vt:lpstr>
      <vt:lpstr>SPare!febmlf</vt:lpstr>
      <vt:lpstr>ZMifsud!febmlf</vt:lpstr>
      <vt:lpstr>AFalzon!feboth</vt:lpstr>
      <vt:lpstr>AHaneena!feboth</vt:lpstr>
      <vt:lpstr>AKunnamkudath!feboth</vt:lpstr>
      <vt:lpstr>DMifsud_Ceci!feboth</vt:lpstr>
      <vt:lpstr>ECurmi!feboth</vt:lpstr>
      <vt:lpstr>ELama!feboth</vt:lpstr>
      <vt:lpstr>KMizzi!feboth</vt:lpstr>
      <vt:lpstr>LBonnici!feboth</vt:lpstr>
      <vt:lpstr>LCarini!feboth</vt:lpstr>
      <vt:lpstr>MAcero_Garzon!feboth</vt:lpstr>
      <vt:lpstr>MCamilleri!feboth</vt:lpstr>
      <vt:lpstr>MEllul!feboth</vt:lpstr>
      <vt:lpstr>NScerri_Esposito!feboth</vt:lpstr>
      <vt:lpstr>RAcharya!feboth</vt:lpstr>
      <vt:lpstr>RAttard!feboth</vt:lpstr>
      <vt:lpstr>RCamilleri!feboth</vt:lpstr>
      <vt:lpstr>RGaldes!feboth</vt:lpstr>
      <vt:lpstr>RMallan_Albani!feboth</vt:lpstr>
      <vt:lpstr>RSreejith!feboth</vt:lpstr>
      <vt:lpstr>SPare!feboth</vt:lpstr>
      <vt:lpstr>ZMifsud!feboth</vt:lpstr>
      <vt:lpstr>AFalzon!febpb</vt:lpstr>
      <vt:lpstr>AHaneena!febpb</vt:lpstr>
      <vt:lpstr>AKunnamkudath!febpb</vt:lpstr>
      <vt:lpstr>DMifsud_Ceci!febpb</vt:lpstr>
      <vt:lpstr>ECurmi!febpb</vt:lpstr>
      <vt:lpstr>ELama!febpb</vt:lpstr>
      <vt:lpstr>KMizzi!febpb</vt:lpstr>
      <vt:lpstr>LBonnici!febpb</vt:lpstr>
      <vt:lpstr>LCarini!febpb</vt:lpstr>
      <vt:lpstr>MAcero_Garzon!febpb</vt:lpstr>
      <vt:lpstr>MCamilleri!febpb</vt:lpstr>
      <vt:lpstr>MEllul!febpb</vt:lpstr>
      <vt:lpstr>NScerri_Esposito!febpb</vt:lpstr>
      <vt:lpstr>RAcharya!febpb</vt:lpstr>
      <vt:lpstr>RAttard!febpb</vt:lpstr>
      <vt:lpstr>RCamilleri!febpb</vt:lpstr>
      <vt:lpstr>RGaldes!febpb</vt:lpstr>
      <vt:lpstr>RMallan_Albani!febpb</vt:lpstr>
      <vt:lpstr>RSreejith!febpb</vt:lpstr>
      <vt:lpstr>SPare!febpb</vt:lpstr>
      <vt:lpstr>ZMifsud!febpb</vt:lpstr>
      <vt:lpstr>AFalzon!febsb</vt:lpstr>
      <vt:lpstr>AHaneena!febsb</vt:lpstr>
      <vt:lpstr>AKunnamkudath!febsb</vt:lpstr>
      <vt:lpstr>DMifsud_Ceci!febsb</vt:lpstr>
      <vt:lpstr>ECurmi!febsb</vt:lpstr>
      <vt:lpstr>ELama!febsb</vt:lpstr>
      <vt:lpstr>KMizzi!febsb</vt:lpstr>
      <vt:lpstr>LBonnici!febsb</vt:lpstr>
      <vt:lpstr>LCarini!febsb</vt:lpstr>
      <vt:lpstr>MAcero_Garzon!febsb</vt:lpstr>
      <vt:lpstr>MCamilleri!febsb</vt:lpstr>
      <vt:lpstr>MEllul!febsb</vt:lpstr>
      <vt:lpstr>NScerri_Esposito!febsb</vt:lpstr>
      <vt:lpstr>RAcharya!febsb</vt:lpstr>
      <vt:lpstr>RAttard!febsb</vt:lpstr>
      <vt:lpstr>RCamilleri!febsb</vt:lpstr>
      <vt:lpstr>RGaldes!febsb</vt:lpstr>
      <vt:lpstr>RMallan_Albani!febsb</vt:lpstr>
      <vt:lpstr>RSreejith!febsb</vt:lpstr>
      <vt:lpstr>SPare!febsb</vt:lpstr>
      <vt:lpstr>ZMifsud!febsb</vt:lpstr>
      <vt:lpstr>'fs7'!febssc</vt:lpstr>
      <vt:lpstr>AFalzon!febULHr</vt:lpstr>
      <vt:lpstr>AHaneena!febULHr</vt:lpstr>
      <vt:lpstr>AKunnamkudath!febULHr</vt:lpstr>
      <vt:lpstr>DMifsud_Ceci!febULHr</vt:lpstr>
      <vt:lpstr>ECurmi!febULHr</vt:lpstr>
      <vt:lpstr>ELama!febULHr</vt:lpstr>
      <vt:lpstr>KMizzi!febULHr</vt:lpstr>
      <vt:lpstr>LBonnici!febULHr</vt:lpstr>
      <vt:lpstr>LCarini!febULHr</vt:lpstr>
      <vt:lpstr>MAcero_Garzon!febULHr</vt:lpstr>
      <vt:lpstr>MCamilleri!febULHr</vt:lpstr>
      <vt:lpstr>MEllul!febULHr</vt:lpstr>
      <vt:lpstr>NScerri_Esposito!febULHr</vt:lpstr>
      <vt:lpstr>RAcharya!febULHr</vt:lpstr>
      <vt:lpstr>RAttard!febULHr</vt:lpstr>
      <vt:lpstr>RCamilleri!febULHr</vt:lpstr>
      <vt:lpstr>RGaldes!febULHr</vt:lpstr>
      <vt:lpstr>RMallan_Albani!febULHr</vt:lpstr>
      <vt:lpstr>RSreejith!febULHr</vt:lpstr>
      <vt:lpstr>SPare!febULHr</vt:lpstr>
      <vt:lpstr>ZMifsud!febULHr</vt:lpstr>
      <vt:lpstr>from</vt:lpstr>
      <vt:lpstr>AFalzon!FS4_Status</vt:lpstr>
      <vt:lpstr>AHaneena!FS4_Status</vt:lpstr>
      <vt:lpstr>AKunnamkudath!FS4_Status</vt:lpstr>
      <vt:lpstr>DMifsud_Ceci!FS4_Status</vt:lpstr>
      <vt:lpstr>ECurmi!FS4_Status</vt:lpstr>
      <vt:lpstr>ELama!FS4_Status</vt:lpstr>
      <vt:lpstr>JAN_FS5!FS4_Status</vt:lpstr>
      <vt:lpstr>KMizzi!FS4_Status</vt:lpstr>
      <vt:lpstr>LBonnici!FS4_Status</vt:lpstr>
      <vt:lpstr>LCarini!FS4_Status</vt:lpstr>
      <vt:lpstr>MAcero_Garzon!FS4_Status</vt:lpstr>
      <vt:lpstr>MCamilleri!FS4_Status</vt:lpstr>
      <vt:lpstr>MEllul!FS4_Status</vt:lpstr>
      <vt:lpstr>NOV_FS5!FS4_Status</vt:lpstr>
      <vt:lpstr>NScerri_Esposito!FS4_Status</vt:lpstr>
      <vt:lpstr>OCT_FS5!FS4_Status</vt:lpstr>
      <vt:lpstr>RAcharya!FS4_Status</vt:lpstr>
      <vt:lpstr>RAttard!FS4_Status</vt:lpstr>
      <vt:lpstr>RCamilleri!FS4_Status</vt:lpstr>
      <vt:lpstr>RGaldes!FS4_Status</vt:lpstr>
      <vt:lpstr>RMallan_Albani!FS4_Status</vt:lpstr>
      <vt:lpstr>RSreejith!FS4_Status</vt:lpstr>
      <vt:lpstr>SPare!FS4_Status</vt:lpstr>
      <vt:lpstr>ZMifsud!FS4_Status</vt:lpstr>
      <vt:lpstr>AFalzon!GOVT_BONUS</vt:lpstr>
      <vt:lpstr>AHaneena!GOVT_BONUS</vt:lpstr>
      <vt:lpstr>AKunnamkudath!GOVT_BONUS</vt:lpstr>
      <vt:lpstr>DMifsud_Ceci!GOVT_BONUS</vt:lpstr>
      <vt:lpstr>ECurmi!GOVT_BONUS</vt:lpstr>
      <vt:lpstr>ELama!GOVT_BONUS</vt:lpstr>
      <vt:lpstr>KMizzi!GOVT_BONUS</vt:lpstr>
      <vt:lpstr>LBonnici!GOVT_BONUS</vt:lpstr>
      <vt:lpstr>LCarini!GOVT_BONUS</vt:lpstr>
      <vt:lpstr>MAcero_Garzon!GOVT_BONUS</vt:lpstr>
      <vt:lpstr>MCamilleri!GOVT_BONUS</vt:lpstr>
      <vt:lpstr>MEllul!GOVT_BONUS</vt:lpstr>
      <vt:lpstr>NScerri_Esposito!GOVT_BONUS</vt:lpstr>
      <vt:lpstr>RAcharya!GOVT_BONUS</vt:lpstr>
      <vt:lpstr>RAttard!GOVT_BONUS</vt:lpstr>
      <vt:lpstr>RCamilleri!GOVT_BONUS</vt:lpstr>
      <vt:lpstr>RGaldes!GOVT_BONUS</vt:lpstr>
      <vt:lpstr>RMallan_Albani!GOVT_BONUS</vt:lpstr>
      <vt:lpstr>RSreejith!GOVT_BONUS</vt:lpstr>
      <vt:lpstr>SPare!GOVT_BONUS</vt:lpstr>
      <vt:lpstr>ZMifsud!GOVT_BONUS</vt:lpstr>
      <vt:lpstr>SummaryPT!GROSS</vt:lpstr>
      <vt:lpstr>SummaryTOTS!GROSS</vt:lpstr>
      <vt:lpstr>SummaryPT!Gross_t</vt:lpstr>
      <vt:lpstr>SummaryTOTS!Gross_t</vt:lpstr>
      <vt:lpstr>Gross_t</vt:lpstr>
      <vt:lpstr>SummaryPT!GrossTax</vt:lpstr>
      <vt:lpstr>SummaryTOTS!GrossTax</vt:lpstr>
      <vt:lpstr>AFalzon!grossyearly</vt:lpstr>
      <vt:lpstr>AHaneena!grossyearly</vt:lpstr>
      <vt:lpstr>AKunnamkudath!grossyearly</vt:lpstr>
      <vt:lpstr>DMifsud_Ceci!grossyearly</vt:lpstr>
      <vt:lpstr>ECurmi!grossyearly</vt:lpstr>
      <vt:lpstr>ELama!grossyearly</vt:lpstr>
      <vt:lpstr>KMizzi!grossyearly</vt:lpstr>
      <vt:lpstr>LBonnici!grossyearly</vt:lpstr>
      <vt:lpstr>LCarini!grossyearly</vt:lpstr>
      <vt:lpstr>MAcero_Garzon!grossyearly</vt:lpstr>
      <vt:lpstr>MCamilleri!grossyearly</vt:lpstr>
      <vt:lpstr>MEllul!grossyearly</vt:lpstr>
      <vt:lpstr>NScerri_Esposito!grossyearly</vt:lpstr>
      <vt:lpstr>RAcharya!grossyearly</vt:lpstr>
      <vt:lpstr>RAttard!grossyearly</vt:lpstr>
      <vt:lpstr>RCamilleri!grossyearly</vt:lpstr>
      <vt:lpstr>RGaldes!grossyearly</vt:lpstr>
      <vt:lpstr>RMallan_Albani!grossyearly</vt:lpstr>
      <vt:lpstr>RSreejith!grossyearly</vt:lpstr>
      <vt:lpstr>SPare!grossyearly</vt:lpstr>
      <vt:lpstr>ZMifsud!grossyearly</vt:lpstr>
      <vt:lpstr>AFalzon!House</vt:lpstr>
      <vt:lpstr>AHaneena!House</vt:lpstr>
      <vt:lpstr>AKunnamkudath!House</vt:lpstr>
      <vt:lpstr>DMifsud_Ceci!House</vt:lpstr>
      <vt:lpstr>ECurmi!House</vt:lpstr>
      <vt:lpstr>ELama!House</vt:lpstr>
      <vt:lpstr>KMizzi!House</vt:lpstr>
      <vt:lpstr>LBonnici!House</vt:lpstr>
      <vt:lpstr>LCarini!House</vt:lpstr>
      <vt:lpstr>MAcero_Garzon!House</vt:lpstr>
      <vt:lpstr>MCamilleri!House</vt:lpstr>
      <vt:lpstr>MEllul!House</vt:lpstr>
      <vt:lpstr>NScerri_Esposito!House</vt:lpstr>
      <vt:lpstr>RAcharya!House</vt:lpstr>
      <vt:lpstr>RAttard!House</vt:lpstr>
      <vt:lpstr>RCamilleri!House</vt:lpstr>
      <vt:lpstr>RGaldes!House</vt:lpstr>
      <vt:lpstr>RMallan_Albani!House</vt:lpstr>
      <vt:lpstr>RSreejith!House</vt:lpstr>
      <vt:lpstr>SPare!House</vt:lpstr>
      <vt:lpstr>ZMifsud!House</vt:lpstr>
      <vt:lpstr>AFalzon!IBAN</vt:lpstr>
      <vt:lpstr>AHaneena!IBAN</vt:lpstr>
      <vt:lpstr>AKunnamkudath!IBAN</vt:lpstr>
      <vt:lpstr>DMifsud_Ceci!IBAN</vt:lpstr>
      <vt:lpstr>ECurmi!IBAN</vt:lpstr>
      <vt:lpstr>ELama!IBAN</vt:lpstr>
      <vt:lpstr>JAN_FS5!IBAN</vt:lpstr>
      <vt:lpstr>KMizzi!IBAN</vt:lpstr>
      <vt:lpstr>LBonnici!IBAN</vt:lpstr>
      <vt:lpstr>LCarini!IBAN</vt:lpstr>
      <vt:lpstr>MAcero_Garzon!IBAN</vt:lpstr>
      <vt:lpstr>MCamilleri!IBAN</vt:lpstr>
      <vt:lpstr>MEllul!IBAN</vt:lpstr>
      <vt:lpstr>NOV_FS5!IBAN</vt:lpstr>
      <vt:lpstr>NScerri_Esposito!IBAN</vt:lpstr>
      <vt:lpstr>OCT_FS5!IBAN</vt:lpstr>
      <vt:lpstr>RAcharya!IBAN</vt:lpstr>
      <vt:lpstr>RAttard!IBAN</vt:lpstr>
      <vt:lpstr>RCamilleri!IBAN</vt:lpstr>
      <vt:lpstr>RGaldes!IBAN</vt:lpstr>
      <vt:lpstr>RMallan_Albani!IBAN</vt:lpstr>
      <vt:lpstr>RSreejith!IBAN</vt:lpstr>
      <vt:lpstr>SPare!IBAN</vt:lpstr>
      <vt:lpstr>ZMifsud!IBAN</vt:lpstr>
      <vt:lpstr>AFalzon!ID</vt:lpstr>
      <vt:lpstr>AHaneena!ID</vt:lpstr>
      <vt:lpstr>AKunnamkudath!ID</vt:lpstr>
      <vt:lpstr>DMifsud_Ceci!ID</vt:lpstr>
      <vt:lpstr>ECurmi!ID</vt:lpstr>
      <vt:lpstr>ELama!ID</vt:lpstr>
      <vt:lpstr>KMizzi!ID</vt:lpstr>
      <vt:lpstr>LBonnici!ID</vt:lpstr>
      <vt:lpstr>LCarini!ID</vt:lpstr>
      <vt:lpstr>MAcero_Garzon!ID</vt:lpstr>
      <vt:lpstr>MCamilleri!ID</vt:lpstr>
      <vt:lpstr>MEllul!ID</vt:lpstr>
      <vt:lpstr>NScerri_Esposito!ID</vt:lpstr>
      <vt:lpstr>RAcharya!ID</vt:lpstr>
      <vt:lpstr>RAttard!ID</vt:lpstr>
      <vt:lpstr>RCamilleri!ID</vt:lpstr>
      <vt:lpstr>RGaldes!ID</vt:lpstr>
      <vt:lpstr>RMallan_Albani!ID</vt:lpstr>
      <vt:lpstr>RSreejith!ID</vt:lpstr>
      <vt:lpstr>SPare!ID</vt:lpstr>
      <vt:lpstr>ZMifsud!ID</vt:lpstr>
      <vt:lpstr>AFalzon!IDCard</vt:lpstr>
      <vt:lpstr>AHaneena!IDCard</vt:lpstr>
      <vt:lpstr>AKunnamkudath!IDCard</vt:lpstr>
      <vt:lpstr>DMifsud_Ceci!IDCard</vt:lpstr>
      <vt:lpstr>ECurmi!IDCard</vt:lpstr>
      <vt:lpstr>ELama!IDCard</vt:lpstr>
      <vt:lpstr>JAN_FS5!IDCard</vt:lpstr>
      <vt:lpstr>KMizzi!IDCard</vt:lpstr>
      <vt:lpstr>LBonnici!IDCard</vt:lpstr>
      <vt:lpstr>LCarini!IDCard</vt:lpstr>
      <vt:lpstr>MAcero_Garzon!IDCard</vt:lpstr>
      <vt:lpstr>MCamilleri!IDCard</vt:lpstr>
      <vt:lpstr>MEllul!IDCard</vt:lpstr>
      <vt:lpstr>NOV_FS5!IDCard</vt:lpstr>
      <vt:lpstr>NScerri_Esposito!IDCard</vt:lpstr>
      <vt:lpstr>OCT_FS5!IDCard</vt:lpstr>
      <vt:lpstr>RAcharya!IDCard</vt:lpstr>
      <vt:lpstr>RAttard!IDCard</vt:lpstr>
      <vt:lpstr>RCamilleri!IDCard</vt:lpstr>
      <vt:lpstr>RGaldes!IDCard</vt:lpstr>
      <vt:lpstr>RMallan_Albani!IDCard</vt:lpstr>
      <vt:lpstr>RSreejith!IDCard</vt:lpstr>
      <vt:lpstr>SPare!IDCard</vt:lpstr>
      <vt:lpstr>ZMifsud!IDCard</vt:lpstr>
      <vt:lpstr>AFalzon!INDAT</vt:lpstr>
      <vt:lpstr>AHaneena!INDAT</vt:lpstr>
      <vt:lpstr>AKunnamkudath!INDAT</vt:lpstr>
      <vt:lpstr>DMifsud_Ceci!INDAT</vt:lpstr>
      <vt:lpstr>ECurmi!INDAT</vt:lpstr>
      <vt:lpstr>ELama!INDAT</vt:lpstr>
      <vt:lpstr>JAN_FS5!INDAT</vt:lpstr>
      <vt:lpstr>KMizzi!INDAT</vt:lpstr>
      <vt:lpstr>LBonnici!INDAT</vt:lpstr>
      <vt:lpstr>LCarini!INDAT</vt:lpstr>
      <vt:lpstr>MAcero_Garzon!INDAT</vt:lpstr>
      <vt:lpstr>MCamilleri!INDAT</vt:lpstr>
      <vt:lpstr>MEllul!INDAT</vt:lpstr>
      <vt:lpstr>NOV_FS5!INDAT</vt:lpstr>
      <vt:lpstr>NScerri_Esposito!INDAT</vt:lpstr>
      <vt:lpstr>OCT_FS5!INDAT</vt:lpstr>
      <vt:lpstr>RAcharya!INDAT</vt:lpstr>
      <vt:lpstr>RAttard!INDAT</vt:lpstr>
      <vt:lpstr>RCamilleri!INDAT</vt:lpstr>
      <vt:lpstr>RGaldes!INDAT</vt:lpstr>
      <vt:lpstr>RMallan_Albani!INDAT</vt:lpstr>
      <vt:lpstr>RSreejith!INDAT</vt:lpstr>
      <vt:lpstr>SPare!INDAT</vt:lpstr>
      <vt:lpstr>ZMifsud!INDAT</vt:lpstr>
      <vt:lpstr>AFalzon!JAN_PAY</vt:lpstr>
      <vt:lpstr>AHaneena!JAN_PAY</vt:lpstr>
      <vt:lpstr>AKunnamkudath!JAN_PAY</vt:lpstr>
      <vt:lpstr>DMifsud_Ceci!JAN_PAY</vt:lpstr>
      <vt:lpstr>ECurmi!JAN_PAY</vt:lpstr>
      <vt:lpstr>ELama!JAN_PAY</vt:lpstr>
      <vt:lpstr>KMizzi!JAN_PAY</vt:lpstr>
      <vt:lpstr>LBonnici!JAN_PAY</vt:lpstr>
      <vt:lpstr>LCarini!JAN_PAY</vt:lpstr>
      <vt:lpstr>MAcero_Garzon!JAN_PAY</vt:lpstr>
      <vt:lpstr>MCamilleri!JAN_PAY</vt:lpstr>
      <vt:lpstr>MEllul!JAN_PAY</vt:lpstr>
      <vt:lpstr>NScerri_Esposito!JAN_PAY</vt:lpstr>
      <vt:lpstr>RAcharya!JAN_PAY</vt:lpstr>
      <vt:lpstr>RAttard!JAN_PAY</vt:lpstr>
      <vt:lpstr>RCamilleri!JAN_PAY</vt:lpstr>
      <vt:lpstr>RGaldes!JAN_PAY</vt:lpstr>
      <vt:lpstr>RMallan_Albani!JAN_PAY</vt:lpstr>
      <vt:lpstr>RSreejith!JAN_PAY</vt:lpstr>
      <vt:lpstr>SPare!JAN_PAY</vt:lpstr>
      <vt:lpstr>ZMifsud!JAN_PAY</vt:lpstr>
      <vt:lpstr>AFalzon!janeeSocSec</vt:lpstr>
      <vt:lpstr>AHaneena!janeeSocSec</vt:lpstr>
      <vt:lpstr>AKunnamkudath!janeeSocSec</vt:lpstr>
      <vt:lpstr>DMifsud_Ceci!janeeSocSec</vt:lpstr>
      <vt:lpstr>ECurmi!janeeSocSec</vt:lpstr>
      <vt:lpstr>ELama!janeeSocSec</vt:lpstr>
      <vt:lpstr>KMizzi!janeeSocSec</vt:lpstr>
      <vt:lpstr>LBonnici!janeeSocSec</vt:lpstr>
      <vt:lpstr>LCarini!janeeSocSec</vt:lpstr>
      <vt:lpstr>MAcero_Garzon!janeeSocSec</vt:lpstr>
      <vt:lpstr>MCamilleri!janeeSocSec</vt:lpstr>
      <vt:lpstr>MEllul!janeeSocSec</vt:lpstr>
      <vt:lpstr>NScerri_Esposito!janeeSocSec</vt:lpstr>
      <vt:lpstr>RAcharya!janeeSocSec</vt:lpstr>
      <vt:lpstr>RAttard!janeeSocSec</vt:lpstr>
      <vt:lpstr>RCamilleri!janeeSocSec</vt:lpstr>
      <vt:lpstr>RGaldes!janeeSocSec</vt:lpstr>
      <vt:lpstr>RMallan_Albani!janeeSocSec</vt:lpstr>
      <vt:lpstr>RSreejith!janeeSocSec</vt:lpstr>
      <vt:lpstr>SPare!janeeSocSec</vt:lpstr>
      <vt:lpstr>ZMifsud!janeeSocSec</vt:lpstr>
      <vt:lpstr>AFalzon!JanERSocSec</vt:lpstr>
      <vt:lpstr>AHaneena!JanERSocSec</vt:lpstr>
      <vt:lpstr>AKunnamkudath!JanERSocSec</vt:lpstr>
      <vt:lpstr>DMifsud_Ceci!JanERSocSec</vt:lpstr>
      <vt:lpstr>ECurmi!JanERSocSec</vt:lpstr>
      <vt:lpstr>ELama!JanERSocSec</vt:lpstr>
      <vt:lpstr>KMizzi!JanERSocSec</vt:lpstr>
      <vt:lpstr>LBonnici!JanERSocSec</vt:lpstr>
      <vt:lpstr>LCarini!JanERSocSec</vt:lpstr>
      <vt:lpstr>MAcero_Garzon!JanERSocSec</vt:lpstr>
      <vt:lpstr>MCamilleri!JanERSocSec</vt:lpstr>
      <vt:lpstr>MEllul!JanERSocSec</vt:lpstr>
      <vt:lpstr>NScerri_Esposito!JanERSocSec</vt:lpstr>
      <vt:lpstr>RAcharya!JanERSocSec</vt:lpstr>
      <vt:lpstr>RAttard!JanERSocSec</vt:lpstr>
      <vt:lpstr>RCamilleri!JanERSocSec</vt:lpstr>
      <vt:lpstr>RGaldes!JanERSocSec</vt:lpstr>
      <vt:lpstr>RMallan_Albani!JanERSocSec</vt:lpstr>
      <vt:lpstr>RSreejith!JanERSocSec</vt:lpstr>
      <vt:lpstr>SPare!JanERSocSec</vt:lpstr>
      <vt:lpstr>ZMifsud!JanERSocSec</vt:lpstr>
      <vt:lpstr>AFalzon!Janeuhrs</vt:lpstr>
      <vt:lpstr>AHaneena!Janeuhrs</vt:lpstr>
      <vt:lpstr>AKunnamkudath!Janeuhrs</vt:lpstr>
      <vt:lpstr>DMifsud_Ceci!Janeuhrs</vt:lpstr>
      <vt:lpstr>ECurmi!Janeuhrs</vt:lpstr>
      <vt:lpstr>ELama!Janeuhrs</vt:lpstr>
      <vt:lpstr>KMizzi!Janeuhrs</vt:lpstr>
      <vt:lpstr>LBonnici!Janeuhrs</vt:lpstr>
      <vt:lpstr>LCarini!Janeuhrs</vt:lpstr>
      <vt:lpstr>MAcero_Garzon!Janeuhrs</vt:lpstr>
      <vt:lpstr>MCamilleri!Janeuhrs</vt:lpstr>
      <vt:lpstr>MEllul!Janeuhrs</vt:lpstr>
      <vt:lpstr>NScerri_Esposito!Janeuhrs</vt:lpstr>
      <vt:lpstr>RAcharya!Janeuhrs</vt:lpstr>
      <vt:lpstr>RAttard!Janeuhrs</vt:lpstr>
      <vt:lpstr>RCamilleri!Janeuhrs</vt:lpstr>
      <vt:lpstr>RGaldes!Janeuhrs</vt:lpstr>
      <vt:lpstr>RMallan_Albani!Janeuhrs</vt:lpstr>
      <vt:lpstr>RSreejith!Janeuhrs</vt:lpstr>
      <vt:lpstr>SPare!Janeuhrs</vt:lpstr>
      <vt:lpstr>ZMifsud!Janeuhrs</vt:lpstr>
      <vt:lpstr>'fs7'!janfsstax</vt:lpstr>
      <vt:lpstr>AFalzon!Jangrs</vt:lpstr>
      <vt:lpstr>AHaneena!Jangrs</vt:lpstr>
      <vt:lpstr>AKunnamkudath!Jangrs</vt:lpstr>
      <vt:lpstr>DMifsud_Ceci!Jangrs</vt:lpstr>
      <vt:lpstr>ECurmi!Jangrs</vt:lpstr>
      <vt:lpstr>ELama!Jangrs</vt:lpstr>
      <vt:lpstr>KMizzi!Jangrs</vt:lpstr>
      <vt:lpstr>LBonnici!Jangrs</vt:lpstr>
      <vt:lpstr>LCarini!Jangrs</vt:lpstr>
      <vt:lpstr>MAcero_Garzon!Jangrs</vt:lpstr>
      <vt:lpstr>MCamilleri!Jangrs</vt:lpstr>
      <vt:lpstr>MEllul!Jangrs</vt:lpstr>
      <vt:lpstr>NScerri_Esposito!Jangrs</vt:lpstr>
      <vt:lpstr>RAcharya!Jangrs</vt:lpstr>
      <vt:lpstr>RAttard!Jangrs</vt:lpstr>
      <vt:lpstr>RCamilleri!Jangrs</vt:lpstr>
      <vt:lpstr>RGaldes!Jangrs</vt:lpstr>
      <vt:lpstr>RMallan_Albani!Jangrs</vt:lpstr>
      <vt:lpstr>RSreejith!Jangrs</vt:lpstr>
      <vt:lpstr>SPare!Jangrs</vt:lpstr>
      <vt:lpstr>ZMifsud!Jangrs</vt:lpstr>
      <vt:lpstr>AFalzon!jangrstx</vt:lpstr>
      <vt:lpstr>AHaneena!jangrstx</vt:lpstr>
      <vt:lpstr>AKunnamkudath!jangrstx</vt:lpstr>
      <vt:lpstr>DMifsud_Ceci!jangrstx</vt:lpstr>
      <vt:lpstr>ECurmi!jangrstx</vt:lpstr>
      <vt:lpstr>ELama!jangrstx</vt:lpstr>
      <vt:lpstr>KMizzi!jangrstx</vt:lpstr>
      <vt:lpstr>LBonnici!jangrstx</vt:lpstr>
      <vt:lpstr>LCarini!jangrstx</vt:lpstr>
      <vt:lpstr>MAcero_Garzon!jangrstx</vt:lpstr>
      <vt:lpstr>MCamilleri!jangrstx</vt:lpstr>
      <vt:lpstr>MEllul!jangrstx</vt:lpstr>
      <vt:lpstr>NScerri_Esposito!jangrstx</vt:lpstr>
      <vt:lpstr>RAcharya!jangrstx</vt:lpstr>
      <vt:lpstr>RAttard!jangrstx</vt:lpstr>
      <vt:lpstr>RCamilleri!jangrstx</vt:lpstr>
      <vt:lpstr>RGaldes!jangrstx</vt:lpstr>
      <vt:lpstr>RMallan_Albani!jangrstx</vt:lpstr>
      <vt:lpstr>RSreejith!jangrstx</vt:lpstr>
      <vt:lpstr>SPare!jangrstx</vt:lpstr>
      <vt:lpstr>ZMifsud!jangrstx</vt:lpstr>
      <vt:lpstr>AFalzon!janhrrt</vt:lpstr>
      <vt:lpstr>AHaneena!janhrrt</vt:lpstr>
      <vt:lpstr>AKunnamkudath!janhrrt</vt:lpstr>
      <vt:lpstr>DMifsud_Ceci!janhrrt</vt:lpstr>
      <vt:lpstr>ECurmi!janhrrt</vt:lpstr>
      <vt:lpstr>ELama!janhrrt</vt:lpstr>
      <vt:lpstr>KMizzi!janhrrt</vt:lpstr>
      <vt:lpstr>LBonnici!janhrrt</vt:lpstr>
      <vt:lpstr>LCarini!janhrrt</vt:lpstr>
      <vt:lpstr>MAcero_Garzon!janhrrt</vt:lpstr>
      <vt:lpstr>MCamilleri!janhrrt</vt:lpstr>
      <vt:lpstr>MEllul!janhrrt</vt:lpstr>
      <vt:lpstr>NScerri_Esposito!janhrrt</vt:lpstr>
      <vt:lpstr>RAcharya!janhrrt</vt:lpstr>
      <vt:lpstr>RAttard!janhrrt</vt:lpstr>
      <vt:lpstr>RCamilleri!janhrrt</vt:lpstr>
      <vt:lpstr>RGaldes!janhrrt</vt:lpstr>
      <vt:lpstr>RMallan_Albani!janhrrt</vt:lpstr>
      <vt:lpstr>RSreejith!janhrrt</vt:lpstr>
      <vt:lpstr>SPare!janhrrt</vt:lpstr>
      <vt:lpstr>ZMifsud!janhrrt</vt:lpstr>
      <vt:lpstr>AFalzon!janmlf</vt:lpstr>
      <vt:lpstr>AHaneena!janmlf</vt:lpstr>
      <vt:lpstr>AKunnamkudath!janmlf</vt:lpstr>
      <vt:lpstr>DMifsud_Ceci!janmlf</vt:lpstr>
      <vt:lpstr>ECurmi!janmlf</vt:lpstr>
      <vt:lpstr>ELama!janmlf</vt:lpstr>
      <vt:lpstr>'fs7'!janmlf</vt:lpstr>
      <vt:lpstr>KMizzi!janmlf</vt:lpstr>
      <vt:lpstr>LBonnici!janmlf</vt:lpstr>
      <vt:lpstr>LCarini!janmlf</vt:lpstr>
      <vt:lpstr>MAcero_Garzon!janmlf</vt:lpstr>
      <vt:lpstr>MCamilleri!janmlf</vt:lpstr>
      <vt:lpstr>MEllul!janmlf</vt:lpstr>
      <vt:lpstr>NScerri_Esposito!janmlf</vt:lpstr>
      <vt:lpstr>RAcharya!janmlf</vt:lpstr>
      <vt:lpstr>RAttard!janmlf</vt:lpstr>
      <vt:lpstr>RCamilleri!janmlf</vt:lpstr>
      <vt:lpstr>RGaldes!janmlf</vt:lpstr>
      <vt:lpstr>RMallan_Albani!janmlf</vt:lpstr>
      <vt:lpstr>RSreejith!janmlf</vt:lpstr>
      <vt:lpstr>SPare!janmlf</vt:lpstr>
      <vt:lpstr>ZMifsud!janmlf</vt:lpstr>
      <vt:lpstr>AFalzon!janoth</vt:lpstr>
      <vt:lpstr>AHaneena!janoth</vt:lpstr>
      <vt:lpstr>AKunnamkudath!janoth</vt:lpstr>
      <vt:lpstr>DMifsud_Ceci!janoth</vt:lpstr>
      <vt:lpstr>ECurmi!janoth</vt:lpstr>
      <vt:lpstr>ELama!janoth</vt:lpstr>
      <vt:lpstr>KMizzi!janoth</vt:lpstr>
      <vt:lpstr>LBonnici!janoth</vt:lpstr>
      <vt:lpstr>LCarini!janoth</vt:lpstr>
      <vt:lpstr>MAcero_Garzon!janoth</vt:lpstr>
      <vt:lpstr>MCamilleri!janoth</vt:lpstr>
      <vt:lpstr>MEllul!janoth</vt:lpstr>
      <vt:lpstr>NScerri_Esposito!janoth</vt:lpstr>
      <vt:lpstr>RAcharya!janoth</vt:lpstr>
      <vt:lpstr>RAttard!janoth</vt:lpstr>
      <vt:lpstr>RCamilleri!janoth</vt:lpstr>
      <vt:lpstr>RGaldes!janoth</vt:lpstr>
      <vt:lpstr>RMallan_Albani!janoth</vt:lpstr>
      <vt:lpstr>RSreejith!janoth</vt:lpstr>
      <vt:lpstr>SPare!janoth</vt:lpstr>
      <vt:lpstr>ZMifsud!janoth</vt:lpstr>
      <vt:lpstr>AFalzon!JANPAYSLIP</vt:lpstr>
      <vt:lpstr>AHaneena!JANPAYSLIP</vt:lpstr>
      <vt:lpstr>AKunnamkudath!JANPAYSLIP</vt:lpstr>
      <vt:lpstr>DMifsud_Ceci!JANPAYSLIP</vt:lpstr>
      <vt:lpstr>ECurmi!JANPAYSLIP</vt:lpstr>
      <vt:lpstr>ELama!JANPAYSLIP</vt:lpstr>
      <vt:lpstr>KMizzi!JANPAYSLIP</vt:lpstr>
      <vt:lpstr>LBonnici!JANPAYSLIP</vt:lpstr>
      <vt:lpstr>LCarini!JANPAYSLIP</vt:lpstr>
      <vt:lpstr>MAcero_Garzon!JANPAYSLIP</vt:lpstr>
      <vt:lpstr>MCamilleri!JANPAYSLIP</vt:lpstr>
      <vt:lpstr>MEllul!JANPAYSLIP</vt:lpstr>
      <vt:lpstr>NScerri_Esposito!JANPAYSLIP</vt:lpstr>
      <vt:lpstr>RAcharya!JANPAYSLIP</vt:lpstr>
      <vt:lpstr>RAttard!JANPAYSLIP</vt:lpstr>
      <vt:lpstr>RCamilleri!JANPAYSLIP</vt:lpstr>
      <vt:lpstr>RGaldes!JANPAYSLIP</vt:lpstr>
      <vt:lpstr>RMallan_Albani!JANPAYSLIP</vt:lpstr>
      <vt:lpstr>RSreejith!JANPAYSLIP</vt:lpstr>
      <vt:lpstr>SPare!JANPAYSLIP</vt:lpstr>
      <vt:lpstr>ZMifsud!JANPAYSLIP</vt:lpstr>
      <vt:lpstr>AFalzon!janpb</vt:lpstr>
      <vt:lpstr>AHaneena!janpb</vt:lpstr>
      <vt:lpstr>AKunnamkudath!janpb</vt:lpstr>
      <vt:lpstr>DMifsud_Ceci!janpb</vt:lpstr>
      <vt:lpstr>ECurmi!janpb</vt:lpstr>
      <vt:lpstr>ELama!janpb</vt:lpstr>
      <vt:lpstr>KMizzi!janpb</vt:lpstr>
      <vt:lpstr>LBonnici!janpb</vt:lpstr>
      <vt:lpstr>LCarini!janpb</vt:lpstr>
      <vt:lpstr>MAcero_Garzon!janpb</vt:lpstr>
      <vt:lpstr>MCamilleri!janpb</vt:lpstr>
      <vt:lpstr>MEllul!janpb</vt:lpstr>
      <vt:lpstr>NScerri_Esposito!janpb</vt:lpstr>
      <vt:lpstr>RAcharya!janpb</vt:lpstr>
      <vt:lpstr>RAttard!janpb</vt:lpstr>
      <vt:lpstr>RCamilleri!janpb</vt:lpstr>
      <vt:lpstr>RGaldes!janpb</vt:lpstr>
      <vt:lpstr>RMallan_Albani!janpb</vt:lpstr>
      <vt:lpstr>RSreejith!janpb</vt:lpstr>
      <vt:lpstr>SPare!janpb</vt:lpstr>
      <vt:lpstr>ZMifsud!janpb</vt:lpstr>
      <vt:lpstr>AFalzon!jansb</vt:lpstr>
      <vt:lpstr>AHaneena!jansb</vt:lpstr>
      <vt:lpstr>AKunnamkudath!jansb</vt:lpstr>
      <vt:lpstr>DMifsud_Ceci!jansb</vt:lpstr>
      <vt:lpstr>ECurmi!jansb</vt:lpstr>
      <vt:lpstr>ELama!jansb</vt:lpstr>
      <vt:lpstr>KMizzi!jansb</vt:lpstr>
      <vt:lpstr>LBonnici!jansb</vt:lpstr>
      <vt:lpstr>LCarini!jansb</vt:lpstr>
      <vt:lpstr>MAcero_Garzon!jansb</vt:lpstr>
      <vt:lpstr>MCamilleri!jansb</vt:lpstr>
      <vt:lpstr>MEllul!jansb</vt:lpstr>
      <vt:lpstr>NScerri_Esposito!jansb</vt:lpstr>
      <vt:lpstr>RAcharya!jansb</vt:lpstr>
      <vt:lpstr>RAttard!jansb</vt:lpstr>
      <vt:lpstr>RCamilleri!jansb</vt:lpstr>
      <vt:lpstr>RGaldes!jansb</vt:lpstr>
      <vt:lpstr>RMallan_Albani!jansb</vt:lpstr>
      <vt:lpstr>RSreejith!jansb</vt:lpstr>
      <vt:lpstr>SPare!jansb</vt:lpstr>
      <vt:lpstr>ZMifsud!jansb</vt:lpstr>
      <vt:lpstr>'fs7'!janssc</vt:lpstr>
      <vt:lpstr>AFalzon!janULHr</vt:lpstr>
      <vt:lpstr>AHaneena!janULHr</vt:lpstr>
      <vt:lpstr>AKunnamkudath!janULHr</vt:lpstr>
      <vt:lpstr>DMifsud_Ceci!janULHr</vt:lpstr>
      <vt:lpstr>ECurmi!janULHr</vt:lpstr>
      <vt:lpstr>ELama!janULHr</vt:lpstr>
      <vt:lpstr>KMizzi!janULHr</vt:lpstr>
      <vt:lpstr>LBonnici!janULHr</vt:lpstr>
      <vt:lpstr>LCarini!janULHr</vt:lpstr>
      <vt:lpstr>MAcero_Garzon!janULHr</vt:lpstr>
      <vt:lpstr>MCamilleri!janULHr</vt:lpstr>
      <vt:lpstr>MEllul!janULHr</vt:lpstr>
      <vt:lpstr>NScerri_Esposito!janULHr</vt:lpstr>
      <vt:lpstr>RAcharya!janULHr</vt:lpstr>
      <vt:lpstr>RAttard!janULHr</vt:lpstr>
      <vt:lpstr>RCamilleri!janULHr</vt:lpstr>
      <vt:lpstr>RGaldes!janULHr</vt:lpstr>
      <vt:lpstr>RMallan_Albani!janULHr</vt:lpstr>
      <vt:lpstr>RSreejith!janULHr</vt:lpstr>
      <vt:lpstr>SPare!janULHr</vt:lpstr>
      <vt:lpstr>ZMifsud!janULHr</vt:lpstr>
      <vt:lpstr>AFalzon!JUL_PAY</vt:lpstr>
      <vt:lpstr>AHaneena!JUL_PAY</vt:lpstr>
      <vt:lpstr>AKunnamkudath!JUL_PAY</vt:lpstr>
      <vt:lpstr>DMifsud_Ceci!JUL_PAY</vt:lpstr>
      <vt:lpstr>ECurmi!JUL_PAY</vt:lpstr>
      <vt:lpstr>ELama!JUL_PAY</vt:lpstr>
      <vt:lpstr>KMizzi!JUL_PAY</vt:lpstr>
      <vt:lpstr>LBonnici!JUL_PAY</vt:lpstr>
      <vt:lpstr>LCarini!JUL_PAY</vt:lpstr>
      <vt:lpstr>MAcero_Garzon!JUL_PAY</vt:lpstr>
      <vt:lpstr>MCamilleri!JUL_PAY</vt:lpstr>
      <vt:lpstr>MEllul!JUL_PAY</vt:lpstr>
      <vt:lpstr>NScerri_Esposito!JUL_PAY</vt:lpstr>
      <vt:lpstr>RAcharya!JUL_PAY</vt:lpstr>
      <vt:lpstr>RAttard!JUL_PAY</vt:lpstr>
      <vt:lpstr>RCamilleri!JUL_PAY</vt:lpstr>
      <vt:lpstr>RGaldes!JUL_PAY</vt:lpstr>
      <vt:lpstr>RMallan_Albani!JUL_PAY</vt:lpstr>
      <vt:lpstr>RSreejith!JUL_PAY</vt:lpstr>
      <vt:lpstr>SPare!JUL_PAY</vt:lpstr>
      <vt:lpstr>ZMifsud!JUL_PAY</vt:lpstr>
      <vt:lpstr>AFalzon!JuleeSocSec</vt:lpstr>
      <vt:lpstr>AHaneena!JuleeSocSec</vt:lpstr>
      <vt:lpstr>AKunnamkudath!JuleeSocSec</vt:lpstr>
      <vt:lpstr>DMifsud_Ceci!JuleeSocSec</vt:lpstr>
      <vt:lpstr>ECurmi!JuleeSocSec</vt:lpstr>
      <vt:lpstr>ELama!JuleeSocSec</vt:lpstr>
      <vt:lpstr>KMizzi!JuleeSocSec</vt:lpstr>
      <vt:lpstr>LBonnici!JuleeSocSec</vt:lpstr>
      <vt:lpstr>LCarini!JuleeSocSec</vt:lpstr>
      <vt:lpstr>MAcero_Garzon!JuleeSocSec</vt:lpstr>
      <vt:lpstr>MCamilleri!JuleeSocSec</vt:lpstr>
      <vt:lpstr>MEllul!JuleeSocSec</vt:lpstr>
      <vt:lpstr>NScerri_Esposito!JuleeSocSec</vt:lpstr>
      <vt:lpstr>RAcharya!JuleeSocSec</vt:lpstr>
      <vt:lpstr>RAttard!JuleeSocSec</vt:lpstr>
      <vt:lpstr>RCamilleri!JuleeSocSec</vt:lpstr>
      <vt:lpstr>RGaldes!JuleeSocSec</vt:lpstr>
      <vt:lpstr>RMallan_Albani!JuleeSocSec</vt:lpstr>
      <vt:lpstr>RSreejith!JuleeSocSec</vt:lpstr>
      <vt:lpstr>SPare!JuleeSocSec</vt:lpstr>
      <vt:lpstr>ZMifsud!JuleeSocSec</vt:lpstr>
      <vt:lpstr>AFalzon!JulERSocSec</vt:lpstr>
      <vt:lpstr>AHaneena!JulERSocSec</vt:lpstr>
      <vt:lpstr>AKunnamkudath!JulERSocSec</vt:lpstr>
      <vt:lpstr>DMifsud_Ceci!JulERSocSec</vt:lpstr>
      <vt:lpstr>ECurmi!JulERSocSec</vt:lpstr>
      <vt:lpstr>ELama!JulERSocSec</vt:lpstr>
      <vt:lpstr>KMizzi!JulERSocSec</vt:lpstr>
      <vt:lpstr>LBonnici!JulERSocSec</vt:lpstr>
      <vt:lpstr>LCarini!JulERSocSec</vt:lpstr>
      <vt:lpstr>MAcero_Garzon!JulERSocSec</vt:lpstr>
      <vt:lpstr>MCamilleri!JulERSocSec</vt:lpstr>
      <vt:lpstr>MEllul!JulERSocSec</vt:lpstr>
      <vt:lpstr>NScerri_Esposito!JulERSocSec</vt:lpstr>
      <vt:lpstr>RAcharya!JulERSocSec</vt:lpstr>
      <vt:lpstr>RAttard!JulERSocSec</vt:lpstr>
      <vt:lpstr>RCamilleri!JulERSocSec</vt:lpstr>
      <vt:lpstr>RGaldes!JulERSocSec</vt:lpstr>
      <vt:lpstr>RMallan_Albani!JulERSocSec</vt:lpstr>
      <vt:lpstr>RSreejith!JulERSocSec</vt:lpstr>
      <vt:lpstr>SPare!JulERSocSec</vt:lpstr>
      <vt:lpstr>ZMifsud!JulERSocSec</vt:lpstr>
      <vt:lpstr>AFalzon!juleuhrs</vt:lpstr>
      <vt:lpstr>AHaneena!juleuhrs</vt:lpstr>
      <vt:lpstr>AKunnamkudath!juleuhrs</vt:lpstr>
      <vt:lpstr>DMifsud_Ceci!juleuhrs</vt:lpstr>
      <vt:lpstr>ECurmi!juleuhrs</vt:lpstr>
      <vt:lpstr>ELama!juleuhrs</vt:lpstr>
      <vt:lpstr>KMizzi!juleuhrs</vt:lpstr>
      <vt:lpstr>LBonnici!juleuhrs</vt:lpstr>
      <vt:lpstr>LCarini!juleuhrs</vt:lpstr>
      <vt:lpstr>MAcero_Garzon!juleuhrs</vt:lpstr>
      <vt:lpstr>MCamilleri!juleuhrs</vt:lpstr>
      <vt:lpstr>MEllul!juleuhrs</vt:lpstr>
      <vt:lpstr>NScerri_Esposito!juleuhrs</vt:lpstr>
      <vt:lpstr>RAcharya!juleuhrs</vt:lpstr>
      <vt:lpstr>RAttard!juleuhrs</vt:lpstr>
      <vt:lpstr>RCamilleri!juleuhrs</vt:lpstr>
      <vt:lpstr>RGaldes!juleuhrs</vt:lpstr>
      <vt:lpstr>RMallan_Albani!juleuhrs</vt:lpstr>
      <vt:lpstr>RSreejith!juleuhrs</vt:lpstr>
      <vt:lpstr>SPare!juleuhrs</vt:lpstr>
      <vt:lpstr>ZMifsud!juleuhrs</vt:lpstr>
      <vt:lpstr>'fs7'!julfsstax</vt:lpstr>
      <vt:lpstr>AFalzon!julgrs</vt:lpstr>
      <vt:lpstr>AHaneena!julgrs</vt:lpstr>
      <vt:lpstr>AKunnamkudath!julgrs</vt:lpstr>
      <vt:lpstr>DMifsud_Ceci!julgrs</vt:lpstr>
      <vt:lpstr>ECurmi!julgrs</vt:lpstr>
      <vt:lpstr>ELama!julgrs</vt:lpstr>
      <vt:lpstr>KMizzi!julgrs</vt:lpstr>
      <vt:lpstr>LBonnici!julgrs</vt:lpstr>
      <vt:lpstr>LCarini!julgrs</vt:lpstr>
      <vt:lpstr>MAcero_Garzon!julgrs</vt:lpstr>
      <vt:lpstr>MCamilleri!julgrs</vt:lpstr>
      <vt:lpstr>MEllul!julgrs</vt:lpstr>
      <vt:lpstr>NScerri_Esposito!julgrs</vt:lpstr>
      <vt:lpstr>RAcharya!julgrs</vt:lpstr>
      <vt:lpstr>RAttard!julgrs</vt:lpstr>
      <vt:lpstr>RCamilleri!julgrs</vt:lpstr>
      <vt:lpstr>RGaldes!julgrs</vt:lpstr>
      <vt:lpstr>RMallan_Albani!julgrs</vt:lpstr>
      <vt:lpstr>RSreejith!julgrs</vt:lpstr>
      <vt:lpstr>SPare!julgrs</vt:lpstr>
      <vt:lpstr>ZMifsud!julgrs</vt:lpstr>
      <vt:lpstr>AFalzon!julhrrt</vt:lpstr>
      <vt:lpstr>AHaneena!julhrrt</vt:lpstr>
      <vt:lpstr>AKunnamkudath!julhrrt</vt:lpstr>
      <vt:lpstr>DMifsud_Ceci!julhrrt</vt:lpstr>
      <vt:lpstr>ECurmi!julhrrt</vt:lpstr>
      <vt:lpstr>ELama!julhrrt</vt:lpstr>
      <vt:lpstr>KMizzi!julhrrt</vt:lpstr>
      <vt:lpstr>LBonnici!julhrrt</vt:lpstr>
      <vt:lpstr>LCarini!julhrrt</vt:lpstr>
      <vt:lpstr>MAcero_Garzon!julhrrt</vt:lpstr>
      <vt:lpstr>MCamilleri!julhrrt</vt:lpstr>
      <vt:lpstr>MEllul!julhrrt</vt:lpstr>
      <vt:lpstr>NScerri_Esposito!julhrrt</vt:lpstr>
      <vt:lpstr>RAcharya!julhrrt</vt:lpstr>
      <vt:lpstr>RAttard!julhrrt</vt:lpstr>
      <vt:lpstr>RCamilleri!julhrrt</vt:lpstr>
      <vt:lpstr>RGaldes!julhrrt</vt:lpstr>
      <vt:lpstr>RMallan_Albani!julhrrt</vt:lpstr>
      <vt:lpstr>RSreejith!julhrrt</vt:lpstr>
      <vt:lpstr>SPare!julhrrt</vt:lpstr>
      <vt:lpstr>ZMifsud!julhrrt</vt:lpstr>
      <vt:lpstr>AFalzon!julmlf</vt:lpstr>
      <vt:lpstr>AHaneena!julmlf</vt:lpstr>
      <vt:lpstr>AKunnamkudath!julmlf</vt:lpstr>
      <vt:lpstr>DMifsud_Ceci!julmlf</vt:lpstr>
      <vt:lpstr>ECurmi!julmlf</vt:lpstr>
      <vt:lpstr>ELama!julmlf</vt:lpstr>
      <vt:lpstr>'fs7'!julmlf</vt:lpstr>
      <vt:lpstr>KMizzi!julmlf</vt:lpstr>
      <vt:lpstr>LBonnici!julmlf</vt:lpstr>
      <vt:lpstr>LCarini!julmlf</vt:lpstr>
      <vt:lpstr>MAcero_Garzon!julmlf</vt:lpstr>
      <vt:lpstr>MCamilleri!julmlf</vt:lpstr>
      <vt:lpstr>MEllul!julmlf</vt:lpstr>
      <vt:lpstr>NScerri_Esposito!julmlf</vt:lpstr>
      <vt:lpstr>RAcharya!julmlf</vt:lpstr>
      <vt:lpstr>RAttard!julmlf</vt:lpstr>
      <vt:lpstr>RCamilleri!julmlf</vt:lpstr>
      <vt:lpstr>RGaldes!julmlf</vt:lpstr>
      <vt:lpstr>RMallan_Albani!julmlf</vt:lpstr>
      <vt:lpstr>RSreejith!julmlf</vt:lpstr>
      <vt:lpstr>SPare!julmlf</vt:lpstr>
      <vt:lpstr>ZMifsud!julmlf</vt:lpstr>
      <vt:lpstr>AFalzon!juloth</vt:lpstr>
      <vt:lpstr>AHaneena!juloth</vt:lpstr>
      <vt:lpstr>AKunnamkudath!juloth</vt:lpstr>
      <vt:lpstr>DMifsud_Ceci!juloth</vt:lpstr>
      <vt:lpstr>ECurmi!juloth</vt:lpstr>
      <vt:lpstr>ELama!juloth</vt:lpstr>
      <vt:lpstr>KMizzi!juloth</vt:lpstr>
      <vt:lpstr>LBonnici!juloth</vt:lpstr>
      <vt:lpstr>LCarini!juloth</vt:lpstr>
      <vt:lpstr>MAcero_Garzon!juloth</vt:lpstr>
      <vt:lpstr>MCamilleri!juloth</vt:lpstr>
      <vt:lpstr>MEllul!juloth</vt:lpstr>
      <vt:lpstr>NScerri_Esposito!juloth</vt:lpstr>
      <vt:lpstr>RAcharya!juloth</vt:lpstr>
      <vt:lpstr>RAttard!juloth</vt:lpstr>
      <vt:lpstr>RCamilleri!juloth</vt:lpstr>
      <vt:lpstr>RGaldes!juloth</vt:lpstr>
      <vt:lpstr>RMallan_Albani!juloth</vt:lpstr>
      <vt:lpstr>RSreejith!juloth</vt:lpstr>
      <vt:lpstr>SPare!juloth</vt:lpstr>
      <vt:lpstr>ZMifsud!juloth</vt:lpstr>
      <vt:lpstr>AFalzon!julpb</vt:lpstr>
      <vt:lpstr>AHaneena!julpb</vt:lpstr>
      <vt:lpstr>AKunnamkudath!julpb</vt:lpstr>
      <vt:lpstr>DMifsud_Ceci!julpb</vt:lpstr>
      <vt:lpstr>ECurmi!julpb</vt:lpstr>
      <vt:lpstr>ELama!julpb</vt:lpstr>
      <vt:lpstr>KMizzi!julpb</vt:lpstr>
      <vt:lpstr>LBonnici!julpb</vt:lpstr>
      <vt:lpstr>LCarini!julpb</vt:lpstr>
      <vt:lpstr>MAcero_Garzon!julpb</vt:lpstr>
      <vt:lpstr>MCamilleri!julpb</vt:lpstr>
      <vt:lpstr>MEllul!julpb</vt:lpstr>
      <vt:lpstr>NScerri_Esposito!julpb</vt:lpstr>
      <vt:lpstr>RAcharya!julpb</vt:lpstr>
      <vt:lpstr>RAttard!julpb</vt:lpstr>
      <vt:lpstr>RCamilleri!julpb</vt:lpstr>
      <vt:lpstr>RGaldes!julpb</vt:lpstr>
      <vt:lpstr>RMallan_Albani!julpb</vt:lpstr>
      <vt:lpstr>RSreejith!julpb</vt:lpstr>
      <vt:lpstr>SPare!julpb</vt:lpstr>
      <vt:lpstr>ZMifsud!julpb</vt:lpstr>
      <vt:lpstr>AFalzon!julsb</vt:lpstr>
      <vt:lpstr>AHaneena!julsb</vt:lpstr>
      <vt:lpstr>AKunnamkudath!julsb</vt:lpstr>
      <vt:lpstr>DMifsud_Ceci!julsb</vt:lpstr>
      <vt:lpstr>ECurmi!julsb</vt:lpstr>
      <vt:lpstr>ELama!julsb</vt:lpstr>
      <vt:lpstr>KMizzi!julsb</vt:lpstr>
      <vt:lpstr>LBonnici!julsb</vt:lpstr>
      <vt:lpstr>LCarini!julsb</vt:lpstr>
      <vt:lpstr>MAcero_Garzon!julsb</vt:lpstr>
      <vt:lpstr>MCamilleri!julsb</vt:lpstr>
      <vt:lpstr>MEllul!julsb</vt:lpstr>
      <vt:lpstr>NScerri_Esposito!julsb</vt:lpstr>
      <vt:lpstr>RAcharya!julsb</vt:lpstr>
      <vt:lpstr>RAttard!julsb</vt:lpstr>
      <vt:lpstr>RCamilleri!julsb</vt:lpstr>
      <vt:lpstr>RGaldes!julsb</vt:lpstr>
      <vt:lpstr>RMallan_Albani!julsb</vt:lpstr>
      <vt:lpstr>RSreejith!julsb</vt:lpstr>
      <vt:lpstr>SPare!julsb</vt:lpstr>
      <vt:lpstr>ZMifsud!julsb</vt:lpstr>
      <vt:lpstr>'fs7'!julssc</vt:lpstr>
      <vt:lpstr>AFalzon!julULHr</vt:lpstr>
      <vt:lpstr>AHaneena!julULHr</vt:lpstr>
      <vt:lpstr>AKunnamkudath!julULHr</vt:lpstr>
      <vt:lpstr>DMifsud_Ceci!julULHr</vt:lpstr>
      <vt:lpstr>ECurmi!julULHr</vt:lpstr>
      <vt:lpstr>ELama!julULHr</vt:lpstr>
      <vt:lpstr>KMizzi!julULHr</vt:lpstr>
      <vt:lpstr>LBonnici!julULHr</vt:lpstr>
      <vt:lpstr>LCarini!julULHr</vt:lpstr>
      <vt:lpstr>MAcero_Garzon!julULHr</vt:lpstr>
      <vt:lpstr>MCamilleri!julULHr</vt:lpstr>
      <vt:lpstr>MEllul!julULHr</vt:lpstr>
      <vt:lpstr>NScerri_Esposito!julULHr</vt:lpstr>
      <vt:lpstr>RAcharya!julULHr</vt:lpstr>
      <vt:lpstr>RAttard!julULHr</vt:lpstr>
      <vt:lpstr>RCamilleri!julULHr</vt:lpstr>
      <vt:lpstr>RGaldes!julULHr</vt:lpstr>
      <vt:lpstr>RMallan_Albani!julULHr</vt:lpstr>
      <vt:lpstr>RSreejith!julULHr</vt:lpstr>
      <vt:lpstr>SPare!julULHr</vt:lpstr>
      <vt:lpstr>ZMifsud!julULHr</vt:lpstr>
      <vt:lpstr>AFalzon!JUN_PAY</vt:lpstr>
      <vt:lpstr>AHaneena!JUN_PAY</vt:lpstr>
      <vt:lpstr>AKunnamkudath!JUN_PAY</vt:lpstr>
      <vt:lpstr>DMifsud_Ceci!JUN_PAY</vt:lpstr>
      <vt:lpstr>ECurmi!JUN_PAY</vt:lpstr>
      <vt:lpstr>ELama!JUN_PAY</vt:lpstr>
      <vt:lpstr>KMizzi!JUN_PAY</vt:lpstr>
      <vt:lpstr>LBonnici!JUN_PAY</vt:lpstr>
      <vt:lpstr>LCarini!JUN_PAY</vt:lpstr>
      <vt:lpstr>MAcero_Garzon!JUN_PAY</vt:lpstr>
      <vt:lpstr>MCamilleri!JUN_PAY</vt:lpstr>
      <vt:lpstr>MEllul!JUN_PAY</vt:lpstr>
      <vt:lpstr>NScerri_Esposito!JUN_PAY</vt:lpstr>
      <vt:lpstr>RAcharya!JUN_PAY</vt:lpstr>
      <vt:lpstr>RAttard!JUN_PAY</vt:lpstr>
      <vt:lpstr>RCamilleri!JUN_PAY</vt:lpstr>
      <vt:lpstr>RGaldes!JUN_PAY</vt:lpstr>
      <vt:lpstr>RMallan_Albani!JUN_PAY</vt:lpstr>
      <vt:lpstr>RSreejith!JUN_PAY</vt:lpstr>
      <vt:lpstr>SPare!JUN_PAY</vt:lpstr>
      <vt:lpstr>ZMifsud!JUN_PAY</vt:lpstr>
      <vt:lpstr>AFalzon!JuneeSocSec</vt:lpstr>
      <vt:lpstr>AHaneena!JuneeSocSec</vt:lpstr>
      <vt:lpstr>AKunnamkudath!JuneeSocSec</vt:lpstr>
      <vt:lpstr>DMifsud_Ceci!JuneeSocSec</vt:lpstr>
      <vt:lpstr>ECurmi!JuneeSocSec</vt:lpstr>
      <vt:lpstr>ELama!JuneeSocSec</vt:lpstr>
      <vt:lpstr>KMizzi!JuneeSocSec</vt:lpstr>
      <vt:lpstr>LBonnici!JuneeSocSec</vt:lpstr>
      <vt:lpstr>LCarini!JuneeSocSec</vt:lpstr>
      <vt:lpstr>MAcero_Garzon!JuneeSocSec</vt:lpstr>
      <vt:lpstr>MCamilleri!JuneeSocSec</vt:lpstr>
      <vt:lpstr>MEllul!JuneeSocSec</vt:lpstr>
      <vt:lpstr>NScerri_Esposito!JuneeSocSec</vt:lpstr>
      <vt:lpstr>RAcharya!JuneeSocSec</vt:lpstr>
      <vt:lpstr>RAttard!JuneeSocSec</vt:lpstr>
      <vt:lpstr>RCamilleri!JuneeSocSec</vt:lpstr>
      <vt:lpstr>RGaldes!JuneeSocSec</vt:lpstr>
      <vt:lpstr>RMallan_Albani!JuneeSocSec</vt:lpstr>
      <vt:lpstr>RSreejith!JuneeSocSec</vt:lpstr>
      <vt:lpstr>SPare!JuneeSocSec</vt:lpstr>
      <vt:lpstr>ZMifsud!JuneeSocSec</vt:lpstr>
      <vt:lpstr>AFalzon!JunERSocSec</vt:lpstr>
      <vt:lpstr>AHaneena!JunERSocSec</vt:lpstr>
      <vt:lpstr>AKunnamkudath!JunERSocSec</vt:lpstr>
      <vt:lpstr>DMifsud_Ceci!JunERSocSec</vt:lpstr>
      <vt:lpstr>ECurmi!JunERSocSec</vt:lpstr>
      <vt:lpstr>ELama!JunERSocSec</vt:lpstr>
      <vt:lpstr>KMizzi!JunERSocSec</vt:lpstr>
      <vt:lpstr>LBonnici!JunERSocSec</vt:lpstr>
      <vt:lpstr>LCarini!JunERSocSec</vt:lpstr>
      <vt:lpstr>MAcero_Garzon!JunERSocSec</vt:lpstr>
      <vt:lpstr>MCamilleri!JunERSocSec</vt:lpstr>
      <vt:lpstr>MEllul!JunERSocSec</vt:lpstr>
      <vt:lpstr>NScerri_Esposito!JunERSocSec</vt:lpstr>
      <vt:lpstr>RAcharya!JunERSocSec</vt:lpstr>
      <vt:lpstr>RAttard!JunERSocSec</vt:lpstr>
      <vt:lpstr>RCamilleri!JunERSocSec</vt:lpstr>
      <vt:lpstr>RGaldes!JunERSocSec</vt:lpstr>
      <vt:lpstr>RMallan_Albani!JunERSocSec</vt:lpstr>
      <vt:lpstr>RSreejith!JunERSocSec</vt:lpstr>
      <vt:lpstr>SPare!JunERSocSec</vt:lpstr>
      <vt:lpstr>ZMifsud!JunERSocSec</vt:lpstr>
      <vt:lpstr>AFalzon!juneuhrs</vt:lpstr>
      <vt:lpstr>AHaneena!juneuhrs</vt:lpstr>
      <vt:lpstr>AKunnamkudath!juneuhrs</vt:lpstr>
      <vt:lpstr>DMifsud_Ceci!juneuhrs</vt:lpstr>
      <vt:lpstr>ECurmi!juneuhrs</vt:lpstr>
      <vt:lpstr>ELama!juneuhrs</vt:lpstr>
      <vt:lpstr>KMizzi!juneuhrs</vt:lpstr>
      <vt:lpstr>LBonnici!juneuhrs</vt:lpstr>
      <vt:lpstr>LCarini!juneuhrs</vt:lpstr>
      <vt:lpstr>MAcero_Garzon!juneuhrs</vt:lpstr>
      <vt:lpstr>MCamilleri!juneuhrs</vt:lpstr>
      <vt:lpstr>MEllul!juneuhrs</vt:lpstr>
      <vt:lpstr>NScerri_Esposito!juneuhrs</vt:lpstr>
      <vt:lpstr>RAcharya!juneuhrs</vt:lpstr>
      <vt:lpstr>RAttard!juneuhrs</vt:lpstr>
      <vt:lpstr>RCamilleri!juneuhrs</vt:lpstr>
      <vt:lpstr>RGaldes!juneuhrs</vt:lpstr>
      <vt:lpstr>RMallan_Albani!juneuhrs</vt:lpstr>
      <vt:lpstr>RSreejith!juneuhrs</vt:lpstr>
      <vt:lpstr>SPare!juneuhrs</vt:lpstr>
      <vt:lpstr>ZMifsud!juneuhrs</vt:lpstr>
      <vt:lpstr>'fs7'!junfsstax</vt:lpstr>
      <vt:lpstr>AFalzon!jungrs</vt:lpstr>
      <vt:lpstr>AHaneena!jungrs</vt:lpstr>
      <vt:lpstr>AKunnamkudath!jungrs</vt:lpstr>
      <vt:lpstr>DMifsud_Ceci!jungrs</vt:lpstr>
      <vt:lpstr>ECurmi!jungrs</vt:lpstr>
      <vt:lpstr>ELama!jungrs</vt:lpstr>
      <vt:lpstr>KMizzi!jungrs</vt:lpstr>
      <vt:lpstr>LBonnici!jungrs</vt:lpstr>
      <vt:lpstr>LCarini!jungrs</vt:lpstr>
      <vt:lpstr>MAcero_Garzon!jungrs</vt:lpstr>
      <vt:lpstr>MCamilleri!jungrs</vt:lpstr>
      <vt:lpstr>MEllul!jungrs</vt:lpstr>
      <vt:lpstr>NScerri_Esposito!jungrs</vt:lpstr>
      <vt:lpstr>RAcharya!jungrs</vt:lpstr>
      <vt:lpstr>RAttard!jungrs</vt:lpstr>
      <vt:lpstr>RCamilleri!jungrs</vt:lpstr>
      <vt:lpstr>RGaldes!jungrs</vt:lpstr>
      <vt:lpstr>RMallan_Albani!jungrs</vt:lpstr>
      <vt:lpstr>RSreejith!jungrs</vt:lpstr>
      <vt:lpstr>SPare!jungrs</vt:lpstr>
      <vt:lpstr>ZMifsud!jungrs</vt:lpstr>
      <vt:lpstr>AFalzon!junhrrt</vt:lpstr>
      <vt:lpstr>AHaneena!junhrrt</vt:lpstr>
      <vt:lpstr>AKunnamkudath!junhrrt</vt:lpstr>
      <vt:lpstr>DMifsud_Ceci!junhrrt</vt:lpstr>
      <vt:lpstr>ECurmi!junhrrt</vt:lpstr>
      <vt:lpstr>ELama!junhrrt</vt:lpstr>
      <vt:lpstr>KMizzi!junhrrt</vt:lpstr>
      <vt:lpstr>LBonnici!junhrrt</vt:lpstr>
      <vt:lpstr>LCarini!junhrrt</vt:lpstr>
      <vt:lpstr>MAcero_Garzon!junhrrt</vt:lpstr>
      <vt:lpstr>MCamilleri!junhrrt</vt:lpstr>
      <vt:lpstr>MEllul!junhrrt</vt:lpstr>
      <vt:lpstr>NScerri_Esposito!junhrrt</vt:lpstr>
      <vt:lpstr>RAcharya!junhrrt</vt:lpstr>
      <vt:lpstr>RAttard!junhrrt</vt:lpstr>
      <vt:lpstr>RCamilleri!junhrrt</vt:lpstr>
      <vt:lpstr>RGaldes!junhrrt</vt:lpstr>
      <vt:lpstr>RMallan_Albani!junhrrt</vt:lpstr>
      <vt:lpstr>RSreejith!junhrrt</vt:lpstr>
      <vt:lpstr>SPare!junhrrt</vt:lpstr>
      <vt:lpstr>ZMifsud!junhrrt</vt:lpstr>
      <vt:lpstr>AFalzon!junmlf</vt:lpstr>
      <vt:lpstr>AHaneena!junmlf</vt:lpstr>
      <vt:lpstr>AKunnamkudath!junmlf</vt:lpstr>
      <vt:lpstr>DMifsud_Ceci!junmlf</vt:lpstr>
      <vt:lpstr>ECurmi!junmlf</vt:lpstr>
      <vt:lpstr>ELama!junmlf</vt:lpstr>
      <vt:lpstr>'fs7'!junmlf</vt:lpstr>
      <vt:lpstr>KMizzi!junmlf</vt:lpstr>
      <vt:lpstr>LBonnici!junmlf</vt:lpstr>
      <vt:lpstr>LCarini!junmlf</vt:lpstr>
      <vt:lpstr>MAcero_Garzon!junmlf</vt:lpstr>
      <vt:lpstr>MCamilleri!junmlf</vt:lpstr>
      <vt:lpstr>MEllul!junmlf</vt:lpstr>
      <vt:lpstr>NScerri_Esposito!junmlf</vt:lpstr>
      <vt:lpstr>RAcharya!junmlf</vt:lpstr>
      <vt:lpstr>RAttard!junmlf</vt:lpstr>
      <vt:lpstr>RCamilleri!junmlf</vt:lpstr>
      <vt:lpstr>RGaldes!junmlf</vt:lpstr>
      <vt:lpstr>RMallan_Albani!junmlf</vt:lpstr>
      <vt:lpstr>RSreejith!junmlf</vt:lpstr>
      <vt:lpstr>SPare!junmlf</vt:lpstr>
      <vt:lpstr>ZMifsud!junmlf</vt:lpstr>
      <vt:lpstr>AFalzon!junoth</vt:lpstr>
      <vt:lpstr>AHaneena!junoth</vt:lpstr>
      <vt:lpstr>AKunnamkudath!junoth</vt:lpstr>
      <vt:lpstr>DMifsud_Ceci!junoth</vt:lpstr>
      <vt:lpstr>ECurmi!junoth</vt:lpstr>
      <vt:lpstr>ELama!junoth</vt:lpstr>
      <vt:lpstr>KMizzi!junoth</vt:lpstr>
      <vt:lpstr>LBonnici!junoth</vt:lpstr>
      <vt:lpstr>LCarini!junoth</vt:lpstr>
      <vt:lpstr>MAcero_Garzon!junoth</vt:lpstr>
      <vt:lpstr>MCamilleri!junoth</vt:lpstr>
      <vt:lpstr>MEllul!junoth</vt:lpstr>
      <vt:lpstr>NScerri_Esposito!junoth</vt:lpstr>
      <vt:lpstr>RAcharya!junoth</vt:lpstr>
      <vt:lpstr>RAttard!junoth</vt:lpstr>
      <vt:lpstr>RCamilleri!junoth</vt:lpstr>
      <vt:lpstr>RGaldes!junoth</vt:lpstr>
      <vt:lpstr>RMallan_Albani!junoth</vt:lpstr>
      <vt:lpstr>RSreejith!junoth</vt:lpstr>
      <vt:lpstr>SPare!junoth</vt:lpstr>
      <vt:lpstr>ZMifsud!junoth</vt:lpstr>
      <vt:lpstr>AFalzon!junpb</vt:lpstr>
      <vt:lpstr>AHaneena!junpb</vt:lpstr>
      <vt:lpstr>AKunnamkudath!junpb</vt:lpstr>
      <vt:lpstr>DMifsud_Ceci!junpb</vt:lpstr>
      <vt:lpstr>ECurmi!junpb</vt:lpstr>
      <vt:lpstr>ELama!junpb</vt:lpstr>
      <vt:lpstr>KMizzi!junpb</vt:lpstr>
      <vt:lpstr>LBonnici!junpb</vt:lpstr>
      <vt:lpstr>LCarini!junpb</vt:lpstr>
      <vt:lpstr>MAcero_Garzon!junpb</vt:lpstr>
      <vt:lpstr>MCamilleri!junpb</vt:lpstr>
      <vt:lpstr>MEllul!junpb</vt:lpstr>
      <vt:lpstr>NScerri_Esposito!junpb</vt:lpstr>
      <vt:lpstr>RAcharya!junpb</vt:lpstr>
      <vt:lpstr>RAttard!junpb</vt:lpstr>
      <vt:lpstr>RCamilleri!junpb</vt:lpstr>
      <vt:lpstr>RGaldes!junpb</vt:lpstr>
      <vt:lpstr>RMallan_Albani!junpb</vt:lpstr>
      <vt:lpstr>RSreejith!junpb</vt:lpstr>
      <vt:lpstr>SPare!junpb</vt:lpstr>
      <vt:lpstr>ZMifsud!junpb</vt:lpstr>
      <vt:lpstr>AFalzon!junsb</vt:lpstr>
      <vt:lpstr>AHaneena!junsb</vt:lpstr>
      <vt:lpstr>AKunnamkudath!junsb</vt:lpstr>
      <vt:lpstr>DMifsud_Ceci!junsb</vt:lpstr>
      <vt:lpstr>ECurmi!junsb</vt:lpstr>
      <vt:lpstr>ELama!junsb</vt:lpstr>
      <vt:lpstr>KMizzi!junsb</vt:lpstr>
      <vt:lpstr>LBonnici!junsb</vt:lpstr>
      <vt:lpstr>LCarini!junsb</vt:lpstr>
      <vt:lpstr>MAcero_Garzon!junsb</vt:lpstr>
      <vt:lpstr>MCamilleri!junsb</vt:lpstr>
      <vt:lpstr>MEllul!junsb</vt:lpstr>
      <vt:lpstr>NScerri_Esposito!junsb</vt:lpstr>
      <vt:lpstr>RAcharya!junsb</vt:lpstr>
      <vt:lpstr>RAttard!junsb</vt:lpstr>
      <vt:lpstr>RCamilleri!junsb</vt:lpstr>
      <vt:lpstr>RGaldes!junsb</vt:lpstr>
      <vt:lpstr>RMallan_Albani!junsb</vt:lpstr>
      <vt:lpstr>RSreejith!junsb</vt:lpstr>
      <vt:lpstr>SPare!junsb</vt:lpstr>
      <vt:lpstr>ZMifsud!junsb</vt:lpstr>
      <vt:lpstr>'fs7'!junssc</vt:lpstr>
      <vt:lpstr>AFalzon!junULHr</vt:lpstr>
      <vt:lpstr>AHaneena!junULHr</vt:lpstr>
      <vt:lpstr>AKunnamkudath!junULHr</vt:lpstr>
      <vt:lpstr>DMifsud_Ceci!junULHr</vt:lpstr>
      <vt:lpstr>ECurmi!junULHr</vt:lpstr>
      <vt:lpstr>ELama!junULHr</vt:lpstr>
      <vt:lpstr>KMizzi!junULHr</vt:lpstr>
      <vt:lpstr>LBonnici!junULHr</vt:lpstr>
      <vt:lpstr>LCarini!junULHr</vt:lpstr>
      <vt:lpstr>MAcero_Garzon!junULHr</vt:lpstr>
      <vt:lpstr>MCamilleri!junULHr</vt:lpstr>
      <vt:lpstr>MEllul!junULHr</vt:lpstr>
      <vt:lpstr>NScerri_Esposito!junULHr</vt:lpstr>
      <vt:lpstr>RAcharya!junULHr</vt:lpstr>
      <vt:lpstr>RAttard!junULHr</vt:lpstr>
      <vt:lpstr>RCamilleri!junULHr</vt:lpstr>
      <vt:lpstr>RGaldes!junULHr</vt:lpstr>
      <vt:lpstr>RMallan_Albani!junULHr</vt:lpstr>
      <vt:lpstr>RSreejith!junULHr</vt:lpstr>
      <vt:lpstr>SPare!junULHr</vt:lpstr>
      <vt:lpstr>ZMifsud!junULHr</vt:lpstr>
      <vt:lpstr>AFalzon!Locality</vt:lpstr>
      <vt:lpstr>AHaneena!Locality</vt:lpstr>
      <vt:lpstr>AKunnamkudath!Locality</vt:lpstr>
      <vt:lpstr>DMifsud_Ceci!Locality</vt:lpstr>
      <vt:lpstr>ECurmi!Locality</vt:lpstr>
      <vt:lpstr>ELama!Locality</vt:lpstr>
      <vt:lpstr>KMizzi!Locality</vt:lpstr>
      <vt:lpstr>LBonnici!Locality</vt:lpstr>
      <vt:lpstr>LCarini!Locality</vt:lpstr>
      <vt:lpstr>MAcero_Garzon!Locality</vt:lpstr>
      <vt:lpstr>MCamilleri!Locality</vt:lpstr>
      <vt:lpstr>MEllul!Locality</vt:lpstr>
      <vt:lpstr>NScerri_Esposito!Locality</vt:lpstr>
      <vt:lpstr>RAcharya!Locality</vt:lpstr>
      <vt:lpstr>RAttard!Locality</vt:lpstr>
      <vt:lpstr>RCamilleri!Locality</vt:lpstr>
      <vt:lpstr>RGaldes!Locality</vt:lpstr>
      <vt:lpstr>RMallan_Albani!Locality</vt:lpstr>
      <vt:lpstr>RSreejith!Locality</vt:lpstr>
      <vt:lpstr>SPare!Locality</vt:lpstr>
      <vt:lpstr>ZMifsud!Locality</vt:lpstr>
      <vt:lpstr>AFalzon!MAR_PAY</vt:lpstr>
      <vt:lpstr>AHaneena!MAR_PAY</vt:lpstr>
      <vt:lpstr>AKunnamkudath!MAR_PAY</vt:lpstr>
      <vt:lpstr>DMifsud_Ceci!MAR_PAY</vt:lpstr>
      <vt:lpstr>ECurmi!MAR_PAY</vt:lpstr>
      <vt:lpstr>ELama!MAR_PAY</vt:lpstr>
      <vt:lpstr>KMizzi!MAR_PAY</vt:lpstr>
      <vt:lpstr>LBonnici!MAR_PAY</vt:lpstr>
      <vt:lpstr>LCarini!MAR_PAY</vt:lpstr>
      <vt:lpstr>MAcero_Garzon!MAR_PAY</vt:lpstr>
      <vt:lpstr>MCamilleri!MAR_PAY</vt:lpstr>
      <vt:lpstr>MEllul!MAR_PAY</vt:lpstr>
      <vt:lpstr>NScerri_Esposito!MAR_PAY</vt:lpstr>
      <vt:lpstr>RAcharya!MAR_PAY</vt:lpstr>
      <vt:lpstr>RAttard!MAR_PAY</vt:lpstr>
      <vt:lpstr>RCamilleri!MAR_PAY</vt:lpstr>
      <vt:lpstr>RGaldes!MAR_PAY</vt:lpstr>
      <vt:lpstr>RMallan_Albani!MAR_PAY</vt:lpstr>
      <vt:lpstr>RSreejith!MAR_PAY</vt:lpstr>
      <vt:lpstr>SPare!MAR_PAY</vt:lpstr>
      <vt:lpstr>ZMifsud!MAR_PAY</vt:lpstr>
      <vt:lpstr>mar1ded</vt:lpstr>
      <vt:lpstr>mar1rate</vt:lpstr>
      <vt:lpstr>mar2ded</vt:lpstr>
      <vt:lpstr>mar2rate</vt:lpstr>
      <vt:lpstr>mar3ded</vt:lpstr>
      <vt:lpstr>mar3rate</vt:lpstr>
      <vt:lpstr>mar4ded</vt:lpstr>
      <vt:lpstr>mar4rate</vt:lpstr>
      <vt:lpstr>mar5ded</vt:lpstr>
      <vt:lpstr>mar5rate</vt:lpstr>
      <vt:lpstr>AFalzon!MareeSocSec</vt:lpstr>
      <vt:lpstr>AHaneena!MareeSocSec</vt:lpstr>
      <vt:lpstr>AKunnamkudath!MareeSocSec</vt:lpstr>
      <vt:lpstr>DMifsud_Ceci!MareeSocSec</vt:lpstr>
      <vt:lpstr>ECurmi!MareeSocSec</vt:lpstr>
      <vt:lpstr>ELama!MareeSocSec</vt:lpstr>
      <vt:lpstr>KMizzi!MareeSocSec</vt:lpstr>
      <vt:lpstr>LBonnici!MareeSocSec</vt:lpstr>
      <vt:lpstr>LCarini!MareeSocSec</vt:lpstr>
      <vt:lpstr>MAcero_Garzon!MareeSocSec</vt:lpstr>
      <vt:lpstr>MCamilleri!MareeSocSec</vt:lpstr>
      <vt:lpstr>MEllul!MareeSocSec</vt:lpstr>
      <vt:lpstr>NScerri_Esposito!MareeSocSec</vt:lpstr>
      <vt:lpstr>RAcharya!MareeSocSec</vt:lpstr>
      <vt:lpstr>RAttard!MareeSocSec</vt:lpstr>
      <vt:lpstr>RCamilleri!MareeSocSec</vt:lpstr>
      <vt:lpstr>RGaldes!MareeSocSec</vt:lpstr>
      <vt:lpstr>RMallan_Albani!MareeSocSec</vt:lpstr>
      <vt:lpstr>RSreejith!MareeSocSec</vt:lpstr>
      <vt:lpstr>SPare!MareeSocSec</vt:lpstr>
      <vt:lpstr>ZMifsud!MareeSocSec</vt:lpstr>
      <vt:lpstr>AFalzon!MarErSocSec</vt:lpstr>
      <vt:lpstr>AHaneena!MarErSocSec</vt:lpstr>
      <vt:lpstr>AKunnamkudath!MarErSocSec</vt:lpstr>
      <vt:lpstr>DMifsud_Ceci!MarErSocSec</vt:lpstr>
      <vt:lpstr>ECurmi!MarErSocSec</vt:lpstr>
      <vt:lpstr>ELama!MarErSocSec</vt:lpstr>
      <vt:lpstr>KMizzi!MarErSocSec</vt:lpstr>
      <vt:lpstr>LBonnici!MarErSocSec</vt:lpstr>
      <vt:lpstr>LCarini!MarErSocSec</vt:lpstr>
      <vt:lpstr>MAcero_Garzon!MarErSocSec</vt:lpstr>
      <vt:lpstr>MCamilleri!MarErSocSec</vt:lpstr>
      <vt:lpstr>MEllul!MarErSocSec</vt:lpstr>
      <vt:lpstr>NScerri_Esposito!MarErSocSec</vt:lpstr>
      <vt:lpstr>RAcharya!MarErSocSec</vt:lpstr>
      <vt:lpstr>RAttard!MarErSocSec</vt:lpstr>
      <vt:lpstr>RCamilleri!MarErSocSec</vt:lpstr>
      <vt:lpstr>RGaldes!MarErSocSec</vt:lpstr>
      <vt:lpstr>RMallan_Albani!MarErSocSec</vt:lpstr>
      <vt:lpstr>RSreejith!MarErSocSec</vt:lpstr>
      <vt:lpstr>SPare!MarErSocSec</vt:lpstr>
      <vt:lpstr>ZMifsud!MarErSocSec</vt:lpstr>
      <vt:lpstr>AFalzon!mareuhrs</vt:lpstr>
      <vt:lpstr>AHaneena!mareuhrs</vt:lpstr>
      <vt:lpstr>AKunnamkudath!mareuhrs</vt:lpstr>
      <vt:lpstr>DMifsud_Ceci!mareuhrs</vt:lpstr>
      <vt:lpstr>ECurmi!mareuhrs</vt:lpstr>
      <vt:lpstr>ELama!mareuhrs</vt:lpstr>
      <vt:lpstr>KMizzi!mareuhrs</vt:lpstr>
      <vt:lpstr>LBonnici!mareuhrs</vt:lpstr>
      <vt:lpstr>LCarini!mareuhrs</vt:lpstr>
      <vt:lpstr>MAcero_Garzon!mareuhrs</vt:lpstr>
      <vt:lpstr>MCamilleri!mareuhrs</vt:lpstr>
      <vt:lpstr>MEllul!mareuhrs</vt:lpstr>
      <vt:lpstr>NScerri_Esposito!mareuhrs</vt:lpstr>
      <vt:lpstr>RAcharya!mareuhrs</vt:lpstr>
      <vt:lpstr>RAttard!mareuhrs</vt:lpstr>
      <vt:lpstr>RCamilleri!mareuhrs</vt:lpstr>
      <vt:lpstr>RGaldes!mareuhrs</vt:lpstr>
      <vt:lpstr>RMallan_Albani!mareuhrs</vt:lpstr>
      <vt:lpstr>RSreejith!mareuhrs</vt:lpstr>
      <vt:lpstr>SPare!mareuhrs</vt:lpstr>
      <vt:lpstr>ZMifsud!mareuhrs</vt:lpstr>
      <vt:lpstr>'fs7'!marfsstax</vt:lpstr>
      <vt:lpstr>AFalzon!margrs</vt:lpstr>
      <vt:lpstr>AHaneena!margrs</vt:lpstr>
      <vt:lpstr>AKunnamkudath!margrs</vt:lpstr>
      <vt:lpstr>DMifsud_Ceci!margrs</vt:lpstr>
      <vt:lpstr>ECurmi!margrs</vt:lpstr>
      <vt:lpstr>ELama!margrs</vt:lpstr>
      <vt:lpstr>KMizzi!margrs</vt:lpstr>
      <vt:lpstr>LBonnici!margrs</vt:lpstr>
      <vt:lpstr>LCarini!margrs</vt:lpstr>
      <vt:lpstr>MAcero_Garzon!margrs</vt:lpstr>
      <vt:lpstr>MCamilleri!margrs</vt:lpstr>
      <vt:lpstr>MEllul!margrs</vt:lpstr>
      <vt:lpstr>NScerri_Esposito!margrs</vt:lpstr>
      <vt:lpstr>RAcharya!margrs</vt:lpstr>
      <vt:lpstr>RAttard!margrs</vt:lpstr>
      <vt:lpstr>RCamilleri!margrs</vt:lpstr>
      <vt:lpstr>RGaldes!margrs</vt:lpstr>
      <vt:lpstr>RMallan_Albani!margrs</vt:lpstr>
      <vt:lpstr>RSreejith!margrs</vt:lpstr>
      <vt:lpstr>SPare!margrs</vt:lpstr>
      <vt:lpstr>ZMifsud!margrs</vt:lpstr>
      <vt:lpstr>AFalzon!marhrrt</vt:lpstr>
      <vt:lpstr>AHaneena!marhrrt</vt:lpstr>
      <vt:lpstr>AKunnamkudath!marhrrt</vt:lpstr>
      <vt:lpstr>DMifsud_Ceci!marhrrt</vt:lpstr>
      <vt:lpstr>ECurmi!marhrrt</vt:lpstr>
      <vt:lpstr>ELama!marhrrt</vt:lpstr>
      <vt:lpstr>KMizzi!marhrrt</vt:lpstr>
      <vt:lpstr>LBonnici!marhrrt</vt:lpstr>
      <vt:lpstr>LCarini!marhrrt</vt:lpstr>
      <vt:lpstr>MAcero_Garzon!marhrrt</vt:lpstr>
      <vt:lpstr>MCamilleri!marhrrt</vt:lpstr>
      <vt:lpstr>MEllul!marhrrt</vt:lpstr>
      <vt:lpstr>NScerri_Esposito!marhrrt</vt:lpstr>
      <vt:lpstr>RAcharya!marhrrt</vt:lpstr>
      <vt:lpstr>RAttard!marhrrt</vt:lpstr>
      <vt:lpstr>RCamilleri!marhrrt</vt:lpstr>
      <vt:lpstr>RGaldes!marhrrt</vt:lpstr>
      <vt:lpstr>RMallan_Albani!marhrrt</vt:lpstr>
      <vt:lpstr>RSreejith!marhrrt</vt:lpstr>
      <vt:lpstr>SPare!marhrrt</vt:lpstr>
      <vt:lpstr>ZMifsud!marhrrt</vt:lpstr>
      <vt:lpstr>FEB_FS5!MARMAX1</vt:lpstr>
      <vt:lpstr>'FS3 Filling sheet'!MARMAX1</vt:lpstr>
      <vt:lpstr>'fs7'!MARMAX1</vt:lpstr>
      <vt:lpstr>JAN_FS5!MARMAX1</vt:lpstr>
      <vt:lpstr>MAR_FS5!MARMAX1</vt:lpstr>
      <vt:lpstr>'ss filling sheet'!MARMAX1</vt:lpstr>
      <vt:lpstr>MARMAX1</vt:lpstr>
      <vt:lpstr>FEB_FS5!MARMAX2</vt:lpstr>
      <vt:lpstr>'FS3 Filling sheet'!MARMAX2</vt:lpstr>
      <vt:lpstr>'fs7'!MARMAX2</vt:lpstr>
      <vt:lpstr>JAN_FS5!MARMAX2</vt:lpstr>
      <vt:lpstr>MAR_FS5!MARMAX2</vt:lpstr>
      <vt:lpstr>'ss filling sheet'!MARMAX2</vt:lpstr>
      <vt:lpstr>MARMAX2</vt:lpstr>
      <vt:lpstr>FEB_FS5!MARMAX3</vt:lpstr>
      <vt:lpstr>'FS3 Filling sheet'!MARMAX3</vt:lpstr>
      <vt:lpstr>'fs7'!MARMAX3</vt:lpstr>
      <vt:lpstr>JAN_FS5!MARMAX3</vt:lpstr>
      <vt:lpstr>MAR_FS5!MARMAX3</vt:lpstr>
      <vt:lpstr>'ss filling sheet'!MARMAX3</vt:lpstr>
      <vt:lpstr>MARMAX3</vt:lpstr>
      <vt:lpstr>FEB_FS5!MARMAX4</vt:lpstr>
      <vt:lpstr>'FS3 Filling sheet'!MARMAX4</vt:lpstr>
      <vt:lpstr>'fs7'!MARMAX4</vt:lpstr>
      <vt:lpstr>JAN_FS5!MARMAX4</vt:lpstr>
      <vt:lpstr>MAR_FS5!MARMAX4</vt:lpstr>
      <vt:lpstr>'ss filling sheet'!MARMAX4</vt:lpstr>
      <vt:lpstr>MARMAX4</vt:lpstr>
      <vt:lpstr>AFalzon!marmlf</vt:lpstr>
      <vt:lpstr>AHaneena!marmlf</vt:lpstr>
      <vt:lpstr>AKunnamkudath!marmlf</vt:lpstr>
      <vt:lpstr>DMifsud_Ceci!marmlf</vt:lpstr>
      <vt:lpstr>ECurmi!marmlf</vt:lpstr>
      <vt:lpstr>ELama!marmlf</vt:lpstr>
      <vt:lpstr>'fs7'!marmlf</vt:lpstr>
      <vt:lpstr>KMizzi!marmlf</vt:lpstr>
      <vt:lpstr>LBonnici!marmlf</vt:lpstr>
      <vt:lpstr>LCarini!marmlf</vt:lpstr>
      <vt:lpstr>MAcero_Garzon!marmlf</vt:lpstr>
      <vt:lpstr>MCamilleri!marmlf</vt:lpstr>
      <vt:lpstr>MEllul!marmlf</vt:lpstr>
      <vt:lpstr>NScerri_Esposito!marmlf</vt:lpstr>
      <vt:lpstr>RAcharya!marmlf</vt:lpstr>
      <vt:lpstr>RAttard!marmlf</vt:lpstr>
      <vt:lpstr>RCamilleri!marmlf</vt:lpstr>
      <vt:lpstr>RGaldes!marmlf</vt:lpstr>
      <vt:lpstr>RMallan_Albani!marmlf</vt:lpstr>
      <vt:lpstr>RSreejith!marmlf</vt:lpstr>
      <vt:lpstr>SPare!marmlf</vt:lpstr>
      <vt:lpstr>ZMifsud!marmlf</vt:lpstr>
      <vt:lpstr>AFalzon!maroth</vt:lpstr>
      <vt:lpstr>AHaneena!maroth</vt:lpstr>
      <vt:lpstr>AKunnamkudath!maroth</vt:lpstr>
      <vt:lpstr>DMifsud_Ceci!maroth</vt:lpstr>
      <vt:lpstr>ECurmi!maroth</vt:lpstr>
      <vt:lpstr>ELama!maroth</vt:lpstr>
      <vt:lpstr>KMizzi!maroth</vt:lpstr>
      <vt:lpstr>LBonnici!maroth</vt:lpstr>
      <vt:lpstr>LCarini!maroth</vt:lpstr>
      <vt:lpstr>MAcero_Garzon!maroth</vt:lpstr>
      <vt:lpstr>MCamilleri!maroth</vt:lpstr>
      <vt:lpstr>MEllul!maroth</vt:lpstr>
      <vt:lpstr>NScerri_Esposito!maroth</vt:lpstr>
      <vt:lpstr>RAcharya!maroth</vt:lpstr>
      <vt:lpstr>RAttard!maroth</vt:lpstr>
      <vt:lpstr>RCamilleri!maroth</vt:lpstr>
      <vt:lpstr>RGaldes!maroth</vt:lpstr>
      <vt:lpstr>RMallan_Albani!maroth</vt:lpstr>
      <vt:lpstr>RSreejith!maroth</vt:lpstr>
      <vt:lpstr>SPare!maroth</vt:lpstr>
      <vt:lpstr>ZMifsud!maroth</vt:lpstr>
      <vt:lpstr>AFalzon!marpb</vt:lpstr>
      <vt:lpstr>AHaneena!marpb</vt:lpstr>
      <vt:lpstr>AKunnamkudath!marpb</vt:lpstr>
      <vt:lpstr>DMifsud_Ceci!marpb</vt:lpstr>
      <vt:lpstr>ECurmi!marpb</vt:lpstr>
      <vt:lpstr>ELama!marpb</vt:lpstr>
      <vt:lpstr>KMizzi!marpb</vt:lpstr>
      <vt:lpstr>LBonnici!marpb</vt:lpstr>
      <vt:lpstr>LCarini!marpb</vt:lpstr>
      <vt:lpstr>MAcero_Garzon!marpb</vt:lpstr>
      <vt:lpstr>MCamilleri!marpb</vt:lpstr>
      <vt:lpstr>MEllul!marpb</vt:lpstr>
      <vt:lpstr>NScerri_Esposito!marpb</vt:lpstr>
      <vt:lpstr>RAcharya!marpb</vt:lpstr>
      <vt:lpstr>RAttard!marpb</vt:lpstr>
      <vt:lpstr>RCamilleri!marpb</vt:lpstr>
      <vt:lpstr>RGaldes!marpb</vt:lpstr>
      <vt:lpstr>RMallan_Albani!marpb</vt:lpstr>
      <vt:lpstr>RSreejith!marpb</vt:lpstr>
      <vt:lpstr>SPare!marpb</vt:lpstr>
      <vt:lpstr>ZMifsud!marpb</vt:lpstr>
      <vt:lpstr>Married_Rates</vt:lpstr>
      <vt:lpstr>AFalzon!marsb</vt:lpstr>
      <vt:lpstr>AHaneena!marsb</vt:lpstr>
      <vt:lpstr>AKunnamkudath!marsb</vt:lpstr>
      <vt:lpstr>DMifsud_Ceci!marsb</vt:lpstr>
      <vt:lpstr>ECurmi!marsb</vt:lpstr>
      <vt:lpstr>ELama!marsb</vt:lpstr>
      <vt:lpstr>KMizzi!marsb</vt:lpstr>
      <vt:lpstr>LBonnici!marsb</vt:lpstr>
      <vt:lpstr>LCarini!marsb</vt:lpstr>
      <vt:lpstr>MAcero_Garzon!marsb</vt:lpstr>
      <vt:lpstr>MCamilleri!marsb</vt:lpstr>
      <vt:lpstr>MEllul!marsb</vt:lpstr>
      <vt:lpstr>NScerri_Esposito!marsb</vt:lpstr>
      <vt:lpstr>RAcharya!marsb</vt:lpstr>
      <vt:lpstr>RAttard!marsb</vt:lpstr>
      <vt:lpstr>RCamilleri!marsb</vt:lpstr>
      <vt:lpstr>RGaldes!marsb</vt:lpstr>
      <vt:lpstr>RMallan_Albani!marsb</vt:lpstr>
      <vt:lpstr>RSreejith!marsb</vt:lpstr>
      <vt:lpstr>SPare!marsb</vt:lpstr>
      <vt:lpstr>ZMifsud!marsb</vt:lpstr>
      <vt:lpstr>'fs7'!marssc</vt:lpstr>
      <vt:lpstr>martab</vt:lpstr>
      <vt:lpstr>AFalzon!marULHr</vt:lpstr>
      <vt:lpstr>AHaneena!marULHr</vt:lpstr>
      <vt:lpstr>AKunnamkudath!marULHr</vt:lpstr>
      <vt:lpstr>DMifsud_Ceci!marULHr</vt:lpstr>
      <vt:lpstr>ECurmi!marULHr</vt:lpstr>
      <vt:lpstr>ELama!marULHr</vt:lpstr>
      <vt:lpstr>KMizzi!marULHr</vt:lpstr>
      <vt:lpstr>LBonnici!marULHr</vt:lpstr>
      <vt:lpstr>LCarini!marULHr</vt:lpstr>
      <vt:lpstr>MAcero_Garzon!marULHr</vt:lpstr>
      <vt:lpstr>MCamilleri!marULHr</vt:lpstr>
      <vt:lpstr>MEllul!marULHr</vt:lpstr>
      <vt:lpstr>NScerri_Esposito!marULHr</vt:lpstr>
      <vt:lpstr>RAcharya!marULHr</vt:lpstr>
      <vt:lpstr>RAttard!marULHr</vt:lpstr>
      <vt:lpstr>RCamilleri!marULHr</vt:lpstr>
      <vt:lpstr>RGaldes!marULHr</vt:lpstr>
      <vt:lpstr>RMallan_Albani!marULHr</vt:lpstr>
      <vt:lpstr>RSreejith!marULHr</vt:lpstr>
      <vt:lpstr>SPare!marULHr</vt:lpstr>
      <vt:lpstr>ZMifsud!marULHr</vt:lpstr>
      <vt:lpstr>AFalzon!MAY_PAY</vt:lpstr>
      <vt:lpstr>AHaneena!MAY_PAY</vt:lpstr>
      <vt:lpstr>AKunnamkudath!MAY_PAY</vt:lpstr>
      <vt:lpstr>DMifsud_Ceci!MAY_PAY</vt:lpstr>
      <vt:lpstr>ECurmi!MAY_PAY</vt:lpstr>
      <vt:lpstr>ELama!MAY_PAY</vt:lpstr>
      <vt:lpstr>KMizzi!MAY_PAY</vt:lpstr>
      <vt:lpstr>LBonnici!MAY_PAY</vt:lpstr>
      <vt:lpstr>LCarini!MAY_PAY</vt:lpstr>
      <vt:lpstr>MAcero_Garzon!MAY_PAY</vt:lpstr>
      <vt:lpstr>MCamilleri!MAY_PAY</vt:lpstr>
      <vt:lpstr>MEllul!MAY_PAY</vt:lpstr>
      <vt:lpstr>NScerri_Esposito!MAY_PAY</vt:lpstr>
      <vt:lpstr>RAcharya!MAY_PAY</vt:lpstr>
      <vt:lpstr>RAttard!MAY_PAY</vt:lpstr>
      <vt:lpstr>RCamilleri!MAY_PAY</vt:lpstr>
      <vt:lpstr>RGaldes!MAY_PAY</vt:lpstr>
      <vt:lpstr>RMallan_Albani!MAY_PAY</vt:lpstr>
      <vt:lpstr>RSreejith!MAY_PAY</vt:lpstr>
      <vt:lpstr>SPare!MAY_PAY</vt:lpstr>
      <vt:lpstr>ZMifsud!MAY_PAY</vt:lpstr>
      <vt:lpstr>AFalzon!MayeeSocSec</vt:lpstr>
      <vt:lpstr>AHaneena!MayeeSocSec</vt:lpstr>
      <vt:lpstr>AKunnamkudath!MayeeSocSec</vt:lpstr>
      <vt:lpstr>DMifsud_Ceci!MayeeSocSec</vt:lpstr>
      <vt:lpstr>ECurmi!MayeeSocSec</vt:lpstr>
      <vt:lpstr>ELama!MayeeSocSec</vt:lpstr>
      <vt:lpstr>KMizzi!MayeeSocSec</vt:lpstr>
      <vt:lpstr>LBonnici!MayeeSocSec</vt:lpstr>
      <vt:lpstr>LCarini!MayeeSocSec</vt:lpstr>
      <vt:lpstr>MAcero_Garzon!MayeeSocSec</vt:lpstr>
      <vt:lpstr>MCamilleri!MayeeSocSec</vt:lpstr>
      <vt:lpstr>MEllul!MayeeSocSec</vt:lpstr>
      <vt:lpstr>NScerri_Esposito!MayeeSocSec</vt:lpstr>
      <vt:lpstr>RAcharya!MayeeSocSec</vt:lpstr>
      <vt:lpstr>RAttard!MayeeSocSec</vt:lpstr>
      <vt:lpstr>RCamilleri!MayeeSocSec</vt:lpstr>
      <vt:lpstr>RGaldes!MayeeSocSec</vt:lpstr>
      <vt:lpstr>RMallan_Albani!MayeeSocSec</vt:lpstr>
      <vt:lpstr>RSreejith!MayeeSocSec</vt:lpstr>
      <vt:lpstr>SPare!MayeeSocSec</vt:lpstr>
      <vt:lpstr>ZMifsud!MayeeSocSec</vt:lpstr>
      <vt:lpstr>AFalzon!MayERSocSec</vt:lpstr>
      <vt:lpstr>AHaneena!MayERSocSec</vt:lpstr>
      <vt:lpstr>AKunnamkudath!MayERSocSec</vt:lpstr>
      <vt:lpstr>DMifsud_Ceci!MayERSocSec</vt:lpstr>
      <vt:lpstr>ECurmi!MayERSocSec</vt:lpstr>
      <vt:lpstr>ELama!MayERSocSec</vt:lpstr>
      <vt:lpstr>KMizzi!MayERSocSec</vt:lpstr>
      <vt:lpstr>LBonnici!MayERSocSec</vt:lpstr>
      <vt:lpstr>LCarini!MayERSocSec</vt:lpstr>
      <vt:lpstr>MAcero_Garzon!MayERSocSec</vt:lpstr>
      <vt:lpstr>MCamilleri!MayERSocSec</vt:lpstr>
      <vt:lpstr>MEllul!MayERSocSec</vt:lpstr>
      <vt:lpstr>NScerri_Esposito!MayERSocSec</vt:lpstr>
      <vt:lpstr>RAcharya!MayERSocSec</vt:lpstr>
      <vt:lpstr>RAttard!MayERSocSec</vt:lpstr>
      <vt:lpstr>RCamilleri!MayERSocSec</vt:lpstr>
      <vt:lpstr>RGaldes!MayERSocSec</vt:lpstr>
      <vt:lpstr>RMallan_Albani!MayERSocSec</vt:lpstr>
      <vt:lpstr>RSreejith!MayERSocSec</vt:lpstr>
      <vt:lpstr>SPare!MayERSocSec</vt:lpstr>
      <vt:lpstr>ZMifsud!MayERSocSec</vt:lpstr>
      <vt:lpstr>AFalzon!mayeuhrs</vt:lpstr>
      <vt:lpstr>AHaneena!mayeuhrs</vt:lpstr>
      <vt:lpstr>AKunnamkudath!mayeuhrs</vt:lpstr>
      <vt:lpstr>DMifsud_Ceci!mayeuhrs</vt:lpstr>
      <vt:lpstr>ECurmi!mayeuhrs</vt:lpstr>
      <vt:lpstr>ELama!mayeuhrs</vt:lpstr>
      <vt:lpstr>KMizzi!mayeuhrs</vt:lpstr>
      <vt:lpstr>LBonnici!mayeuhrs</vt:lpstr>
      <vt:lpstr>LCarini!mayeuhrs</vt:lpstr>
      <vt:lpstr>MAcero_Garzon!mayeuhrs</vt:lpstr>
      <vt:lpstr>MCamilleri!mayeuhrs</vt:lpstr>
      <vt:lpstr>MEllul!mayeuhrs</vt:lpstr>
      <vt:lpstr>NScerri_Esposito!mayeuhrs</vt:lpstr>
      <vt:lpstr>RAcharya!mayeuhrs</vt:lpstr>
      <vt:lpstr>RAttard!mayeuhrs</vt:lpstr>
      <vt:lpstr>RCamilleri!mayeuhrs</vt:lpstr>
      <vt:lpstr>RGaldes!mayeuhrs</vt:lpstr>
      <vt:lpstr>RMallan_Albani!mayeuhrs</vt:lpstr>
      <vt:lpstr>RSreejith!mayeuhrs</vt:lpstr>
      <vt:lpstr>SPare!mayeuhrs</vt:lpstr>
      <vt:lpstr>ZMifsud!mayeuhrs</vt:lpstr>
      <vt:lpstr>'fs7'!mayfsstax</vt:lpstr>
      <vt:lpstr>AFalzon!maygrs</vt:lpstr>
      <vt:lpstr>AHaneena!maygrs</vt:lpstr>
      <vt:lpstr>AKunnamkudath!maygrs</vt:lpstr>
      <vt:lpstr>DMifsud_Ceci!maygrs</vt:lpstr>
      <vt:lpstr>ECurmi!maygrs</vt:lpstr>
      <vt:lpstr>ELama!maygrs</vt:lpstr>
      <vt:lpstr>KMizzi!maygrs</vt:lpstr>
      <vt:lpstr>LBonnici!maygrs</vt:lpstr>
      <vt:lpstr>LCarini!maygrs</vt:lpstr>
      <vt:lpstr>MAcero_Garzon!maygrs</vt:lpstr>
      <vt:lpstr>MCamilleri!maygrs</vt:lpstr>
      <vt:lpstr>MEllul!maygrs</vt:lpstr>
      <vt:lpstr>NScerri_Esposito!maygrs</vt:lpstr>
      <vt:lpstr>RAcharya!maygrs</vt:lpstr>
      <vt:lpstr>RAttard!maygrs</vt:lpstr>
      <vt:lpstr>RCamilleri!maygrs</vt:lpstr>
      <vt:lpstr>RGaldes!maygrs</vt:lpstr>
      <vt:lpstr>RMallan_Albani!maygrs</vt:lpstr>
      <vt:lpstr>RSreejith!maygrs</vt:lpstr>
      <vt:lpstr>SPare!maygrs</vt:lpstr>
      <vt:lpstr>ZMifsud!maygrs</vt:lpstr>
      <vt:lpstr>AFalzon!mayhrrt</vt:lpstr>
      <vt:lpstr>AHaneena!mayhrrt</vt:lpstr>
      <vt:lpstr>AKunnamkudath!mayhrrt</vt:lpstr>
      <vt:lpstr>DMifsud_Ceci!mayhrrt</vt:lpstr>
      <vt:lpstr>ECurmi!mayhrrt</vt:lpstr>
      <vt:lpstr>ELama!mayhrrt</vt:lpstr>
      <vt:lpstr>KMizzi!mayhrrt</vt:lpstr>
      <vt:lpstr>LBonnici!mayhrrt</vt:lpstr>
      <vt:lpstr>LCarini!mayhrrt</vt:lpstr>
      <vt:lpstr>MAcero_Garzon!mayhrrt</vt:lpstr>
      <vt:lpstr>MCamilleri!mayhrrt</vt:lpstr>
      <vt:lpstr>MEllul!mayhrrt</vt:lpstr>
      <vt:lpstr>NScerri_Esposito!mayhrrt</vt:lpstr>
      <vt:lpstr>RAcharya!mayhrrt</vt:lpstr>
      <vt:lpstr>RAttard!mayhrrt</vt:lpstr>
      <vt:lpstr>RCamilleri!mayhrrt</vt:lpstr>
      <vt:lpstr>RGaldes!mayhrrt</vt:lpstr>
      <vt:lpstr>RMallan_Albani!mayhrrt</vt:lpstr>
      <vt:lpstr>RSreejith!mayhrrt</vt:lpstr>
      <vt:lpstr>SPare!mayhrrt</vt:lpstr>
      <vt:lpstr>ZMifsud!mayhrrt</vt:lpstr>
      <vt:lpstr>AFalzon!maymlf</vt:lpstr>
      <vt:lpstr>AHaneena!maymlf</vt:lpstr>
      <vt:lpstr>AKunnamkudath!maymlf</vt:lpstr>
      <vt:lpstr>DMifsud_Ceci!maymlf</vt:lpstr>
      <vt:lpstr>ECurmi!maymlf</vt:lpstr>
      <vt:lpstr>ELama!maymlf</vt:lpstr>
      <vt:lpstr>'fs7'!maymlf</vt:lpstr>
      <vt:lpstr>KMizzi!maymlf</vt:lpstr>
      <vt:lpstr>LBonnici!maymlf</vt:lpstr>
      <vt:lpstr>LCarini!maymlf</vt:lpstr>
      <vt:lpstr>MAcero_Garzon!maymlf</vt:lpstr>
      <vt:lpstr>MCamilleri!maymlf</vt:lpstr>
      <vt:lpstr>MEllul!maymlf</vt:lpstr>
      <vt:lpstr>NScerri_Esposito!maymlf</vt:lpstr>
      <vt:lpstr>RAcharya!maymlf</vt:lpstr>
      <vt:lpstr>RAttard!maymlf</vt:lpstr>
      <vt:lpstr>RCamilleri!maymlf</vt:lpstr>
      <vt:lpstr>RGaldes!maymlf</vt:lpstr>
      <vt:lpstr>RMallan_Albani!maymlf</vt:lpstr>
      <vt:lpstr>RSreejith!maymlf</vt:lpstr>
      <vt:lpstr>SPare!maymlf</vt:lpstr>
      <vt:lpstr>ZMifsud!maymlf</vt:lpstr>
      <vt:lpstr>AFalzon!mayoth</vt:lpstr>
      <vt:lpstr>AHaneena!mayoth</vt:lpstr>
      <vt:lpstr>AKunnamkudath!mayoth</vt:lpstr>
      <vt:lpstr>DMifsud_Ceci!mayoth</vt:lpstr>
      <vt:lpstr>ECurmi!mayoth</vt:lpstr>
      <vt:lpstr>ELama!mayoth</vt:lpstr>
      <vt:lpstr>KMizzi!mayoth</vt:lpstr>
      <vt:lpstr>LBonnici!mayoth</vt:lpstr>
      <vt:lpstr>LCarini!mayoth</vt:lpstr>
      <vt:lpstr>MAcero_Garzon!mayoth</vt:lpstr>
      <vt:lpstr>MCamilleri!mayoth</vt:lpstr>
      <vt:lpstr>MEllul!mayoth</vt:lpstr>
      <vt:lpstr>NScerri_Esposito!mayoth</vt:lpstr>
      <vt:lpstr>RAcharya!mayoth</vt:lpstr>
      <vt:lpstr>RAttard!mayoth</vt:lpstr>
      <vt:lpstr>RCamilleri!mayoth</vt:lpstr>
      <vt:lpstr>RGaldes!mayoth</vt:lpstr>
      <vt:lpstr>RMallan_Albani!mayoth</vt:lpstr>
      <vt:lpstr>RSreejith!mayoth</vt:lpstr>
      <vt:lpstr>SPare!mayoth</vt:lpstr>
      <vt:lpstr>ZMifsud!mayoth</vt:lpstr>
      <vt:lpstr>AFalzon!maypb</vt:lpstr>
      <vt:lpstr>AHaneena!maypb</vt:lpstr>
      <vt:lpstr>AKunnamkudath!maypb</vt:lpstr>
      <vt:lpstr>DMifsud_Ceci!maypb</vt:lpstr>
      <vt:lpstr>ECurmi!maypb</vt:lpstr>
      <vt:lpstr>ELama!maypb</vt:lpstr>
      <vt:lpstr>KMizzi!maypb</vt:lpstr>
      <vt:lpstr>LBonnici!maypb</vt:lpstr>
      <vt:lpstr>LCarini!maypb</vt:lpstr>
      <vt:lpstr>MAcero_Garzon!maypb</vt:lpstr>
      <vt:lpstr>MCamilleri!maypb</vt:lpstr>
      <vt:lpstr>MEllul!maypb</vt:lpstr>
      <vt:lpstr>NScerri_Esposito!maypb</vt:lpstr>
      <vt:lpstr>RAcharya!maypb</vt:lpstr>
      <vt:lpstr>RAttard!maypb</vt:lpstr>
      <vt:lpstr>RCamilleri!maypb</vt:lpstr>
      <vt:lpstr>RGaldes!maypb</vt:lpstr>
      <vt:lpstr>RMallan_Albani!maypb</vt:lpstr>
      <vt:lpstr>RSreejith!maypb</vt:lpstr>
      <vt:lpstr>SPare!maypb</vt:lpstr>
      <vt:lpstr>ZMifsud!maypb</vt:lpstr>
      <vt:lpstr>AFalzon!maysb</vt:lpstr>
      <vt:lpstr>AHaneena!maysb</vt:lpstr>
      <vt:lpstr>AKunnamkudath!maysb</vt:lpstr>
      <vt:lpstr>DMifsud_Ceci!maysb</vt:lpstr>
      <vt:lpstr>ECurmi!maysb</vt:lpstr>
      <vt:lpstr>ELama!maysb</vt:lpstr>
      <vt:lpstr>KMizzi!maysb</vt:lpstr>
      <vt:lpstr>LBonnici!maysb</vt:lpstr>
      <vt:lpstr>LCarini!maysb</vt:lpstr>
      <vt:lpstr>MAcero_Garzon!maysb</vt:lpstr>
      <vt:lpstr>MCamilleri!maysb</vt:lpstr>
      <vt:lpstr>MEllul!maysb</vt:lpstr>
      <vt:lpstr>NScerri_Esposito!maysb</vt:lpstr>
      <vt:lpstr>RAcharya!maysb</vt:lpstr>
      <vt:lpstr>RAttard!maysb</vt:lpstr>
      <vt:lpstr>RCamilleri!maysb</vt:lpstr>
      <vt:lpstr>RGaldes!maysb</vt:lpstr>
      <vt:lpstr>RMallan_Albani!maysb</vt:lpstr>
      <vt:lpstr>RSreejith!maysb</vt:lpstr>
      <vt:lpstr>SPare!maysb</vt:lpstr>
      <vt:lpstr>ZMifsud!maysb</vt:lpstr>
      <vt:lpstr>'fs7'!mayssc</vt:lpstr>
      <vt:lpstr>AFalzon!mayULHr</vt:lpstr>
      <vt:lpstr>AHaneena!mayULHr</vt:lpstr>
      <vt:lpstr>AKunnamkudath!mayULHr</vt:lpstr>
      <vt:lpstr>DMifsud_Ceci!mayULHr</vt:lpstr>
      <vt:lpstr>ECurmi!mayULHr</vt:lpstr>
      <vt:lpstr>ELama!mayULHr</vt:lpstr>
      <vt:lpstr>KMizzi!mayULHr</vt:lpstr>
      <vt:lpstr>LBonnici!mayULHr</vt:lpstr>
      <vt:lpstr>LCarini!mayULHr</vt:lpstr>
      <vt:lpstr>MAcero_Garzon!mayULHr</vt:lpstr>
      <vt:lpstr>MCamilleri!mayULHr</vt:lpstr>
      <vt:lpstr>MEllul!mayULHr</vt:lpstr>
      <vt:lpstr>NScerri_Esposito!mayULHr</vt:lpstr>
      <vt:lpstr>RAcharya!mayULHr</vt:lpstr>
      <vt:lpstr>RAttard!mayULHr</vt:lpstr>
      <vt:lpstr>RCamilleri!mayULHr</vt:lpstr>
      <vt:lpstr>RGaldes!mayULHr</vt:lpstr>
      <vt:lpstr>RMallan_Albani!mayULHr</vt:lpstr>
      <vt:lpstr>RSreejith!mayULHr</vt:lpstr>
      <vt:lpstr>SPare!mayULHr</vt:lpstr>
      <vt:lpstr>ZMifsud!mayULHr</vt:lpstr>
      <vt:lpstr>AFalzon!Med_Tot</vt:lpstr>
      <vt:lpstr>AHaneena!Med_Tot</vt:lpstr>
      <vt:lpstr>AKunnamkudath!Med_Tot</vt:lpstr>
      <vt:lpstr>DMifsud_Ceci!Med_Tot</vt:lpstr>
      <vt:lpstr>ECurmi!Med_Tot</vt:lpstr>
      <vt:lpstr>ELama!Med_Tot</vt:lpstr>
      <vt:lpstr>KMizzi!Med_Tot</vt:lpstr>
      <vt:lpstr>LBonnici!Med_Tot</vt:lpstr>
      <vt:lpstr>LCarini!Med_Tot</vt:lpstr>
      <vt:lpstr>MAcero_Garzon!Med_Tot</vt:lpstr>
      <vt:lpstr>MCamilleri!Med_Tot</vt:lpstr>
      <vt:lpstr>MEllul!Med_Tot</vt:lpstr>
      <vt:lpstr>NScerri_Esposito!Med_Tot</vt:lpstr>
      <vt:lpstr>RAcharya!Med_Tot</vt:lpstr>
      <vt:lpstr>RAttard!Med_Tot</vt:lpstr>
      <vt:lpstr>RCamilleri!Med_Tot</vt:lpstr>
      <vt:lpstr>RGaldes!Med_Tot</vt:lpstr>
      <vt:lpstr>RMallan_Albani!Med_Tot</vt:lpstr>
      <vt:lpstr>RSreejith!Med_Tot</vt:lpstr>
      <vt:lpstr>SPare!Med_Tot</vt:lpstr>
      <vt:lpstr>ZMifsud!Med_Tot</vt:lpstr>
      <vt:lpstr>SummaryPT!MLF</vt:lpstr>
      <vt:lpstr>SummaryTOTS!MLF</vt:lpstr>
      <vt:lpstr>MLFC</vt:lpstr>
      <vt:lpstr>MLFD</vt:lpstr>
      <vt:lpstr>AFalzon!months</vt:lpstr>
      <vt:lpstr>AHaneena!months</vt:lpstr>
      <vt:lpstr>AKunnamkudath!months</vt:lpstr>
      <vt:lpstr>DMifsud_Ceci!months</vt:lpstr>
      <vt:lpstr>ECurmi!months</vt:lpstr>
      <vt:lpstr>ELama!months</vt:lpstr>
      <vt:lpstr>KMizzi!months</vt:lpstr>
      <vt:lpstr>LBonnici!months</vt:lpstr>
      <vt:lpstr>LCarini!months</vt:lpstr>
      <vt:lpstr>MAcero_Garzon!months</vt:lpstr>
      <vt:lpstr>MCamilleri!months</vt:lpstr>
      <vt:lpstr>MEllul!months</vt:lpstr>
      <vt:lpstr>NOV_FS5!months</vt:lpstr>
      <vt:lpstr>NScerri_Esposito!months</vt:lpstr>
      <vt:lpstr>OCT_FS5!months</vt:lpstr>
      <vt:lpstr>RAcharya!months</vt:lpstr>
      <vt:lpstr>RAttard!months</vt:lpstr>
      <vt:lpstr>RCamilleri!months</vt:lpstr>
      <vt:lpstr>RGaldes!months</vt:lpstr>
      <vt:lpstr>RMallan_Albani!months</vt:lpstr>
      <vt:lpstr>RSreejith!months</vt:lpstr>
      <vt:lpstr>SPare!months</vt:lpstr>
      <vt:lpstr>ZMifsud!months</vt:lpstr>
      <vt:lpstr>AFalzon!Name</vt:lpstr>
      <vt:lpstr>AHaneena!Name</vt:lpstr>
      <vt:lpstr>AKunnamkudath!Name</vt:lpstr>
      <vt:lpstr>DMifsud_Ceci!Name</vt:lpstr>
      <vt:lpstr>ECurmi!Name</vt:lpstr>
      <vt:lpstr>ELama!Name</vt:lpstr>
      <vt:lpstr>JAN_FS5!Name</vt:lpstr>
      <vt:lpstr>KMizzi!Name</vt:lpstr>
      <vt:lpstr>LBonnici!Name</vt:lpstr>
      <vt:lpstr>LCarini!Name</vt:lpstr>
      <vt:lpstr>MAcero_Garzon!Name</vt:lpstr>
      <vt:lpstr>MCamilleri!Name</vt:lpstr>
      <vt:lpstr>MEllul!Name</vt:lpstr>
      <vt:lpstr>NOV_FS5!Name</vt:lpstr>
      <vt:lpstr>NScerri_Esposito!Name</vt:lpstr>
      <vt:lpstr>OCT_FS5!Name</vt:lpstr>
      <vt:lpstr>RAcharya!Name</vt:lpstr>
      <vt:lpstr>RAttard!Name</vt:lpstr>
      <vt:lpstr>RCamilleri!Name</vt:lpstr>
      <vt:lpstr>RGaldes!Name</vt:lpstr>
      <vt:lpstr>RMallan_Albani!Name</vt:lpstr>
      <vt:lpstr>RSreejith!Name</vt:lpstr>
      <vt:lpstr>SPare!Name</vt:lpstr>
      <vt:lpstr>ZMifsud!Name</vt:lpstr>
      <vt:lpstr>AFalzon!NewTimer</vt:lpstr>
      <vt:lpstr>AHaneena!NewTimer</vt:lpstr>
      <vt:lpstr>AKunnamkudath!NewTimer</vt:lpstr>
      <vt:lpstr>DMifsud_Ceci!NewTimer</vt:lpstr>
      <vt:lpstr>ECurmi!NewTimer</vt:lpstr>
      <vt:lpstr>ELama!NewTimer</vt:lpstr>
      <vt:lpstr>KMizzi!NewTimer</vt:lpstr>
      <vt:lpstr>LBonnici!NewTimer</vt:lpstr>
      <vt:lpstr>LCarini!NewTimer</vt:lpstr>
      <vt:lpstr>MAcero_Garzon!NewTimer</vt:lpstr>
      <vt:lpstr>MCamilleri!NewTimer</vt:lpstr>
      <vt:lpstr>MEllul!NewTimer</vt:lpstr>
      <vt:lpstr>NScerri_Esposito!NewTimer</vt:lpstr>
      <vt:lpstr>RAcharya!NewTimer</vt:lpstr>
      <vt:lpstr>RAttard!NewTimer</vt:lpstr>
      <vt:lpstr>RCamilleri!NewTimer</vt:lpstr>
      <vt:lpstr>RGaldes!NewTimer</vt:lpstr>
      <vt:lpstr>RMallan_Albani!NewTimer</vt:lpstr>
      <vt:lpstr>RSreejith!NewTimer</vt:lpstr>
      <vt:lpstr>SPare!NewTimer</vt:lpstr>
      <vt:lpstr>ZMifsud!NewTimer</vt:lpstr>
      <vt:lpstr>AFalzon!NOV_PAY</vt:lpstr>
      <vt:lpstr>AHaneena!NOV_PAY</vt:lpstr>
      <vt:lpstr>AKunnamkudath!NOV_PAY</vt:lpstr>
      <vt:lpstr>DMifsud_Ceci!NOV_PAY</vt:lpstr>
      <vt:lpstr>ECurmi!NOV_PAY</vt:lpstr>
      <vt:lpstr>ELama!NOV_PAY</vt:lpstr>
      <vt:lpstr>KMizzi!NOV_PAY</vt:lpstr>
      <vt:lpstr>LBonnici!NOV_PAY</vt:lpstr>
      <vt:lpstr>LCarini!NOV_PAY</vt:lpstr>
      <vt:lpstr>MAcero_Garzon!NOV_PAY</vt:lpstr>
      <vt:lpstr>MCamilleri!NOV_PAY</vt:lpstr>
      <vt:lpstr>MEllul!NOV_PAY</vt:lpstr>
      <vt:lpstr>NScerri_Esposito!NOV_PAY</vt:lpstr>
      <vt:lpstr>RAcharya!NOV_PAY</vt:lpstr>
      <vt:lpstr>RAttard!NOV_PAY</vt:lpstr>
      <vt:lpstr>RCamilleri!NOV_PAY</vt:lpstr>
      <vt:lpstr>RGaldes!NOV_PAY</vt:lpstr>
      <vt:lpstr>RMallan_Albani!NOV_PAY</vt:lpstr>
      <vt:lpstr>RSreejith!NOV_PAY</vt:lpstr>
      <vt:lpstr>SPare!NOV_PAY</vt:lpstr>
      <vt:lpstr>ZMifsud!NOV_PAY</vt:lpstr>
      <vt:lpstr>AFalzon!noveesocsec</vt:lpstr>
      <vt:lpstr>AHaneena!noveesocsec</vt:lpstr>
      <vt:lpstr>AKunnamkudath!noveesocsec</vt:lpstr>
      <vt:lpstr>DMifsud_Ceci!noveesocsec</vt:lpstr>
      <vt:lpstr>ECurmi!noveesocsec</vt:lpstr>
      <vt:lpstr>ELama!noveesocsec</vt:lpstr>
      <vt:lpstr>KMizzi!noveesocsec</vt:lpstr>
      <vt:lpstr>LBonnici!noveesocsec</vt:lpstr>
      <vt:lpstr>LCarini!noveesocsec</vt:lpstr>
      <vt:lpstr>MAcero_Garzon!noveesocsec</vt:lpstr>
      <vt:lpstr>MCamilleri!noveesocsec</vt:lpstr>
      <vt:lpstr>MEllul!noveesocsec</vt:lpstr>
      <vt:lpstr>NScerri_Esposito!noveesocsec</vt:lpstr>
      <vt:lpstr>RAcharya!noveesocsec</vt:lpstr>
      <vt:lpstr>RAttard!noveesocsec</vt:lpstr>
      <vt:lpstr>RCamilleri!noveesocsec</vt:lpstr>
      <vt:lpstr>RGaldes!noveesocsec</vt:lpstr>
      <vt:lpstr>RMallan_Albani!noveesocsec</vt:lpstr>
      <vt:lpstr>RSreejith!noveesocsec</vt:lpstr>
      <vt:lpstr>SPare!noveesocsec</vt:lpstr>
      <vt:lpstr>ZMifsud!noveesocsec</vt:lpstr>
      <vt:lpstr>AFalzon!NovERSocSec</vt:lpstr>
      <vt:lpstr>AHaneena!NovERSocSec</vt:lpstr>
      <vt:lpstr>AKunnamkudath!NovERSocSec</vt:lpstr>
      <vt:lpstr>DMifsud_Ceci!NovERSocSec</vt:lpstr>
      <vt:lpstr>ECurmi!NovERSocSec</vt:lpstr>
      <vt:lpstr>ELama!NovERSocSec</vt:lpstr>
      <vt:lpstr>KMizzi!NovERSocSec</vt:lpstr>
      <vt:lpstr>LBonnici!NovERSocSec</vt:lpstr>
      <vt:lpstr>LCarini!NovERSocSec</vt:lpstr>
      <vt:lpstr>MAcero_Garzon!NovERSocSec</vt:lpstr>
      <vt:lpstr>MCamilleri!NovERSocSec</vt:lpstr>
      <vt:lpstr>MEllul!NovERSocSec</vt:lpstr>
      <vt:lpstr>NScerri_Esposito!NovERSocSec</vt:lpstr>
      <vt:lpstr>RAcharya!NovERSocSec</vt:lpstr>
      <vt:lpstr>RAttard!NovERSocSec</vt:lpstr>
      <vt:lpstr>RCamilleri!NovERSocSec</vt:lpstr>
      <vt:lpstr>RGaldes!NovERSocSec</vt:lpstr>
      <vt:lpstr>RMallan_Albani!NovERSocSec</vt:lpstr>
      <vt:lpstr>RSreejith!NovERSocSec</vt:lpstr>
      <vt:lpstr>SPare!NovERSocSec</vt:lpstr>
      <vt:lpstr>ZMifsud!NovERSocSec</vt:lpstr>
      <vt:lpstr>AFalzon!noveuhrs</vt:lpstr>
      <vt:lpstr>AHaneena!noveuhrs</vt:lpstr>
      <vt:lpstr>AKunnamkudath!noveuhrs</vt:lpstr>
      <vt:lpstr>DMifsud_Ceci!noveuhrs</vt:lpstr>
      <vt:lpstr>ECurmi!noveuhrs</vt:lpstr>
      <vt:lpstr>ELama!noveuhrs</vt:lpstr>
      <vt:lpstr>KMizzi!noveuhrs</vt:lpstr>
      <vt:lpstr>LBonnici!noveuhrs</vt:lpstr>
      <vt:lpstr>LCarini!noveuhrs</vt:lpstr>
      <vt:lpstr>MAcero_Garzon!noveuhrs</vt:lpstr>
      <vt:lpstr>MCamilleri!noveuhrs</vt:lpstr>
      <vt:lpstr>MEllul!noveuhrs</vt:lpstr>
      <vt:lpstr>NScerri_Esposito!noveuhrs</vt:lpstr>
      <vt:lpstr>RAcharya!noveuhrs</vt:lpstr>
      <vt:lpstr>RAttard!noveuhrs</vt:lpstr>
      <vt:lpstr>RCamilleri!noveuhrs</vt:lpstr>
      <vt:lpstr>RGaldes!noveuhrs</vt:lpstr>
      <vt:lpstr>RMallan_Albani!noveuhrs</vt:lpstr>
      <vt:lpstr>RSreejith!noveuhrs</vt:lpstr>
      <vt:lpstr>SPare!noveuhrs</vt:lpstr>
      <vt:lpstr>ZMifsud!noveuhrs</vt:lpstr>
      <vt:lpstr>'fs7'!novfsstax</vt:lpstr>
      <vt:lpstr>AFalzon!novgrs</vt:lpstr>
      <vt:lpstr>AHaneena!novgrs</vt:lpstr>
      <vt:lpstr>AKunnamkudath!novgrs</vt:lpstr>
      <vt:lpstr>DMifsud_Ceci!novgrs</vt:lpstr>
      <vt:lpstr>ECurmi!novgrs</vt:lpstr>
      <vt:lpstr>ELama!novgrs</vt:lpstr>
      <vt:lpstr>KMizzi!novgrs</vt:lpstr>
      <vt:lpstr>LBonnici!novgrs</vt:lpstr>
      <vt:lpstr>LCarini!novgrs</vt:lpstr>
      <vt:lpstr>MAcero_Garzon!novgrs</vt:lpstr>
      <vt:lpstr>MCamilleri!novgrs</vt:lpstr>
      <vt:lpstr>MEllul!novgrs</vt:lpstr>
      <vt:lpstr>NScerri_Esposito!novgrs</vt:lpstr>
      <vt:lpstr>RAcharya!novgrs</vt:lpstr>
      <vt:lpstr>RAttard!novgrs</vt:lpstr>
      <vt:lpstr>RCamilleri!novgrs</vt:lpstr>
      <vt:lpstr>RGaldes!novgrs</vt:lpstr>
      <vt:lpstr>RMallan_Albani!novgrs</vt:lpstr>
      <vt:lpstr>RSreejith!novgrs</vt:lpstr>
      <vt:lpstr>SPare!novgrs</vt:lpstr>
      <vt:lpstr>ZMifsud!novgrs</vt:lpstr>
      <vt:lpstr>AFalzon!novhrrt</vt:lpstr>
      <vt:lpstr>AHaneena!novhrrt</vt:lpstr>
      <vt:lpstr>AKunnamkudath!novhrrt</vt:lpstr>
      <vt:lpstr>DMifsud_Ceci!novhrrt</vt:lpstr>
      <vt:lpstr>ECurmi!novhrrt</vt:lpstr>
      <vt:lpstr>ELama!novhrrt</vt:lpstr>
      <vt:lpstr>KMizzi!novhrrt</vt:lpstr>
      <vt:lpstr>LBonnici!novhrrt</vt:lpstr>
      <vt:lpstr>LCarini!novhrrt</vt:lpstr>
      <vt:lpstr>MAcero_Garzon!novhrrt</vt:lpstr>
      <vt:lpstr>MCamilleri!novhrrt</vt:lpstr>
      <vt:lpstr>MEllul!novhrrt</vt:lpstr>
      <vt:lpstr>NScerri_Esposito!novhrrt</vt:lpstr>
      <vt:lpstr>RAcharya!novhrrt</vt:lpstr>
      <vt:lpstr>RAttard!novhrrt</vt:lpstr>
      <vt:lpstr>RCamilleri!novhrrt</vt:lpstr>
      <vt:lpstr>RGaldes!novhrrt</vt:lpstr>
      <vt:lpstr>RMallan_Albani!novhrrt</vt:lpstr>
      <vt:lpstr>RSreejith!novhrrt</vt:lpstr>
      <vt:lpstr>SPare!novhrrt</vt:lpstr>
      <vt:lpstr>ZMifsud!novhrrt</vt:lpstr>
      <vt:lpstr>AFalzon!Novmlf</vt:lpstr>
      <vt:lpstr>AHaneena!Novmlf</vt:lpstr>
      <vt:lpstr>AKunnamkudath!Novmlf</vt:lpstr>
      <vt:lpstr>DMifsud_Ceci!Novmlf</vt:lpstr>
      <vt:lpstr>ECurmi!Novmlf</vt:lpstr>
      <vt:lpstr>ELama!Novmlf</vt:lpstr>
      <vt:lpstr>'fs7'!novmlf</vt:lpstr>
      <vt:lpstr>KMizzi!Novmlf</vt:lpstr>
      <vt:lpstr>LBonnici!Novmlf</vt:lpstr>
      <vt:lpstr>LCarini!Novmlf</vt:lpstr>
      <vt:lpstr>MAcero_Garzon!Novmlf</vt:lpstr>
      <vt:lpstr>MCamilleri!Novmlf</vt:lpstr>
      <vt:lpstr>MEllul!Novmlf</vt:lpstr>
      <vt:lpstr>NScerri_Esposito!Novmlf</vt:lpstr>
      <vt:lpstr>RAcharya!Novmlf</vt:lpstr>
      <vt:lpstr>RAttard!Novmlf</vt:lpstr>
      <vt:lpstr>RCamilleri!Novmlf</vt:lpstr>
      <vt:lpstr>RGaldes!Novmlf</vt:lpstr>
      <vt:lpstr>RMallan_Albani!Novmlf</vt:lpstr>
      <vt:lpstr>RSreejith!Novmlf</vt:lpstr>
      <vt:lpstr>SPare!Novmlf</vt:lpstr>
      <vt:lpstr>ZMifsud!Novmlf</vt:lpstr>
      <vt:lpstr>AFalzon!novoth</vt:lpstr>
      <vt:lpstr>AHaneena!novoth</vt:lpstr>
      <vt:lpstr>AKunnamkudath!novoth</vt:lpstr>
      <vt:lpstr>DMifsud_Ceci!novoth</vt:lpstr>
      <vt:lpstr>ECurmi!novoth</vt:lpstr>
      <vt:lpstr>ELama!novoth</vt:lpstr>
      <vt:lpstr>KMizzi!novoth</vt:lpstr>
      <vt:lpstr>LBonnici!novoth</vt:lpstr>
      <vt:lpstr>LCarini!novoth</vt:lpstr>
      <vt:lpstr>MAcero_Garzon!novoth</vt:lpstr>
      <vt:lpstr>MCamilleri!novoth</vt:lpstr>
      <vt:lpstr>MEllul!novoth</vt:lpstr>
      <vt:lpstr>NScerri_Esposito!novoth</vt:lpstr>
      <vt:lpstr>RAcharya!novoth</vt:lpstr>
      <vt:lpstr>RAttard!novoth</vt:lpstr>
      <vt:lpstr>RCamilleri!novoth</vt:lpstr>
      <vt:lpstr>RGaldes!novoth</vt:lpstr>
      <vt:lpstr>RMallan_Albani!novoth</vt:lpstr>
      <vt:lpstr>RSreejith!novoth</vt:lpstr>
      <vt:lpstr>SPare!novoth</vt:lpstr>
      <vt:lpstr>ZMifsud!novoth</vt:lpstr>
      <vt:lpstr>AFalzon!novpb</vt:lpstr>
      <vt:lpstr>AHaneena!novpb</vt:lpstr>
      <vt:lpstr>AKunnamkudath!novpb</vt:lpstr>
      <vt:lpstr>DMifsud_Ceci!novpb</vt:lpstr>
      <vt:lpstr>ECurmi!novpb</vt:lpstr>
      <vt:lpstr>ELama!novpb</vt:lpstr>
      <vt:lpstr>KMizzi!novpb</vt:lpstr>
      <vt:lpstr>LBonnici!novpb</vt:lpstr>
      <vt:lpstr>LCarini!novpb</vt:lpstr>
      <vt:lpstr>MAcero_Garzon!novpb</vt:lpstr>
      <vt:lpstr>MCamilleri!novpb</vt:lpstr>
      <vt:lpstr>MEllul!novpb</vt:lpstr>
      <vt:lpstr>NScerri_Esposito!novpb</vt:lpstr>
      <vt:lpstr>RAcharya!novpb</vt:lpstr>
      <vt:lpstr>RAttard!novpb</vt:lpstr>
      <vt:lpstr>RCamilleri!novpb</vt:lpstr>
      <vt:lpstr>RGaldes!novpb</vt:lpstr>
      <vt:lpstr>RMallan_Albani!novpb</vt:lpstr>
      <vt:lpstr>RSreejith!novpb</vt:lpstr>
      <vt:lpstr>SPare!novpb</vt:lpstr>
      <vt:lpstr>ZMifsud!novpb</vt:lpstr>
      <vt:lpstr>AFalzon!novsb</vt:lpstr>
      <vt:lpstr>AHaneena!novsb</vt:lpstr>
      <vt:lpstr>AKunnamkudath!novsb</vt:lpstr>
      <vt:lpstr>DMifsud_Ceci!novsb</vt:lpstr>
      <vt:lpstr>ECurmi!novsb</vt:lpstr>
      <vt:lpstr>ELama!novsb</vt:lpstr>
      <vt:lpstr>KMizzi!novsb</vt:lpstr>
      <vt:lpstr>LBonnici!novsb</vt:lpstr>
      <vt:lpstr>LCarini!novsb</vt:lpstr>
      <vt:lpstr>MAcero_Garzon!novsb</vt:lpstr>
      <vt:lpstr>MCamilleri!novsb</vt:lpstr>
      <vt:lpstr>MEllul!novsb</vt:lpstr>
      <vt:lpstr>NScerri_Esposito!novsb</vt:lpstr>
      <vt:lpstr>RAcharya!novsb</vt:lpstr>
      <vt:lpstr>RAttard!novsb</vt:lpstr>
      <vt:lpstr>RCamilleri!novsb</vt:lpstr>
      <vt:lpstr>RGaldes!novsb</vt:lpstr>
      <vt:lpstr>RMallan_Albani!novsb</vt:lpstr>
      <vt:lpstr>RSreejith!novsb</vt:lpstr>
      <vt:lpstr>SPare!novsb</vt:lpstr>
      <vt:lpstr>ZMifsud!novsb</vt:lpstr>
      <vt:lpstr>'fs7'!novssc</vt:lpstr>
      <vt:lpstr>AFalzon!novULHr</vt:lpstr>
      <vt:lpstr>AHaneena!novULHr</vt:lpstr>
      <vt:lpstr>AKunnamkudath!novULHr</vt:lpstr>
      <vt:lpstr>DMifsud_Ceci!novULHr</vt:lpstr>
      <vt:lpstr>ECurmi!novULHr</vt:lpstr>
      <vt:lpstr>ELama!novULHr</vt:lpstr>
      <vt:lpstr>KMizzi!novULHr</vt:lpstr>
      <vt:lpstr>LBonnici!novULHr</vt:lpstr>
      <vt:lpstr>LCarini!novULHr</vt:lpstr>
      <vt:lpstr>MAcero_Garzon!novULHr</vt:lpstr>
      <vt:lpstr>MCamilleri!novULHr</vt:lpstr>
      <vt:lpstr>MEllul!novULHr</vt:lpstr>
      <vt:lpstr>NScerri_Esposito!novULHr</vt:lpstr>
      <vt:lpstr>RAcharya!novULHr</vt:lpstr>
      <vt:lpstr>RAttard!novULHr</vt:lpstr>
      <vt:lpstr>RCamilleri!novULHr</vt:lpstr>
      <vt:lpstr>RGaldes!novULHr</vt:lpstr>
      <vt:lpstr>RMallan_Albani!novULHr</vt:lpstr>
      <vt:lpstr>RSreejith!novULHr</vt:lpstr>
      <vt:lpstr>SPare!novULHr</vt:lpstr>
      <vt:lpstr>ZMifsud!novULHr</vt:lpstr>
      <vt:lpstr>AFalzon!OCT_PAY</vt:lpstr>
      <vt:lpstr>AHaneena!OCT_PAY</vt:lpstr>
      <vt:lpstr>AKunnamkudath!OCT_PAY</vt:lpstr>
      <vt:lpstr>DMifsud_Ceci!OCT_PAY</vt:lpstr>
      <vt:lpstr>ECurmi!OCT_PAY</vt:lpstr>
      <vt:lpstr>ELama!OCT_PAY</vt:lpstr>
      <vt:lpstr>KMizzi!OCT_PAY</vt:lpstr>
      <vt:lpstr>LBonnici!OCT_PAY</vt:lpstr>
      <vt:lpstr>LCarini!OCT_PAY</vt:lpstr>
      <vt:lpstr>MAcero_Garzon!OCT_PAY</vt:lpstr>
      <vt:lpstr>MCamilleri!OCT_PAY</vt:lpstr>
      <vt:lpstr>MEllul!OCT_PAY</vt:lpstr>
      <vt:lpstr>NScerri_Esposito!OCT_PAY</vt:lpstr>
      <vt:lpstr>RAcharya!OCT_PAY</vt:lpstr>
      <vt:lpstr>RAttard!OCT_PAY</vt:lpstr>
      <vt:lpstr>RCamilleri!OCT_PAY</vt:lpstr>
      <vt:lpstr>RGaldes!OCT_PAY</vt:lpstr>
      <vt:lpstr>RMallan_Albani!OCT_PAY</vt:lpstr>
      <vt:lpstr>RSreejith!OCT_PAY</vt:lpstr>
      <vt:lpstr>SPare!OCT_PAY</vt:lpstr>
      <vt:lpstr>ZMifsud!OCT_PAY</vt:lpstr>
      <vt:lpstr>AFalzon!octeesocsec</vt:lpstr>
      <vt:lpstr>AHaneena!octeesocsec</vt:lpstr>
      <vt:lpstr>AKunnamkudath!octeesocsec</vt:lpstr>
      <vt:lpstr>DMifsud_Ceci!octeesocsec</vt:lpstr>
      <vt:lpstr>ECurmi!octeesocsec</vt:lpstr>
      <vt:lpstr>ELama!octeesocsec</vt:lpstr>
      <vt:lpstr>KMizzi!octeesocsec</vt:lpstr>
      <vt:lpstr>LBonnici!octeesocsec</vt:lpstr>
      <vt:lpstr>LCarini!octeesocsec</vt:lpstr>
      <vt:lpstr>MAcero_Garzon!octeesocsec</vt:lpstr>
      <vt:lpstr>MCamilleri!octeesocsec</vt:lpstr>
      <vt:lpstr>MEllul!octeesocsec</vt:lpstr>
      <vt:lpstr>NScerri_Esposito!octeesocsec</vt:lpstr>
      <vt:lpstr>RAcharya!octeesocsec</vt:lpstr>
      <vt:lpstr>RAttard!octeesocsec</vt:lpstr>
      <vt:lpstr>RCamilleri!octeesocsec</vt:lpstr>
      <vt:lpstr>RGaldes!octeesocsec</vt:lpstr>
      <vt:lpstr>RMallan_Albani!octeesocsec</vt:lpstr>
      <vt:lpstr>RSreejith!octeesocsec</vt:lpstr>
      <vt:lpstr>SPare!octeesocsec</vt:lpstr>
      <vt:lpstr>ZMifsud!octeesocsec</vt:lpstr>
      <vt:lpstr>AFalzon!OctERSocSec</vt:lpstr>
      <vt:lpstr>AHaneena!OctERSocSec</vt:lpstr>
      <vt:lpstr>AKunnamkudath!OctERSocSec</vt:lpstr>
      <vt:lpstr>DMifsud_Ceci!OctERSocSec</vt:lpstr>
      <vt:lpstr>ECurmi!OctERSocSec</vt:lpstr>
      <vt:lpstr>ELama!OctERSocSec</vt:lpstr>
      <vt:lpstr>KMizzi!OctERSocSec</vt:lpstr>
      <vt:lpstr>LBonnici!OctERSocSec</vt:lpstr>
      <vt:lpstr>LCarini!OctERSocSec</vt:lpstr>
      <vt:lpstr>MAcero_Garzon!OctERSocSec</vt:lpstr>
      <vt:lpstr>MCamilleri!OctERSocSec</vt:lpstr>
      <vt:lpstr>MEllul!OctERSocSec</vt:lpstr>
      <vt:lpstr>NScerri_Esposito!OctERSocSec</vt:lpstr>
      <vt:lpstr>RAcharya!OctERSocSec</vt:lpstr>
      <vt:lpstr>RAttard!OctERSocSec</vt:lpstr>
      <vt:lpstr>RCamilleri!OctERSocSec</vt:lpstr>
      <vt:lpstr>RGaldes!OctERSocSec</vt:lpstr>
      <vt:lpstr>RMallan_Albani!OctERSocSec</vt:lpstr>
      <vt:lpstr>RSreejith!OctERSocSec</vt:lpstr>
      <vt:lpstr>SPare!OctERSocSec</vt:lpstr>
      <vt:lpstr>ZMifsud!OctERSocSec</vt:lpstr>
      <vt:lpstr>AFalzon!octeuhrs</vt:lpstr>
      <vt:lpstr>AHaneena!octeuhrs</vt:lpstr>
      <vt:lpstr>AKunnamkudath!octeuhrs</vt:lpstr>
      <vt:lpstr>DMifsud_Ceci!octeuhrs</vt:lpstr>
      <vt:lpstr>ECurmi!octeuhrs</vt:lpstr>
      <vt:lpstr>ELama!octeuhrs</vt:lpstr>
      <vt:lpstr>KMizzi!octeuhrs</vt:lpstr>
      <vt:lpstr>LBonnici!octeuhrs</vt:lpstr>
      <vt:lpstr>LCarini!octeuhrs</vt:lpstr>
      <vt:lpstr>MAcero_Garzon!octeuhrs</vt:lpstr>
      <vt:lpstr>MCamilleri!octeuhrs</vt:lpstr>
      <vt:lpstr>MEllul!octeuhrs</vt:lpstr>
      <vt:lpstr>NScerri_Esposito!octeuhrs</vt:lpstr>
      <vt:lpstr>RAcharya!octeuhrs</vt:lpstr>
      <vt:lpstr>RAttard!octeuhrs</vt:lpstr>
      <vt:lpstr>RCamilleri!octeuhrs</vt:lpstr>
      <vt:lpstr>RGaldes!octeuhrs</vt:lpstr>
      <vt:lpstr>RMallan_Albani!octeuhrs</vt:lpstr>
      <vt:lpstr>RSreejith!octeuhrs</vt:lpstr>
      <vt:lpstr>SPare!octeuhrs</vt:lpstr>
      <vt:lpstr>ZMifsud!octeuhrs</vt:lpstr>
      <vt:lpstr>'fs7'!octfsstax</vt:lpstr>
      <vt:lpstr>AFalzon!octgrs</vt:lpstr>
      <vt:lpstr>AHaneena!octgrs</vt:lpstr>
      <vt:lpstr>AKunnamkudath!octgrs</vt:lpstr>
      <vt:lpstr>DMifsud_Ceci!octgrs</vt:lpstr>
      <vt:lpstr>ECurmi!octgrs</vt:lpstr>
      <vt:lpstr>ELama!octgrs</vt:lpstr>
      <vt:lpstr>KMizzi!octgrs</vt:lpstr>
      <vt:lpstr>LBonnici!octgrs</vt:lpstr>
      <vt:lpstr>LCarini!octgrs</vt:lpstr>
      <vt:lpstr>MAcero_Garzon!octgrs</vt:lpstr>
      <vt:lpstr>MCamilleri!octgrs</vt:lpstr>
      <vt:lpstr>MEllul!octgrs</vt:lpstr>
      <vt:lpstr>NScerri_Esposito!octgrs</vt:lpstr>
      <vt:lpstr>RAcharya!octgrs</vt:lpstr>
      <vt:lpstr>RAttard!octgrs</vt:lpstr>
      <vt:lpstr>RCamilleri!octgrs</vt:lpstr>
      <vt:lpstr>RGaldes!octgrs</vt:lpstr>
      <vt:lpstr>RMallan_Albani!octgrs</vt:lpstr>
      <vt:lpstr>RSreejith!octgrs</vt:lpstr>
      <vt:lpstr>SPare!octgrs</vt:lpstr>
      <vt:lpstr>ZMifsud!octgrs</vt:lpstr>
      <vt:lpstr>AFalzon!octhrrt</vt:lpstr>
      <vt:lpstr>AHaneena!octhrrt</vt:lpstr>
      <vt:lpstr>AKunnamkudath!octhrrt</vt:lpstr>
      <vt:lpstr>DMifsud_Ceci!octhrrt</vt:lpstr>
      <vt:lpstr>ECurmi!octhrrt</vt:lpstr>
      <vt:lpstr>ELama!octhrrt</vt:lpstr>
      <vt:lpstr>KMizzi!octhrrt</vt:lpstr>
      <vt:lpstr>LBonnici!octhrrt</vt:lpstr>
      <vt:lpstr>LCarini!octhrrt</vt:lpstr>
      <vt:lpstr>MAcero_Garzon!octhrrt</vt:lpstr>
      <vt:lpstr>MCamilleri!octhrrt</vt:lpstr>
      <vt:lpstr>MEllul!octhrrt</vt:lpstr>
      <vt:lpstr>NScerri_Esposito!octhrrt</vt:lpstr>
      <vt:lpstr>RAcharya!octhrrt</vt:lpstr>
      <vt:lpstr>RAttard!octhrrt</vt:lpstr>
      <vt:lpstr>RCamilleri!octhrrt</vt:lpstr>
      <vt:lpstr>RGaldes!octhrrt</vt:lpstr>
      <vt:lpstr>RMallan_Albani!octhrrt</vt:lpstr>
      <vt:lpstr>RSreejith!octhrrt</vt:lpstr>
      <vt:lpstr>SPare!octhrrt</vt:lpstr>
      <vt:lpstr>ZMifsud!octhrrt</vt:lpstr>
      <vt:lpstr>AFalzon!Octmlf</vt:lpstr>
      <vt:lpstr>AHaneena!Octmlf</vt:lpstr>
      <vt:lpstr>AKunnamkudath!Octmlf</vt:lpstr>
      <vt:lpstr>DMifsud_Ceci!Octmlf</vt:lpstr>
      <vt:lpstr>ECurmi!Octmlf</vt:lpstr>
      <vt:lpstr>ELama!Octmlf</vt:lpstr>
      <vt:lpstr>'fs7'!octmlf</vt:lpstr>
      <vt:lpstr>KMizzi!Octmlf</vt:lpstr>
      <vt:lpstr>LBonnici!Octmlf</vt:lpstr>
      <vt:lpstr>LCarini!Octmlf</vt:lpstr>
      <vt:lpstr>MAcero_Garzon!Octmlf</vt:lpstr>
      <vt:lpstr>MCamilleri!Octmlf</vt:lpstr>
      <vt:lpstr>MEllul!Octmlf</vt:lpstr>
      <vt:lpstr>NScerri_Esposito!Octmlf</vt:lpstr>
      <vt:lpstr>RAcharya!Octmlf</vt:lpstr>
      <vt:lpstr>RAttard!Octmlf</vt:lpstr>
      <vt:lpstr>RCamilleri!Octmlf</vt:lpstr>
      <vt:lpstr>RGaldes!Octmlf</vt:lpstr>
      <vt:lpstr>RMallan_Albani!Octmlf</vt:lpstr>
      <vt:lpstr>RSreejith!Octmlf</vt:lpstr>
      <vt:lpstr>SPare!Octmlf</vt:lpstr>
      <vt:lpstr>ZMifsud!Octmlf</vt:lpstr>
      <vt:lpstr>AFalzon!octoth</vt:lpstr>
      <vt:lpstr>AHaneena!octoth</vt:lpstr>
      <vt:lpstr>AKunnamkudath!octoth</vt:lpstr>
      <vt:lpstr>DMifsud_Ceci!octoth</vt:lpstr>
      <vt:lpstr>ECurmi!octoth</vt:lpstr>
      <vt:lpstr>ELama!octoth</vt:lpstr>
      <vt:lpstr>KMizzi!octoth</vt:lpstr>
      <vt:lpstr>LBonnici!octoth</vt:lpstr>
      <vt:lpstr>LCarini!octoth</vt:lpstr>
      <vt:lpstr>MAcero_Garzon!octoth</vt:lpstr>
      <vt:lpstr>MCamilleri!octoth</vt:lpstr>
      <vt:lpstr>MEllul!octoth</vt:lpstr>
      <vt:lpstr>NScerri_Esposito!octoth</vt:lpstr>
      <vt:lpstr>RAcharya!octoth</vt:lpstr>
      <vt:lpstr>RAttard!octoth</vt:lpstr>
      <vt:lpstr>RCamilleri!octoth</vt:lpstr>
      <vt:lpstr>RGaldes!octoth</vt:lpstr>
      <vt:lpstr>RMallan_Albani!octoth</vt:lpstr>
      <vt:lpstr>RSreejith!octoth</vt:lpstr>
      <vt:lpstr>SPare!octoth</vt:lpstr>
      <vt:lpstr>ZMifsud!octoth</vt:lpstr>
      <vt:lpstr>AFalzon!octpb</vt:lpstr>
      <vt:lpstr>AHaneena!octpb</vt:lpstr>
      <vt:lpstr>AKunnamkudath!octpb</vt:lpstr>
      <vt:lpstr>DMifsud_Ceci!octpb</vt:lpstr>
      <vt:lpstr>ECurmi!octpb</vt:lpstr>
      <vt:lpstr>ELama!octpb</vt:lpstr>
      <vt:lpstr>KMizzi!octpb</vt:lpstr>
      <vt:lpstr>LBonnici!octpb</vt:lpstr>
      <vt:lpstr>LCarini!octpb</vt:lpstr>
      <vt:lpstr>MAcero_Garzon!octpb</vt:lpstr>
      <vt:lpstr>MCamilleri!octpb</vt:lpstr>
      <vt:lpstr>MEllul!octpb</vt:lpstr>
      <vt:lpstr>NScerri_Esposito!octpb</vt:lpstr>
      <vt:lpstr>RAcharya!octpb</vt:lpstr>
      <vt:lpstr>RAttard!octpb</vt:lpstr>
      <vt:lpstr>RCamilleri!octpb</vt:lpstr>
      <vt:lpstr>RGaldes!octpb</vt:lpstr>
      <vt:lpstr>RMallan_Albani!octpb</vt:lpstr>
      <vt:lpstr>RSreejith!octpb</vt:lpstr>
      <vt:lpstr>SPare!octpb</vt:lpstr>
      <vt:lpstr>ZMifsud!octpb</vt:lpstr>
      <vt:lpstr>AFalzon!octsb</vt:lpstr>
      <vt:lpstr>AHaneena!octsb</vt:lpstr>
      <vt:lpstr>AKunnamkudath!octsb</vt:lpstr>
      <vt:lpstr>DMifsud_Ceci!octsb</vt:lpstr>
      <vt:lpstr>ECurmi!octsb</vt:lpstr>
      <vt:lpstr>ELama!octsb</vt:lpstr>
      <vt:lpstr>KMizzi!octsb</vt:lpstr>
      <vt:lpstr>LBonnici!octsb</vt:lpstr>
      <vt:lpstr>LCarini!octsb</vt:lpstr>
      <vt:lpstr>MAcero_Garzon!octsb</vt:lpstr>
      <vt:lpstr>MCamilleri!octsb</vt:lpstr>
      <vt:lpstr>MEllul!octsb</vt:lpstr>
      <vt:lpstr>NScerri_Esposito!octsb</vt:lpstr>
      <vt:lpstr>RAcharya!octsb</vt:lpstr>
      <vt:lpstr>RAttard!octsb</vt:lpstr>
      <vt:lpstr>RCamilleri!octsb</vt:lpstr>
      <vt:lpstr>RGaldes!octsb</vt:lpstr>
      <vt:lpstr>RMallan_Albani!octsb</vt:lpstr>
      <vt:lpstr>RSreejith!octsb</vt:lpstr>
      <vt:lpstr>SPare!octsb</vt:lpstr>
      <vt:lpstr>ZMifsud!octsb</vt:lpstr>
      <vt:lpstr>'fs7'!octssc</vt:lpstr>
      <vt:lpstr>AFalzon!octULHr</vt:lpstr>
      <vt:lpstr>AHaneena!octULHr</vt:lpstr>
      <vt:lpstr>AKunnamkudath!octULHr</vt:lpstr>
      <vt:lpstr>DMifsud_Ceci!octULHr</vt:lpstr>
      <vt:lpstr>ECurmi!octULHr</vt:lpstr>
      <vt:lpstr>ELama!octULHr</vt:lpstr>
      <vt:lpstr>KMizzi!octULHr</vt:lpstr>
      <vt:lpstr>LBonnici!octULHr</vt:lpstr>
      <vt:lpstr>LCarini!octULHr</vt:lpstr>
      <vt:lpstr>MAcero_Garzon!octULHr</vt:lpstr>
      <vt:lpstr>MCamilleri!octULHr</vt:lpstr>
      <vt:lpstr>MEllul!octULHr</vt:lpstr>
      <vt:lpstr>NScerri_Esposito!octULHr</vt:lpstr>
      <vt:lpstr>RAcharya!octULHr</vt:lpstr>
      <vt:lpstr>RAttard!octULHr</vt:lpstr>
      <vt:lpstr>RCamilleri!octULHr</vt:lpstr>
      <vt:lpstr>RGaldes!octULHr</vt:lpstr>
      <vt:lpstr>RMallan_Albani!octULHr</vt:lpstr>
      <vt:lpstr>RSreejith!octULHr</vt:lpstr>
      <vt:lpstr>SPare!octULHr</vt:lpstr>
      <vt:lpstr>ZMifsud!octULHr</vt:lpstr>
      <vt:lpstr>SummaryPT!OTPAY</vt:lpstr>
      <vt:lpstr>SummaryTOTS!OTPAY</vt:lpstr>
      <vt:lpstr>SummaryPT!OTTAX</vt:lpstr>
      <vt:lpstr>SummaryTOTS!OTTAX</vt:lpstr>
      <vt:lpstr>par1ded</vt:lpstr>
      <vt:lpstr>par1rate</vt:lpstr>
      <vt:lpstr>par2ded</vt:lpstr>
      <vt:lpstr>par2rate</vt:lpstr>
      <vt:lpstr>par3ded</vt:lpstr>
      <vt:lpstr>par3rate</vt:lpstr>
      <vt:lpstr>par4ded</vt:lpstr>
      <vt:lpstr>par4rate</vt:lpstr>
      <vt:lpstr>par5ded</vt:lpstr>
      <vt:lpstr>par5rate</vt:lpstr>
      <vt:lpstr>Parent_Rates</vt:lpstr>
      <vt:lpstr>FEB_FS5!PARMAX1</vt:lpstr>
      <vt:lpstr>'FS3 Filling sheet'!PARMAX1</vt:lpstr>
      <vt:lpstr>'fs7'!PARMAX1</vt:lpstr>
      <vt:lpstr>JAN_FS5!PARMAX1</vt:lpstr>
      <vt:lpstr>MAR_FS5!PARMAX1</vt:lpstr>
      <vt:lpstr>'ss filling sheet'!PARMAX1</vt:lpstr>
      <vt:lpstr>PARMAX1</vt:lpstr>
      <vt:lpstr>FEB_FS5!PARMAX2</vt:lpstr>
      <vt:lpstr>'FS3 Filling sheet'!PARMAX2</vt:lpstr>
      <vt:lpstr>'fs7'!PARMAX2</vt:lpstr>
      <vt:lpstr>JAN_FS5!PARMAX2</vt:lpstr>
      <vt:lpstr>MAR_FS5!PARMAX2</vt:lpstr>
      <vt:lpstr>'ss filling sheet'!PARMAX2</vt:lpstr>
      <vt:lpstr>PARMAX2</vt:lpstr>
      <vt:lpstr>FEB_FS5!PARMAX3</vt:lpstr>
      <vt:lpstr>'FS3 Filling sheet'!PARMAX3</vt:lpstr>
      <vt:lpstr>'fs7'!PARMAX3</vt:lpstr>
      <vt:lpstr>JAN_FS5!PARMAX3</vt:lpstr>
      <vt:lpstr>MAR_FS5!PARMAX3</vt:lpstr>
      <vt:lpstr>'ss filling sheet'!PARMAX3</vt:lpstr>
      <vt:lpstr>PARMAX3</vt:lpstr>
      <vt:lpstr>FEB_FS5!PARMAX4</vt:lpstr>
      <vt:lpstr>'FS3 Filling sheet'!PARMAX4</vt:lpstr>
      <vt:lpstr>'fs7'!PARMAX4</vt:lpstr>
      <vt:lpstr>JAN_FS5!PARMAX4</vt:lpstr>
      <vt:lpstr>MAR_FS5!PARMAX4</vt:lpstr>
      <vt:lpstr>'ss filling sheet'!PARMAX4</vt:lpstr>
      <vt:lpstr>PARMAX4</vt:lpstr>
      <vt:lpstr>partab</vt:lpstr>
      <vt:lpstr>AFalzon!PayAPR</vt:lpstr>
      <vt:lpstr>AHaneena!PayAPR</vt:lpstr>
      <vt:lpstr>AKunnamkudath!PayAPR</vt:lpstr>
      <vt:lpstr>DMifsud_Ceci!PayAPR</vt:lpstr>
      <vt:lpstr>ECurmi!PayAPR</vt:lpstr>
      <vt:lpstr>ELama!PayAPR</vt:lpstr>
      <vt:lpstr>KMizzi!PayAPR</vt:lpstr>
      <vt:lpstr>LBonnici!PayAPR</vt:lpstr>
      <vt:lpstr>LCarini!PayAPR</vt:lpstr>
      <vt:lpstr>MAcero_Garzon!PayAPR</vt:lpstr>
      <vt:lpstr>MCamilleri!PayAPR</vt:lpstr>
      <vt:lpstr>MEllul!PayAPR</vt:lpstr>
      <vt:lpstr>NScerri_Esposito!PayAPR</vt:lpstr>
      <vt:lpstr>RAcharya!PayAPR</vt:lpstr>
      <vt:lpstr>RAttard!PayAPR</vt:lpstr>
      <vt:lpstr>RCamilleri!PayAPR</vt:lpstr>
      <vt:lpstr>RGaldes!PayAPR</vt:lpstr>
      <vt:lpstr>RMallan_Albani!PayAPR</vt:lpstr>
      <vt:lpstr>RSreejith!PayAPR</vt:lpstr>
      <vt:lpstr>SPare!PayAPR</vt:lpstr>
      <vt:lpstr>ZMifsud!PayAPR</vt:lpstr>
      <vt:lpstr>AFalzon!PayAUG</vt:lpstr>
      <vt:lpstr>AHaneena!PayAUG</vt:lpstr>
      <vt:lpstr>AKunnamkudath!PayAUG</vt:lpstr>
      <vt:lpstr>DMifsud_Ceci!PayAUG</vt:lpstr>
      <vt:lpstr>ECurmi!PayAUG</vt:lpstr>
      <vt:lpstr>ELama!PayAUG</vt:lpstr>
      <vt:lpstr>KMizzi!PayAUG</vt:lpstr>
      <vt:lpstr>LBonnici!PayAUG</vt:lpstr>
      <vt:lpstr>LCarini!PayAUG</vt:lpstr>
      <vt:lpstr>MAcero_Garzon!PayAUG</vt:lpstr>
      <vt:lpstr>MCamilleri!PayAUG</vt:lpstr>
      <vt:lpstr>MEllul!PayAUG</vt:lpstr>
      <vt:lpstr>NScerri_Esposito!PayAUG</vt:lpstr>
      <vt:lpstr>RAcharya!PayAUG</vt:lpstr>
      <vt:lpstr>RAttard!PayAUG</vt:lpstr>
      <vt:lpstr>RCamilleri!PayAUG</vt:lpstr>
      <vt:lpstr>RGaldes!PayAUG</vt:lpstr>
      <vt:lpstr>RMallan_Albani!PayAUG</vt:lpstr>
      <vt:lpstr>RSreejith!PayAUG</vt:lpstr>
      <vt:lpstr>SPare!PayAUG</vt:lpstr>
      <vt:lpstr>ZMifsud!PayAUG</vt:lpstr>
      <vt:lpstr>AFalzon!PayDEC</vt:lpstr>
      <vt:lpstr>AHaneena!PayDEC</vt:lpstr>
      <vt:lpstr>AKunnamkudath!PayDEC</vt:lpstr>
      <vt:lpstr>DMifsud_Ceci!PayDEC</vt:lpstr>
      <vt:lpstr>ECurmi!PayDEC</vt:lpstr>
      <vt:lpstr>ELama!PayDEC</vt:lpstr>
      <vt:lpstr>KMizzi!PayDEC</vt:lpstr>
      <vt:lpstr>LBonnici!PayDEC</vt:lpstr>
      <vt:lpstr>LCarini!PayDEC</vt:lpstr>
      <vt:lpstr>MAcero_Garzon!PayDEC</vt:lpstr>
      <vt:lpstr>MCamilleri!PayDEC</vt:lpstr>
      <vt:lpstr>MEllul!PayDEC</vt:lpstr>
      <vt:lpstr>NScerri_Esposito!PayDEC</vt:lpstr>
      <vt:lpstr>RAcharya!PayDEC</vt:lpstr>
      <vt:lpstr>RAttard!PayDEC</vt:lpstr>
      <vt:lpstr>RCamilleri!PayDEC</vt:lpstr>
      <vt:lpstr>RGaldes!PayDEC</vt:lpstr>
      <vt:lpstr>RMallan_Albani!PayDEC</vt:lpstr>
      <vt:lpstr>RSreejith!PayDEC</vt:lpstr>
      <vt:lpstr>SPare!PayDEC</vt:lpstr>
      <vt:lpstr>ZMifsud!PayDEC</vt:lpstr>
      <vt:lpstr>AFalzon!PayFEB</vt:lpstr>
      <vt:lpstr>AHaneena!PayFEB</vt:lpstr>
      <vt:lpstr>AKunnamkudath!PayFEB</vt:lpstr>
      <vt:lpstr>DMifsud_Ceci!PayFEB</vt:lpstr>
      <vt:lpstr>ECurmi!PayFEB</vt:lpstr>
      <vt:lpstr>ELama!PayFEB</vt:lpstr>
      <vt:lpstr>KMizzi!PayFEB</vt:lpstr>
      <vt:lpstr>LBonnici!PayFEB</vt:lpstr>
      <vt:lpstr>LCarini!PayFEB</vt:lpstr>
      <vt:lpstr>MAcero_Garzon!PayFEB</vt:lpstr>
      <vt:lpstr>MCamilleri!PayFEB</vt:lpstr>
      <vt:lpstr>MEllul!PayFEB</vt:lpstr>
      <vt:lpstr>NScerri_Esposito!PayFEB</vt:lpstr>
      <vt:lpstr>RAcharya!PayFEB</vt:lpstr>
      <vt:lpstr>RAttard!PayFEB</vt:lpstr>
      <vt:lpstr>RCamilleri!PayFEB</vt:lpstr>
      <vt:lpstr>RGaldes!PayFEB</vt:lpstr>
      <vt:lpstr>RMallan_Albani!PayFEB</vt:lpstr>
      <vt:lpstr>RSreejith!PayFEB</vt:lpstr>
      <vt:lpstr>SPare!PayFEB</vt:lpstr>
      <vt:lpstr>ZMifsud!PayFEB</vt:lpstr>
      <vt:lpstr>AFalzon!PayJAN</vt:lpstr>
      <vt:lpstr>AHaneena!PayJAN</vt:lpstr>
      <vt:lpstr>AKunnamkudath!PayJAN</vt:lpstr>
      <vt:lpstr>DMifsud_Ceci!PayJAN</vt:lpstr>
      <vt:lpstr>ECurmi!PayJAN</vt:lpstr>
      <vt:lpstr>ELama!PayJAN</vt:lpstr>
      <vt:lpstr>KMizzi!PayJAN</vt:lpstr>
      <vt:lpstr>LBonnici!PayJAN</vt:lpstr>
      <vt:lpstr>LCarini!PayJAN</vt:lpstr>
      <vt:lpstr>MAcero_Garzon!PayJAN</vt:lpstr>
      <vt:lpstr>MCamilleri!PayJAN</vt:lpstr>
      <vt:lpstr>MEllul!PayJAN</vt:lpstr>
      <vt:lpstr>NScerri_Esposito!PayJAN</vt:lpstr>
      <vt:lpstr>RAcharya!PayJAN</vt:lpstr>
      <vt:lpstr>RAttard!PayJAN</vt:lpstr>
      <vt:lpstr>RCamilleri!PayJAN</vt:lpstr>
      <vt:lpstr>RGaldes!PayJAN</vt:lpstr>
      <vt:lpstr>RMallan_Albani!PayJAN</vt:lpstr>
      <vt:lpstr>RSreejith!PayJAN</vt:lpstr>
      <vt:lpstr>SPare!PayJAN</vt:lpstr>
      <vt:lpstr>ZMifsud!PayJAN</vt:lpstr>
      <vt:lpstr>AFalzon!PayJUN</vt:lpstr>
      <vt:lpstr>AHaneena!PayJUN</vt:lpstr>
      <vt:lpstr>AKunnamkudath!PayJUN</vt:lpstr>
      <vt:lpstr>DMifsud_Ceci!PayJUN</vt:lpstr>
      <vt:lpstr>ECurmi!PayJUN</vt:lpstr>
      <vt:lpstr>ELama!PayJUN</vt:lpstr>
      <vt:lpstr>KMizzi!PayJUN</vt:lpstr>
      <vt:lpstr>LBonnici!PayJUN</vt:lpstr>
      <vt:lpstr>LCarini!PayJUN</vt:lpstr>
      <vt:lpstr>MAcero_Garzon!PayJUN</vt:lpstr>
      <vt:lpstr>MCamilleri!PayJUN</vt:lpstr>
      <vt:lpstr>MEllul!PayJUN</vt:lpstr>
      <vt:lpstr>NScerri_Esposito!PayJUN</vt:lpstr>
      <vt:lpstr>RAcharya!PayJUN</vt:lpstr>
      <vt:lpstr>RAttard!PayJUN</vt:lpstr>
      <vt:lpstr>RCamilleri!PayJUN</vt:lpstr>
      <vt:lpstr>RGaldes!PayJUN</vt:lpstr>
      <vt:lpstr>RMallan_Albani!PayJUN</vt:lpstr>
      <vt:lpstr>RSreejith!PayJUN</vt:lpstr>
      <vt:lpstr>SPare!PayJUN</vt:lpstr>
      <vt:lpstr>ZMifsud!PayJUN</vt:lpstr>
      <vt:lpstr>AFalzon!PayMAR</vt:lpstr>
      <vt:lpstr>AHaneena!PayMAR</vt:lpstr>
      <vt:lpstr>AKunnamkudath!PayMAR</vt:lpstr>
      <vt:lpstr>DMifsud_Ceci!PayMAR</vt:lpstr>
      <vt:lpstr>ECurmi!PayMAR</vt:lpstr>
      <vt:lpstr>ELama!PayMAR</vt:lpstr>
      <vt:lpstr>KMizzi!PayMAR</vt:lpstr>
      <vt:lpstr>LBonnici!PayMAR</vt:lpstr>
      <vt:lpstr>LCarini!PayMAR</vt:lpstr>
      <vt:lpstr>MAcero_Garzon!PayMAR</vt:lpstr>
      <vt:lpstr>MCamilleri!PayMAR</vt:lpstr>
      <vt:lpstr>MEllul!PayMAR</vt:lpstr>
      <vt:lpstr>NScerri_Esposito!PayMAR</vt:lpstr>
      <vt:lpstr>RAcharya!PayMAR</vt:lpstr>
      <vt:lpstr>RAttard!PayMAR</vt:lpstr>
      <vt:lpstr>RCamilleri!PayMAR</vt:lpstr>
      <vt:lpstr>RGaldes!PayMAR</vt:lpstr>
      <vt:lpstr>RMallan_Albani!PayMAR</vt:lpstr>
      <vt:lpstr>RSreejith!PayMAR</vt:lpstr>
      <vt:lpstr>SPare!PayMAR</vt:lpstr>
      <vt:lpstr>ZMifsud!PayMAR</vt:lpstr>
      <vt:lpstr>AFalzon!PayMAY</vt:lpstr>
      <vt:lpstr>AHaneena!PayMAY</vt:lpstr>
      <vt:lpstr>AKunnamkudath!PayMAY</vt:lpstr>
      <vt:lpstr>DMifsud_Ceci!PayMAY</vt:lpstr>
      <vt:lpstr>ECurmi!PayMAY</vt:lpstr>
      <vt:lpstr>ELama!PayMAY</vt:lpstr>
      <vt:lpstr>KMizzi!PayMAY</vt:lpstr>
      <vt:lpstr>LBonnici!PayMAY</vt:lpstr>
      <vt:lpstr>LCarini!PayMAY</vt:lpstr>
      <vt:lpstr>MAcero_Garzon!PayMAY</vt:lpstr>
      <vt:lpstr>MCamilleri!PayMAY</vt:lpstr>
      <vt:lpstr>MEllul!PayMAY</vt:lpstr>
      <vt:lpstr>NScerri_Esposito!PayMAY</vt:lpstr>
      <vt:lpstr>RAcharya!PayMAY</vt:lpstr>
      <vt:lpstr>RAttard!PayMAY</vt:lpstr>
      <vt:lpstr>RCamilleri!PayMAY</vt:lpstr>
      <vt:lpstr>RGaldes!PayMAY</vt:lpstr>
      <vt:lpstr>RMallan_Albani!PayMAY</vt:lpstr>
      <vt:lpstr>RSreejith!PayMAY</vt:lpstr>
      <vt:lpstr>SPare!PayMAY</vt:lpstr>
      <vt:lpstr>ZMifsud!PayMAY</vt:lpstr>
      <vt:lpstr>AFalzon!PayNOV</vt:lpstr>
      <vt:lpstr>AHaneena!PayNOV</vt:lpstr>
      <vt:lpstr>AKunnamkudath!PayNOV</vt:lpstr>
      <vt:lpstr>DMifsud_Ceci!PayNOV</vt:lpstr>
      <vt:lpstr>ECurmi!PayNOV</vt:lpstr>
      <vt:lpstr>ELama!PayNOV</vt:lpstr>
      <vt:lpstr>KMizzi!PayNOV</vt:lpstr>
      <vt:lpstr>LBonnici!PayNOV</vt:lpstr>
      <vt:lpstr>LCarini!PayNOV</vt:lpstr>
      <vt:lpstr>MAcero_Garzon!PayNOV</vt:lpstr>
      <vt:lpstr>MCamilleri!PayNOV</vt:lpstr>
      <vt:lpstr>MEllul!PayNOV</vt:lpstr>
      <vt:lpstr>NScerri_Esposito!PayNOV</vt:lpstr>
      <vt:lpstr>RAcharya!PayNOV</vt:lpstr>
      <vt:lpstr>RAttard!PayNOV</vt:lpstr>
      <vt:lpstr>RCamilleri!PayNOV</vt:lpstr>
      <vt:lpstr>RGaldes!PayNOV</vt:lpstr>
      <vt:lpstr>RMallan_Albani!PayNOV</vt:lpstr>
      <vt:lpstr>RSreejith!PayNOV</vt:lpstr>
      <vt:lpstr>SPare!PayNOV</vt:lpstr>
      <vt:lpstr>ZMifsud!PayNOV</vt:lpstr>
      <vt:lpstr>AFalzon!PayOCT</vt:lpstr>
      <vt:lpstr>AHaneena!PayOCT</vt:lpstr>
      <vt:lpstr>AKunnamkudath!PayOCT</vt:lpstr>
      <vt:lpstr>DMifsud_Ceci!PayOCT</vt:lpstr>
      <vt:lpstr>ECurmi!PayOCT</vt:lpstr>
      <vt:lpstr>ELama!PayOCT</vt:lpstr>
      <vt:lpstr>KMizzi!PayOCT</vt:lpstr>
      <vt:lpstr>LBonnici!PayOCT</vt:lpstr>
      <vt:lpstr>LCarini!PayOCT</vt:lpstr>
      <vt:lpstr>MAcero_Garzon!PayOCT</vt:lpstr>
      <vt:lpstr>MCamilleri!PayOCT</vt:lpstr>
      <vt:lpstr>MEllul!PayOCT</vt:lpstr>
      <vt:lpstr>NScerri_Esposito!PayOCT</vt:lpstr>
      <vt:lpstr>RAcharya!PayOCT</vt:lpstr>
      <vt:lpstr>RAttard!PayOCT</vt:lpstr>
      <vt:lpstr>RCamilleri!PayOCT</vt:lpstr>
      <vt:lpstr>RGaldes!PayOCT</vt:lpstr>
      <vt:lpstr>RMallan_Albani!PayOCT</vt:lpstr>
      <vt:lpstr>RSreejith!PayOCT</vt:lpstr>
      <vt:lpstr>SPare!PayOCT</vt:lpstr>
      <vt:lpstr>ZMifsud!PayOCT</vt:lpstr>
      <vt:lpstr>AFalzon!PaySEP</vt:lpstr>
      <vt:lpstr>AHaneena!PaySEP</vt:lpstr>
      <vt:lpstr>AKunnamkudath!PaySEP</vt:lpstr>
      <vt:lpstr>DMifsud_Ceci!PaySEP</vt:lpstr>
      <vt:lpstr>ECurmi!PaySEP</vt:lpstr>
      <vt:lpstr>ELama!PaySEP</vt:lpstr>
      <vt:lpstr>KMizzi!PaySEP</vt:lpstr>
      <vt:lpstr>LBonnici!PaySEP</vt:lpstr>
      <vt:lpstr>LCarini!PaySEP</vt:lpstr>
      <vt:lpstr>MAcero_Garzon!PaySEP</vt:lpstr>
      <vt:lpstr>MCamilleri!PaySEP</vt:lpstr>
      <vt:lpstr>MEllul!PaySEP</vt:lpstr>
      <vt:lpstr>NScerri_Esposito!PaySEP</vt:lpstr>
      <vt:lpstr>RAcharya!PaySEP</vt:lpstr>
      <vt:lpstr>RAttard!PaySEP</vt:lpstr>
      <vt:lpstr>RCamilleri!PaySEP</vt:lpstr>
      <vt:lpstr>RGaldes!PaySEP</vt:lpstr>
      <vt:lpstr>RMallan_Albani!PaySEP</vt:lpstr>
      <vt:lpstr>RSreejith!PaySEP</vt:lpstr>
      <vt:lpstr>SPare!PaySEP</vt:lpstr>
      <vt:lpstr>ZMifsud!PaySEP</vt:lpstr>
      <vt:lpstr>Payslip_value</vt:lpstr>
      <vt:lpstr>AFalzon!PCODE</vt:lpstr>
      <vt:lpstr>AHaneena!PCODE</vt:lpstr>
      <vt:lpstr>AKunnamkudath!PCODE</vt:lpstr>
      <vt:lpstr>DMifsud_Ceci!PCODE</vt:lpstr>
      <vt:lpstr>ECurmi!PCODE</vt:lpstr>
      <vt:lpstr>ELama!PCODE</vt:lpstr>
      <vt:lpstr>KMizzi!PCODE</vt:lpstr>
      <vt:lpstr>LBonnici!PCODE</vt:lpstr>
      <vt:lpstr>LCarini!PCODE</vt:lpstr>
      <vt:lpstr>MAcero_Garzon!PCODE</vt:lpstr>
      <vt:lpstr>MCamilleri!PCODE</vt:lpstr>
      <vt:lpstr>MEllul!PCODE</vt:lpstr>
      <vt:lpstr>NScerri_Esposito!PCODE</vt:lpstr>
      <vt:lpstr>RAcharya!PCODE</vt:lpstr>
      <vt:lpstr>RAttard!PCODE</vt:lpstr>
      <vt:lpstr>RCamilleri!PCODE</vt:lpstr>
      <vt:lpstr>RGaldes!PCODE</vt:lpstr>
      <vt:lpstr>RMallan_Albani!PCODE</vt:lpstr>
      <vt:lpstr>RSreejith!PCODE</vt:lpstr>
      <vt:lpstr>SPare!PCODE</vt:lpstr>
      <vt:lpstr>ZMifsud!PCODE</vt:lpstr>
      <vt:lpstr>AFalzon!PREVFS3</vt:lpstr>
      <vt:lpstr>AHaneena!PREVFS3</vt:lpstr>
      <vt:lpstr>AKunnamkudath!PREVFS3</vt:lpstr>
      <vt:lpstr>DMifsud_Ceci!PREVFS3</vt:lpstr>
      <vt:lpstr>ECurmi!PREVFS3</vt:lpstr>
      <vt:lpstr>ELama!PREVFS3</vt:lpstr>
      <vt:lpstr>KMizzi!PREVFS3</vt:lpstr>
      <vt:lpstr>LBonnici!PREVFS3</vt:lpstr>
      <vt:lpstr>LCarini!PREVFS3</vt:lpstr>
      <vt:lpstr>MAcero_Garzon!PREVFS3</vt:lpstr>
      <vt:lpstr>MCamilleri!PREVFS3</vt:lpstr>
      <vt:lpstr>MEllul!PREVFS3</vt:lpstr>
      <vt:lpstr>NScerri_Esposito!PREVFS3</vt:lpstr>
      <vt:lpstr>RAcharya!PREVFS3</vt:lpstr>
      <vt:lpstr>RAttard!PREVFS3</vt:lpstr>
      <vt:lpstr>RCamilleri!PREVFS3</vt:lpstr>
      <vt:lpstr>RGaldes!PREVFS3</vt:lpstr>
      <vt:lpstr>RMallan_Albani!PREVFS3</vt:lpstr>
      <vt:lpstr>RSreejith!PREVFS3</vt:lpstr>
      <vt:lpstr>SPare!PREVFS3</vt:lpstr>
      <vt:lpstr>ZMifsud!PREVFS3</vt:lpstr>
      <vt:lpstr>AFalzon!Print_Area</vt:lpstr>
      <vt:lpstr>AHaneena!Print_Area</vt:lpstr>
      <vt:lpstr>AKunnamkudath!Print_Area</vt:lpstr>
      <vt:lpstr>DMifsud_Ceci!Print_Area</vt:lpstr>
      <vt:lpstr>ECurmi!Print_Area</vt:lpstr>
      <vt:lpstr>ELama!Print_Area</vt:lpstr>
      <vt:lpstr>KMizzi!Print_Area</vt:lpstr>
      <vt:lpstr>LBonnici!Print_Area</vt:lpstr>
      <vt:lpstr>LCarini!Print_Area</vt:lpstr>
      <vt:lpstr>MAcero_Garzon!Print_Area</vt:lpstr>
      <vt:lpstr>MCamilleri!Print_Area</vt:lpstr>
      <vt:lpstr>MEllul!Print_Area</vt:lpstr>
      <vt:lpstr>NScerri_Esposito!Print_Area</vt:lpstr>
      <vt:lpstr>RAcharya!Print_Area</vt:lpstr>
      <vt:lpstr>RAttard!Print_Area</vt:lpstr>
      <vt:lpstr>RCamilleri!Print_Area</vt:lpstr>
      <vt:lpstr>RGaldes!Print_Area</vt:lpstr>
      <vt:lpstr>RMallan_Albani!Print_Area</vt:lpstr>
      <vt:lpstr>RSreejith!Print_Area</vt:lpstr>
      <vt:lpstr>SPare!Print_Area</vt:lpstr>
      <vt:lpstr>ZMifsud!Print_Area</vt:lpstr>
      <vt:lpstr>SummaryPT!PSLIPVAL</vt:lpstr>
      <vt:lpstr>SummaryTOTS!PSLIPVAL</vt:lpstr>
      <vt:lpstr>PT_Rate</vt:lpstr>
      <vt:lpstr>AFalzon!ptrate</vt:lpstr>
      <vt:lpstr>AHaneena!ptrate</vt:lpstr>
      <vt:lpstr>AKunnamkudath!ptrate</vt:lpstr>
      <vt:lpstr>DMifsud_Ceci!ptrate</vt:lpstr>
      <vt:lpstr>ECurmi!ptrate</vt:lpstr>
      <vt:lpstr>ELama!ptrate</vt:lpstr>
      <vt:lpstr>KMizzi!ptrate</vt:lpstr>
      <vt:lpstr>LBonnici!ptrate</vt:lpstr>
      <vt:lpstr>LCarini!ptrate</vt:lpstr>
      <vt:lpstr>MAcero_Garzon!ptrate</vt:lpstr>
      <vt:lpstr>MCamilleri!ptrate</vt:lpstr>
      <vt:lpstr>MEllul!ptrate</vt:lpstr>
      <vt:lpstr>NScerri_Esposito!ptrate</vt:lpstr>
      <vt:lpstr>RAcharya!ptrate</vt:lpstr>
      <vt:lpstr>RAttard!ptrate</vt:lpstr>
      <vt:lpstr>RCamilleri!ptrate</vt:lpstr>
      <vt:lpstr>RGaldes!ptrate</vt:lpstr>
      <vt:lpstr>RMallan_Albani!ptrate</vt:lpstr>
      <vt:lpstr>RSreejith!ptrate</vt:lpstr>
      <vt:lpstr>SPare!ptrate</vt:lpstr>
      <vt:lpstr>ZMifsud!ptrate</vt:lpstr>
      <vt:lpstr>AFalzon!PYRL_Summary</vt:lpstr>
      <vt:lpstr>AHaneena!PYRL_Summary</vt:lpstr>
      <vt:lpstr>AKunnamkudath!PYRL_Summary</vt:lpstr>
      <vt:lpstr>DMifsud_Ceci!PYRL_Summary</vt:lpstr>
      <vt:lpstr>ECurmi!PYRL_Summary</vt:lpstr>
      <vt:lpstr>ELama!PYRL_Summary</vt:lpstr>
      <vt:lpstr>JAN_FS5!PYRL_Summary</vt:lpstr>
      <vt:lpstr>KMizzi!PYRL_Summary</vt:lpstr>
      <vt:lpstr>LBonnici!PYRL_Summary</vt:lpstr>
      <vt:lpstr>LCarini!PYRL_Summary</vt:lpstr>
      <vt:lpstr>MAcero_Garzon!PYRL_Summary</vt:lpstr>
      <vt:lpstr>MCamilleri!PYRL_Summary</vt:lpstr>
      <vt:lpstr>MEllul!PYRL_Summary</vt:lpstr>
      <vt:lpstr>NOV_FS5!PYRL_Summary</vt:lpstr>
      <vt:lpstr>NScerri_Esposito!PYRL_Summary</vt:lpstr>
      <vt:lpstr>OCT_FS5!PYRL_Summary</vt:lpstr>
      <vt:lpstr>RAcharya!PYRL_Summary</vt:lpstr>
      <vt:lpstr>RAttard!PYRL_Summary</vt:lpstr>
      <vt:lpstr>RCamilleri!PYRL_Summary</vt:lpstr>
      <vt:lpstr>RGaldes!PYRL_Summary</vt:lpstr>
      <vt:lpstr>RMallan_Albani!PYRL_Summary</vt:lpstr>
      <vt:lpstr>RSreejith!PYRL_Summary</vt:lpstr>
      <vt:lpstr>SPare!PYRL_Summary</vt:lpstr>
      <vt:lpstr>ZMifsud!PYRL_Summary</vt:lpstr>
      <vt:lpstr>AFalzon!ratemax1</vt:lpstr>
      <vt:lpstr>AHaneena!ratemax1</vt:lpstr>
      <vt:lpstr>AKunnamkudath!ratemax1</vt:lpstr>
      <vt:lpstr>DMifsud_Ceci!ratemax1</vt:lpstr>
      <vt:lpstr>ECurmi!ratemax1</vt:lpstr>
      <vt:lpstr>ELama!ratemax1</vt:lpstr>
      <vt:lpstr>KMizzi!ratemax1</vt:lpstr>
      <vt:lpstr>LBonnici!ratemax1</vt:lpstr>
      <vt:lpstr>LCarini!ratemax1</vt:lpstr>
      <vt:lpstr>MAcero_Garzon!ratemax1</vt:lpstr>
      <vt:lpstr>MCamilleri!ratemax1</vt:lpstr>
      <vt:lpstr>MEllul!ratemax1</vt:lpstr>
      <vt:lpstr>NScerri_Esposito!ratemax1</vt:lpstr>
      <vt:lpstr>RAcharya!ratemax1</vt:lpstr>
      <vt:lpstr>RAttard!ratemax1</vt:lpstr>
      <vt:lpstr>RCamilleri!ratemax1</vt:lpstr>
      <vt:lpstr>RGaldes!ratemax1</vt:lpstr>
      <vt:lpstr>RMallan_Albani!ratemax1</vt:lpstr>
      <vt:lpstr>RSreejith!ratemax1</vt:lpstr>
      <vt:lpstr>SPare!ratemax1</vt:lpstr>
      <vt:lpstr>ZMifsud!ratemax1</vt:lpstr>
      <vt:lpstr>AFalzon!ratemax2</vt:lpstr>
      <vt:lpstr>AHaneena!ratemax2</vt:lpstr>
      <vt:lpstr>AKunnamkudath!ratemax2</vt:lpstr>
      <vt:lpstr>DMifsud_Ceci!ratemax2</vt:lpstr>
      <vt:lpstr>ECurmi!ratemax2</vt:lpstr>
      <vt:lpstr>ELama!ratemax2</vt:lpstr>
      <vt:lpstr>KMizzi!ratemax2</vt:lpstr>
      <vt:lpstr>LBonnici!ratemax2</vt:lpstr>
      <vt:lpstr>LCarini!ratemax2</vt:lpstr>
      <vt:lpstr>MAcero_Garzon!ratemax2</vt:lpstr>
      <vt:lpstr>MCamilleri!ratemax2</vt:lpstr>
      <vt:lpstr>MEllul!ratemax2</vt:lpstr>
      <vt:lpstr>NScerri_Esposito!ratemax2</vt:lpstr>
      <vt:lpstr>RAcharya!ratemax2</vt:lpstr>
      <vt:lpstr>RAttard!ratemax2</vt:lpstr>
      <vt:lpstr>RCamilleri!ratemax2</vt:lpstr>
      <vt:lpstr>RGaldes!ratemax2</vt:lpstr>
      <vt:lpstr>RMallan_Albani!ratemax2</vt:lpstr>
      <vt:lpstr>RSreejith!ratemax2</vt:lpstr>
      <vt:lpstr>SPare!ratemax2</vt:lpstr>
      <vt:lpstr>ZMifsud!ratemax2</vt:lpstr>
      <vt:lpstr>AFalzon!ratemax3</vt:lpstr>
      <vt:lpstr>AHaneena!ratemax3</vt:lpstr>
      <vt:lpstr>AKunnamkudath!ratemax3</vt:lpstr>
      <vt:lpstr>DMifsud_Ceci!ratemax3</vt:lpstr>
      <vt:lpstr>ECurmi!ratemax3</vt:lpstr>
      <vt:lpstr>ELama!ratemax3</vt:lpstr>
      <vt:lpstr>KMizzi!ratemax3</vt:lpstr>
      <vt:lpstr>LBonnici!ratemax3</vt:lpstr>
      <vt:lpstr>LCarini!ratemax3</vt:lpstr>
      <vt:lpstr>MAcero_Garzon!ratemax3</vt:lpstr>
      <vt:lpstr>MCamilleri!ratemax3</vt:lpstr>
      <vt:lpstr>MEllul!ratemax3</vt:lpstr>
      <vt:lpstr>NScerri_Esposito!ratemax3</vt:lpstr>
      <vt:lpstr>RAcharya!ratemax3</vt:lpstr>
      <vt:lpstr>RAttard!ratemax3</vt:lpstr>
      <vt:lpstr>RCamilleri!ratemax3</vt:lpstr>
      <vt:lpstr>RGaldes!ratemax3</vt:lpstr>
      <vt:lpstr>RMallan_Albani!ratemax3</vt:lpstr>
      <vt:lpstr>RSreejith!ratemax3</vt:lpstr>
      <vt:lpstr>SPare!ratemax3</vt:lpstr>
      <vt:lpstr>ZMifsud!ratemax3</vt:lpstr>
      <vt:lpstr>AFalzon!ratemax4</vt:lpstr>
      <vt:lpstr>AHaneena!ratemax4</vt:lpstr>
      <vt:lpstr>AKunnamkudath!ratemax4</vt:lpstr>
      <vt:lpstr>DMifsud_Ceci!ratemax4</vt:lpstr>
      <vt:lpstr>ECurmi!ratemax4</vt:lpstr>
      <vt:lpstr>ELama!ratemax4</vt:lpstr>
      <vt:lpstr>KMizzi!ratemax4</vt:lpstr>
      <vt:lpstr>LBonnici!ratemax4</vt:lpstr>
      <vt:lpstr>LCarini!ratemax4</vt:lpstr>
      <vt:lpstr>MAcero_Garzon!ratemax4</vt:lpstr>
      <vt:lpstr>MCamilleri!ratemax4</vt:lpstr>
      <vt:lpstr>MEllul!ratemax4</vt:lpstr>
      <vt:lpstr>NScerri_Esposito!ratemax4</vt:lpstr>
      <vt:lpstr>RAcharya!ratemax4</vt:lpstr>
      <vt:lpstr>RAttard!ratemax4</vt:lpstr>
      <vt:lpstr>RCamilleri!ratemax4</vt:lpstr>
      <vt:lpstr>RGaldes!ratemax4</vt:lpstr>
      <vt:lpstr>RMallan_Albani!ratemax4</vt:lpstr>
      <vt:lpstr>RSreejith!ratemax4</vt:lpstr>
      <vt:lpstr>SPare!ratemax4</vt:lpstr>
      <vt:lpstr>ZMifsud!ratemax4</vt:lpstr>
      <vt:lpstr>AFalzon!ratemax5</vt:lpstr>
      <vt:lpstr>AHaneena!ratemax5</vt:lpstr>
      <vt:lpstr>AKunnamkudath!ratemax5</vt:lpstr>
      <vt:lpstr>DMifsud_Ceci!ratemax5</vt:lpstr>
      <vt:lpstr>ECurmi!ratemax5</vt:lpstr>
      <vt:lpstr>ELama!ratemax5</vt:lpstr>
      <vt:lpstr>KMizzi!ratemax5</vt:lpstr>
      <vt:lpstr>LBonnici!ratemax5</vt:lpstr>
      <vt:lpstr>LCarini!ratemax5</vt:lpstr>
      <vt:lpstr>MAcero_Garzon!ratemax5</vt:lpstr>
      <vt:lpstr>MCamilleri!ratemax5</vt:lpstr>
      <vt:lpstr>MEllul!ratemax5</vt:lpstr>
      <vt:lpstr>NScerri_Esposito!ratemax5</vt:lpstr>
      <vt:lpstr>RAcharya!ratemax5</vt:lpstr>
      <vt:lpstr>RAttard!ratemax5</vt:lpstr>
      <vt:lpstr>RCamilleri!ratemax5</vt:lpstr>
      <vt:lpstr>RGaldes!ratemax5</vt:lpstr>
      <vt:lpstr>RMallan_Albani!ratemax5</vt:lpstr>
      <vt:lpstr>RSreejith!ratemax5</vt:lpstr>
      <vt:lpstr>SPare!ratemax5</vt:lpstr>
      <vt:lpstr>ZMifsud!ratemax5</vt:lpstr>
      <vt:lpstr>AFalzon!SEP_PAY</vt:lpstr>
      <vt:lpstr>AHaneena!SEP_PAY</vt:lpstr>
      <vt:lpstr>AKunnamkudath!SEP_PAY</vt:lpstr>
      <vt:lpstr>DMifsud_Ceci!SEP_PAY</vt:lpstr>
      <vt:lpstr>ECurmi!SEP_PAY</vt:lpstr>
      <vt:lpstr>ELama!SEP_PAY</vt:lpstr>
      <vt:lpstr>KMizzi!SEP_PAY</vt:lpstr>
      <vt:lpstr>LBonnici!SEP_PAY</vt:lpstr>
      <vt:lpstr>LCarini!SEP_PAY</vt:lpstr>
      <vt:lpstr>MAcero_Garzon!SEP_PAY</vt:lpstr>
      <vt:lpstr>MCamilleri!SEP_PAY</vt:lpstr>
      <vt:lpstr>MEllul!SEP_PAY</vt:lpstr>
      <vt:lpstr>NScerri_Esposito!SEP_PAY</vt:lpstr>
      <vt:lpstr>RAcharya!SEP_PAY</vt:lpstr>
      <vt:lpstr>RAttard!SEP_PAY</vt:lpstr>
      <vt:lpstr>RCamilleri!SEP_PAY</vt:lpstr>
      <vt:lpstr>RGaldes!SEP_PAY</vt:lpstr>
      <vt:lpstr>RMallan_Albani!SEP_PAY</vt:lpstr>
      <vt:lpstr>RSreejith!SEP_PAY</vt:lpstr>
      <vt:lpstr>SPare!SEP_PAY</vt:lpstr>
      <vt:lpstr>ZMifsud!SEP_PAY</vt:lpstr>
      <vt:lpstr>AFalzon!sepeesocsec</vt:lpstr>
      <vt:lpstr>AHaneena!sepeesocsec</vt:lpstr>
      <vt:lpstr>AKunnamkudath!sepeesocsec</vt:lpstr>
      <vt:lpstr>DMifsud_Ceci!sepeesocsec</vt:lpstr>
      <vt:lpstr>ECurmi!sepeesocsec</vt:lpstr>
      <vt:lpstr>ELama!sepeesocsec</vt:lpstr>
      <vt:lpstr>KMizzi!sepeesocsec</vt:lpstr>
      <vt:lpstr>LBonnici!sepeesocsec</vt:lpstr>
      <vt:lpstr>LCarini!sepeesocsec</vt:lpstr>
      <vt:lpstr>MAcero_Garzon!sepeesocsec</vt:lpstr>
      <vt:lpstr>MCamilleri!sepeesocsec</vt:lpstr>
      <vt:lpstr>MEllul!sepeesocsec</vt:lpstr>
      <vt:lpstr>NScerri_Esposito!sepeesocsec</vt:lpstr>
      <vt:lpstr>RAcharya!sepeesocsec</vt:lpstr>
      <vt:lpstr>RAttard!sepeesocsec</vt:lpstr>
      <vt:lpstr>RCamilleri!sepeesocsec</vt:lpstr>
      <vt:lpstr>RGaldes!sepeesocsec</vt:lpstr>
      <vt:lpstr>RMallan_Albani!sepeesocsec</vt:lpstr>
      <vt:lpstr>RSreejith!sepeesocsec</vt:lpstr>
      <vt:lpstr>SPare!sepeesocsec</vt:lpstr>
      <vt:lpstr>ZMifsud!sepeesocsec</vt:lpstr>
      <vt:lpstr>AFalzon!SepERSocSec</vt:lpstr>
      <vt:lpstr>AHaneena!SepERSocSec</vt:lpstr>
      <vt:lpstr>AKunnamkudath!SepERSocSec</vt:lpstr>
      <vt:lpstr>DMifsud_Ceci!SepERSocSec</vt:lpstr>
      <vt:lpstr>ECurmi!SepERSocSec</vt:lpstr>
      <vt:lpstr>ELama!SepERSocSec</vt:lpstr>
      <vt:lpstr>KMizzi!SepERSocSec</vt:lpstr>
      <vt:lpstr>LBonnici!SepERSocSec</vt:lpstr>
      <vt:lpstr>LCarini!SepERSocSec</vt:lpstr>
      <vt:lpstr>MAcero_Garzon!SepERSocSec</vt:lpstr>
      <vt:lpstr>MCamilleri!SepERSocSec</vt:lpstr>
      <vt:lpstr>MEllul!SepERSocSec</vt:lpstr>
      <vt:lpstr>NScerri_Esposito!SepERSocSec</vt:lpstr>
      <vt:lpstr>RAcharya!SepERSocSec</vt:lpstr>
      <vt:lpstr>RAttard!SepERSocSec</vt:lpstr>
      <vt:lpstr>RCamilleri!SepERSocSec</vt:lpstr>
      <vt:lpstr>RGaldes!SepERSocSec</vt:lpstr>
      <vt:lpstr>RMallan_Albani!SepERSocSec</vt:lpstr>
      <vt:lpstr>RSreejith!SepERSocSec</vt:lpstr>
      <vt:lpstr>SPare!SepERSocSec</vt:lpstr>
      <vt:lpstr>ZMifsud!SepERSocSec</vt:lpstr>
      <vt:lpstr>AFalzon!sepeuhrs</vt:lpstr>
      <vt:lpstr>AHaneena!sepeuhrs</vt:lpstr>
      <vt:lpstr>AKunnamkudath!sepeuhrs</vt:lpstr>
      <vt:lpstr>DMifsud_Ceci!sepeuhrs</vt:lpstr>
      <vt:lpstr>ECurmi!sepeuhrs</vt:lpstr>
      <vt:lpstr>ELama!sepeuhrs</vt:lpstr>
      <vt:lpstr>KMizzi!sepeuhrs</vt:lpstr>
      <vt:lpstr>LBonnici!sepeuhrs</vt:lpstr>
      <vt:lpstr>LCarini!sepeuhrs</vt:lpstr>
      <vt:lpstr>MAcero_Garzon!sepeuhrs</vt:lpstr>
      <vt:lpstr>MCamilleri!sepeuhrs</vt:lpstr>
      <vt:lpstr>MEllul!sepeuhrs</vt:lpstr>
      <vt:lpstr>NScerri_Esposito!sepeuhrs</vt:lpstr>
      <vt:lpstr>RAcharya!sepeuhrs</vt:lpstr>
      <vt:lpstr>RAttard!sepeuhrs</vt:lpstr>
      <vt:lpstr>RCamilleri!sepeuhrs</vt:lpstr>
      <vt:lpstr>RGaldes!sepeuhrs</vt:lpstr>
      <vt:lpstr>RMallan_Albani!sepeuhrs</vt:lpstr>
      <vt:lpstr>RSreejith!sepeuhrs</vt:lpstr>
      <vt:lpstr>SPare!sepeuhrs</vt:lpstr>
      <vt:lpstr>ZMifsud!sepeuhrs</vt:lpstr>
      <vt:lpstr>'fs7'!sepfsstax</vt:lpstr>
      <vt:lpstr>AFalzon!sepgrs</vt:lpstr>
      <vt:lpstr>AHaneena!sepgrs</vt:lpstr>
      <vt:lpstr>AKunnamkudath!sepgrs</vt:lpstr>
      <vt:lpstr>DMifsud_Ceci!sepgrs</vt:lpstr>
      <vt:lpstr>ECurmi!sepgrs</vt:lpstr>
      <vt:lpstr>ELama!sepgrs</vt:lpstr>
      <vt:lpstr>KMizzi!sepgrs</vt:lpstr>
      <vt:lpstr>LBonnici!sepgrs</vt:lpstr>
      <vt:lpstr>LCarini!sepgrs</vt:lpstr>
      <vt:lpstr>MAcero_Garzon!sepgrs</vt:lpstr>
      <vt:lpstr>MCamilleri!sepgrs</vt:lpstr>
      <vt:lpstr>MEllul!sepgrs</vt:lpstr>
      <vt:lpstr>NScerri_Esposito!sepgrs</vt:lpstr>
      <vt:lpstr>RAcharya!sepgrs</vt:lpstr>
      <vt:lpstr>RAttard!sepgrs</vt:lpstr>
      <vt:lpstr>RCamilleri!sepgrs</vt:lpstr>
      <vt:lpstr>RGaldes!sepgrs</vt:lpstr>
      <vt:lpstr>RMallan_Albani!sepgrs</vt:lpstr>
      <vt:lpstr>RSreejith!sepgrs</vt:lpstr>
      <vt:lpstr>SPare!sepgrs</vt:lpstr>
      <vt:lpstr>ZMifsud!sepgrs</vt:lpstr>
      <vt:lpstr>AFalzon!sephrrt</vt:lpstr>
      <vt:lpstr>AHaneena!sephrrt</vt:lpstr>
      <vt:lpstr>AKunnamkudath!sephrrt</vt:lpstr>
      <vt:lpstr>DMifsud_Ceci!sephrrt</vt:lpstr>
      <vt:lpstr>ECurmi!sephrrt</vt:lpstr>
      <vt:lpstr>ELama!sephrrt</vt:lpstr>
      <vt:lpstr>KMizzi!sephrrt</vt:lpstr>
      <vt:lpstr>LBonnici!sephrrt</vt:lpstr>
      <vt:lpstr>LCarini!sephrrt</vt:lpstr>
      <vt:lpstr>MAcero_Garzon!sephrrt</vt:lpstr>
      <vt:lpstr>MCamilleri!sephrrt</vt:lpstr>
      <vt:lpstr>MEllul!sephrrt</vt:lpstr>
      <vt:lpstr>NScerri_Esposito!sephrrt</vt:lpstr>
      <vt:lpstr>RAcharya!sephrrt</vt:lpstr>
      <vt:lpstr>RAttard!sephrrt</vt:lpstr>
      <vt:lpstr>RCamilleri!sephrrt</vt:lpstr>
      <vt:lpstr>RGaldes!sephrrt</vt:lpstr>
      <vt:lpstr>RMallan_Albani!sephrrt</vt:lpstr>
      <vt:lpstr>RSreejith!sephrrt</vt:lpstr>
      <vt:lpstr>SPare!sephrrt</vt:lpstr>
      <vt:lpstr>ZMifsud!sephrrt</vt:lpstr>
      <vt:lpstr>AFalzon!sepmlf</vt:lpstr>
      <vt:lpstr>AHaneena!sepmlf</vt:lpstr>
      <vt:lpstr>AKunnamkudath!sepmlf</vt:lpstr>
      <vt:lpstr>DMifsud_Ceci!sepmlf</vt:lpstr>
      <vt:lpstr>ECurmi!sepmlf</vt:lpstr>
      <vt:lpstr>ELama!sepmlf</vt:lpstr>
      <vt:lpstr>'fs7'!sepmlf</vt:lpstr>
      <vt:lpstr>KMizzi!sepmlf</vt:lpstr>
      <vt:lpstr>LBonnici!sepmlf</vt:lpstr>
      <vt:lpstr>LCarini!sepmlf</vt:lpstr>
      <vt:lpstr>MAcero_Garzon!sepmlf</vt:lpstr>
      <vt:lpstr>MCamilleri!sepmlf</vt:lpstr>
      <vt:lpstr>MEllul!sepmlf</vt:lpstr>
      <vt:lpstr>NScerri_Esposito!sepmlf</vt:lpstr>
      <vt:lpstr>RAcharya!sepmlf</vt:lpstr>
      <vt:lpstr>RAttard!sepmlf</vt:lpstr>
      <vt:lpstr>RCamilleri!sepmlf</vt:lpstr>
      <vt:lpstr>RGaldes!sepmlf</vt:lpstr>
      <vt:lpstr>RMallan_Albani!sepmlf</vt:lpstr>
      <vt:lpstr>RSreejith!sepmlf</vt:lpstr>
      <vt:lpstr>SPare!sepmlf</vt:lpstr>
      <vt:lpstr>ZMifsud!sepmlf</vt:lpstr>
      <vt:lpstr>AFalzon!sepoth</vt:lpstr>
      <vt:lpstr>AHaneena!sepoth</vt:lpstr>
      <vt:lpstr>AKunnamkudath!sepoth</vt:lpstr>
      <vt:lpstr>DMifsud_Ceci!sepoth</vt:lpstr>
      <vt:lpstr>ECurmi!sepoth</vt:lpstr>
      <vt:lpstr>ELama!sepoth</vt:lpstr>
      <vt:lpstr>KMizzi!sepoth</vt:lpstr>
      <vt:lpstr>LBonnici!sepoth</vt:lpstr>
      <vt:lpstr>LCarini!sepoth</vt:lpstr>
      <vt:lpstr>MAcero_Garzon!sepoth</vt:lpstr>
      <vt:lpstr>MCamilleri!sepoth</vt:lpstr>
      <vt:lpstr>MEllul!sepoth</vt:lpstr>
      <vt:lpstr>NScerri_Esposito!sepoth</vt:lpstr>
      <vt:lpstr>RAcharya!sepoth</vt:lpstr>
      <vt:lpstr>RAttard!sepoth</vt:lpstr>
      <vt:lpstr>RCamilleri!sepoth</vt:lpstr>
      <vt:lpstr>RGaldes!sepoth</vt:lpstr>
      <vt:lpstr>RMallan_Albani!sepoth</vt:lpstr>
      <vt:lpstr>RSreejith!sepoth</vt:lpstr>
      <vt:lpstr>SPare!sepoth</vt:lpstr>
      <vt:lpstr>ZMifsud!sepoth</vt:lpstr>
      <vt:lpstr>AFalzon!seppb</vt:lpstr>
      <vt:lpstr>AHaneena!seppb</vt:lpstr>
      <vt:lpstr>AKunnamkudath!seppb</vt:lpstr>
      <vt:lpstr>DMifsud_Ceci!seppb</vt:lpstr>
      <vt:lpstr>ECurmi!seppb</vt:lpstr>
      <vt:lpstr>ELama!seppb</vt:lpstr>
      <vt:lpstr>KMizzi!seppb</vt:lpstr>
      <vt:lpstr>LBonnici!seppb</vt:lpstr>
      <vt:lpstr>LCarini!seppb</vt:lpstr>
      <vt:lpstr>MAcero_Garzon!seppb</vt:lpstr>
      <vt:lpstr>MCamilleri!seppb</vt:lpstr>
      <vt:lpstr>MEllul!seppb</vt:lpstr>
      <vt:lpstr>NScerri_Esposito!seppb</vt:lpstr>
      <vt:lpstr>RAcharya!seppb</vt:lpstr>
      <vt:lpstr>RAttard!seppb</vt:lpstr>
      <vt:lpstr>RCamilleri!seppb</vt:lpstr>
      <vt:lpstr>RGaldes!seppb</vt:lpstr>
      <vt:lpstr>RMallan_Albani!seppb</vt:lpstr>
      <vt:lpstr>RSreejith!seppb</vt:lpstr>
      <vt:lpstr>SPare!seppb</vt:lpstr>
      <vt:lpstr>ZMifsud!seppb</vt:lpstr>
      <vt:lpstr>AFalzon!sepsb</vt:lpstr>
      <vt:lpstr>AHaneena!sepsb</vt:lpstr>
      <vt:lpstr>AKunnamkudath!sepsb</vt:lpstr>
      <vt:lpstr>DMifsud_Ceci!sepsb</vt:lpstr>
      <vt:lpstr>ECurmi!sepsb</vt:lpstr>
      <vt:lpstr>ELama!sepsb</vt:lpstr>
      <vt:lpstr>KMizzi!sepsb</vt:lpstr>
      <vt:lpstr>LBonnici!sepsb</vt:lpstr>
      <vt:lpstr>LCarini!sepsb</vt:lpstr>
      <vt:lpstr>MAcero_Garzon!sepsb</vt:lpstr>
      <vt:lpstr>MCamilleri!sepsb</vt:lpstr>
      <vt:lpstr>MEllul!sepsb</vt:lpstr>
      <vt:lpstr>NScerri_Esposito!sepsb</vt:lpstr>
      <vt:lpstr>RAcharya!sepsb</vt:lpstr>
      <vt:lpstr>RAttard!sepsb</vt:lpstr>
      <vt:lpstr>RCamilleri!sepsb</vt:lpstr>
      <vt:lpstr>RGaldes!sepsb</vt:lpstr>
      <vt:lpstr>RMallan_Albani!sepsb</vt:lpstr>
      <vt:lpstr>RSreejith!sepsb</vt:lpstr>
      <vt:lpstr>SPare!sepsb</vt:lpstr>
      <vt:lpstr>ZMifsud!sepsb</vt:lpstr>
      <vt:lpstr>'fs7'!sepssc</vt:lpstr>
      <vt:lpstr>AFalzon!sepULHr</vt:lpstr>
      <vt:lpstr>AHaneena!sepULHr</vt:lpstr>
      <vt:lpstr>AKunnamkudath!sepULHr</vt:lpstr>
      <vt:lpstr>DMifsud_Ceci!sepULHr</vt:lpstr>
      <vt:lpstr>ECurmi!sepULHr</vt:lpstr>
      <vt:lpstr>ELama!sepULHr</vt:lpstr>
      <vt:lpstr>KMizzi!sepULHr</vt:lpstr>
      <vt:lpstr>LBonnici!sepULHr</vt:lpstr>
      <vt:lpstr>LCarini!sepULHr</vt:lpstr>
      <vt:lpstr>MAcero_Garzon!sepULHr</vt:lpstr>
      <vt:lpstr>MCamilleri!sepULHr</vt:lpstr>
      <vt:lpstr>MEllul!sepULHr</vt:lpstr>
      <vt:lpstr>NScerri_Esposito!sepULHr</vt:lpstr>
      <vt:lpstr>RAcharya!sepULHr</vt:lpstr>
      <vt:lpstr>RAttard!sepULHr</vt:lpstr>
      <vt:lpstr>RCamilleri!sepULHr</vt:lpstr>
      <vt:lpstr>RGaldes!sepULHr</vt:lpstr>
      <vt:lpstr>RMallan_Albani!sepULHr</vt:lpstr>
      <vt:lpstr>RSreejith!sepULHr</vt:lpstr>
      <vt:lpstr>SPare!sepULHr</vt:lpstr>
      <vt:lpstr>ZMifsud!sepULHr</vt:lpstr>
      <vt:lpstr>sing1ded</vt:lpstr>
      <vt:lpstr>sing1rate</vt:lpstr>
      <vt:lpstr>sing2ded</vt:lpstr>
      <vt:lpstr>sing2rate</vt:lpstr>
      <vt:lpstr>sing3ded</vt:lpstr>
      <vt:lpstr>sing3rate</vt:lpstr>
      <vt:lpstr>sing4ded</vt:lpstr>
      <vt:lpstr>sing4rate</vt:lpstr>
      <vt:lpstr>sing5ded</vt:lpstr>
      <vt:lpstr>sing5rate</vt:lpstr>
      <vt:lpstr>Single_Rates</vt:lpstr>
      <vt:lpstr>singlemaxrate</vt:lpstr>
      <vt:lpstr>FEB_FS5!SINMAX1</vt:lpstr>
      <vt:lpstr>'FS3 Filling sheet'!SINMAX1</vt:lpstr>
      <vt:lpstr>'fs7'!SINMAX1</vt:lpstr>
      <vt:lpstr>JAN_FS5!SINMAX1</vt:lpstr>
      <vt:lpstr>MAR_FS5!SINMAX1</vt:lpstr>
      <vt:lpstr>'ss filling sheet'!SINMAX1</vt:lpstr>
      <vt:lpstr>SINMAX1</vt:lpstr>
      <vt:lpstr>FEB_FS5!SINMAX2</vt:lpstr>
      <vt:lpstr>'FS3 Filling sheet'!SINMAX2</vt:lpstr>
      <vt:lpstr>'fs7'!SINMAX2</vt:lpstr>
      <vt:lpstr>JAN_FS5!SINMAX2</vt:lpstr>
      <vt:lpstr>MAR_FS5!SINMAX2</vt:lpstr>
      <vt:lpstr>'ss filling sheet'!SINMAX2</vt:lpstr>
      <vt:lpstr>SINMAX2</vt:lpstr>
      <vt:lpstr>FEB_FS5!SINMAX3</vt:lpstr>
      <vt:lpstr>'FS3 Filling sheet'!SINMAX3</vt:lpstr>
      <vt:lpstr>'fs7'!SINMAX3</vt:lpstr>
      <vt:lpstr>JAN_FS5!SINMAX3</vt:lpstr>
      <vt:lpstr>MAR_FS5!SINMAX3</vt:lpstr>
      <vt:lpstr>'ss filling sheet'!SINMAX3</vt:lpstr>
      <vt:lpstr>SINMAX3</vt:lpstr>
      <vt:lpstr>FEB_FS5!SINMAX4</vt:lpstr>
      <vt:lpstr>'FS3 Filling sheet'!SINMAX4</vt:lpstr>
      <vt:lpstr>'fs7'!SINMAX4</vt:lpstr>
      <vt:lpstr>JAN_FS5!SINMAX4</vt:lpstr>
      <vt:lpstr>MAR_FS5!SINMAX4</vt:lpstr>
      <vt:lpstr>'ss filling sheet'!SINMAX4</vt:lpstr>
      <vt:lpstr>SINMAX4</vt:lpstr>
      <vt:lpstr>Sintab</vt:lpstr>
      <vt:lpstr>AFalzon!SOCSec</vt:lpstr>
      <vt:lpstr>AHaneena!SOCSec</vt:lpstr>
      <vt:lpstr>AKunnamkudath!SOCSec</vt:lpstr>
      <vt:lpstr>DMifsud_Ceci!SOCSec</vt:lpstr>
      <vt:lpstr>ECurmi!SOCSec</vt:lpstr>
      <vt:lpstr>ELama!SOCSec</vt:lpstr>
      <vt:lpstr>KMizzi!SOCSec</vt:lpstr>
      <vt:lpstr>LBonnici!SOCSec</vt:lpstr>
      <vt:lpstr>LCarini!SOCSec</vt:lpstr>
      <vt:lpstr>MAcero_Garzon!SOCSec</vt:lpstr>
      <vt:lpstr>MCamilleri!SOCSec</vt:lpstr>
      <vt:lpstr>MEllul!SOCSec</vt:lpstr>
      <vt:lpstr>NScerri_Esposito!SOCSec</vt:lpstr>
      <vt:lpstr>RAcharya!SOCSec</vt:lpstr>
      <vt:lpstr>RAttard!SOCSec</vt:lpstr>
      <vt:lpstr>RCamilleri!SOCSec</vt:lpstr>
      <vt:lpstr>RGaldes!SOCSec</vt:lpstr>
      <vt:lpstr>RMallan_Albani!SOCSec</vt:lpstr>
      <vt:lpstr>RSreejith!SOCSec</vt:lpstr>
      <vt:lpstr>SPare!SOCSec</vt:lpstr>
      <vt:lpstr>ZMifsud!SOCSec</vt:lpstr>
      <vt:lpstr>FEB_FS5!SOCSECCRATE</vt:lpstr>
      <vt:lpstr>'FS3 Filling sheet'!SOCSECCRATE</vt:lpstr>
      <vt:lpstr>'fs7'!SOCSECCRATE</vt:lpstr>
      <vt:lpstr>JAN_FS5!SOCSECCRATE</vt:lpstr>
      <vt:lpstr>MAR_FS5!SOCSECCRATE</vt:lpstr>
      <vt:lpstr>'ss filling sheet'!SOCSECCRATE</vt:lpstr>
      <vt:lpstr>SOCSECCRATE</vt:lpstr>
      <vt:lpstr>socsecrateC</vt:lpstr>
      <vt:lpstr>FEB_FS5!socsecrateD</vt:lpstr>
      <vt:lpstr>'FS3 Filling sheet'!socsecrateD</vt:lpstr>
      <vt:lpstr>'fs7'!socsecrateD</vt:lpstr>
      <vt:lpstr>JAN_FS5!socsecrateD</vt:lpstr>
      <vt:lpstr>MAR_FS5!socsecrateD</vt:lpstr>
      <vt:lpstr>'ss filling sheet'!socsecrateD</vt:lpstr>
      <vt:lpstr>socsecrateD</vt:lpstr>
      <vt:lpstr>AFalzon!SpouseId</vt:lpstr>
      <vt:lpstr>AHaneena!SpouseId</vt:lpstr>
      <vt:lpstr>AKunnamkudath!SpouseId</vt:lpstr>
      <vt:lpstr>DMifsud_Ceci!SpouseId</vt:lpstr>
      <vt:lpstr>ECurmi!SpouseId</vt:lpstr>
      <vt:lpstr>ELama!SpouseId</vt:lpstr>
      <vt:lpstr>KMizzi!SpouseId</vt:lpstr>
      <vt:lpstr>LBonnici!SpouseId</vt:lpstr>
      <vt:lpstr>LCarini!SpouseId</vt:lpstr>
      <vt:lpstr>MAcero_Garzon!SpouseId</vt:lpstr>
      <vt:lpstr>MCamilleri!SpouseId</vt:lpstr>
      <vt:lpstr>MEllul!SpouseId</vt:lpstr>
      <vt:lpstr>NScerri_Esposito!SpouseId</vt:lpstr>
      <vt:lpstr>RAcharya!SpouseId</vt:lpstr>
      <vt:lpstr>RAttard!SpouseId</vt:lpstr>
      <vt:lpstr>RCamilleri!SpouseId</vt:lpstr>
      <vt:lpstr>RGaldes!SpouseId</vt:lpstr>
      <vt:lpstr>RMallan_Albani!SpouseId</vt:lpstr>
      <vt:lpstr>RSreejith!SpouseId</vt:lpstr>
      <vt:lpstr>SPare!SpouseId</vt:lpstr>
      <vt:lpstr>ZMifsud!SpouseId</vt:lpstr>
      <vt:lpstr>SSCAemployermultiplier</vt:lpstr>
      <vt:lpstr>SSCAmlfmultiplier</vt:lpstr>
      <vt:lpstr>FEB_FS5!SSCBemployermultiplier</vt:lpstr>
      <vt:lpstr>'FS3 Filling sheet'!SSCBemployermultiplier</vt:lpstr>
      <vt:lpstr>'fs7'!SSCBemployermultiplier</vt:lpstr>
      <vt:lpstr>JAN_FS5!SSCBemployermultiplier</vt:lpstr>
      <vt:lpstr>MAR_FS5!SSCBemployermultiplier</vt:lpstr>
      <vt:lpstr>'ss filling sheet'!SSCBemployermultiplier</vt:lpstr>
      <vt:lpstr>SSCBemployermultiplier</vt:lpstr>
      <vt:lpstr>FEB_FS5!SSCBmlfmultiplier</vt:lpstr>
      <vt:lpstr>'FS3 Filling sheet'!SSCBmlfmultiplier</vt:lpstr>
      <vt:lpstr>'fs7'!SSCBmlfmultiplier</vt:lpstr>
      <vt:lpstr>JAN_FS5!SSCBmlfmultiplier</vt:lpstr>
      <vt:lpstr>MAR_FS5!SSCBmlfmultiplier</vt:lpstr>
      <vt:lpstr>'ss filling sheet'!SSCBmlfmultiplier</vt:lpstr>
      <vt:lpstr>SSCBmlfmultiplier</vt:lpstr>
      <vt:lpstr>SSCcatAMAX</vt:lpstr>
      <vt:lpstr>FEB_FS5!SSCcatBMAX</vt:lpstr>
      <vt:lpstr>'FS3 Filling sheet'!SSCcatBMAX</vt:lpstr>
      <vt:lpstr>'fs7'!SSCcatBMAX</vt:lpstr>
      <vt:lpstr>JAN_FS5!SSCcatBMAX</vt:lpstr>
      <vt:lpstr>MAR_FS5!SSCcatBMAX</vt:lpstr>
      <vt:lpstr>'ss filling sheet'!SSCcatBMAX</vt:lpstr>
      <vt:lpstr>Summary!SSCcatBMAX</vt:lpstr>
      <vt:lpstr>SSCcatBMAX</vt:lpstr>
      <vt:lpstr>FEB_FS5!SSCcatCMAX</vt:lpstr>
      <vt:lpstr>'FS3 Filling sheet'!SSCcatCMAX</vt:lpstr>
      <vt:lpstr>'fs7'!SSCcatCMAX</vt:lpstr>
      <vt:lpstr>JAN_FS5!SSCcatCMAX</vt:lpstr>
      <vt:lpstr>MAR_FS5!SSCcatCMAX</vt:lpstr>
      <vt:lpstr>'ss filling sheet'!SSCcatCMAX</vt:lpstr>
      <vt:lpstr>Summary!SSCcatCMAX</vt:lpstr>
      <vt:lpstr>SSCcatCMAX</vt:lpstr>
      <vt:lpstr>SSCcatDMAX</vt:lpstr>
      <vt:lpstr>SSCcatDMin</vt:lpstr>
      <vt:lpstr>SSCCemployermultiplier</vt:lpstr>
      <vt:lpstr>FEB_FS5!SSCCmlfmultiplier</vt:lpstr>
      <vt:lpstr>'FS3 Filling sheet'!SSCCmlfmultiplier</vt:lpstr>
      <vt:lpstr>'fs7'!SSCCmlfmultiplier</vt:lpstr>
      <vt:lpstr>JAN_FS5!SSCCmlfmultiplier</vt:lpstr>
      <vt:lpstr>MAR_FS5!SSCCmlfmultiplier</vt:lpstr>
      <vt:lpstr>'ss filling sheet'!SSCCmlfmultiplier</vt:lpstr>
      <vt:lpstr>SSCCmlfmultiplier</vt:lpstr>
      <vt:lpstr>FEB_FS5!SSCDmlfmultiplier</vt:lpstr>
      <vt:lpstr>'FS3 Filling sheet'!SSCDmlfmultiplier</vt:lpstr>
      <vt:lpstr>'fs7'!SSCDmlfmultiplier</vt:lpstr>
      <vt:lpstr>JAN_FS5!SSCDmlfmultiplier</vt:lpstr>
      <vt:lpstr>MAR_FS5!SSCDmlfmultiplier</vt:lpstr>
      <vt:lpstr>'ss filling sheet'!SSCDmlfmultiplier</vt:lpstr>
      <vt:lpstr>SSCDmlfmultiplier</vt:lpstr>
      <vt:lpstr>SStable</vt:lpstr>
      <vt:lpstr>AFalzon!StartEmp</vt:lpstr>
      <vt:lpstr>AHaneena!StartEmp</vt:lpstr>
      <vt:lpstr>AKunnamkudath!StartEmp</vt:lpstr>
      <vt:lpstr>DMifsud_Ceci!StartEmp</vt:lpstr>
      <vt:lpstr>ECurmi!StartEmp</vt:lpstr>
      <vt:lpstr>ELama!StartEmp</vt:lpstr>
      <vt:lpstr>JAN_FS5!StartEmp</vt:lpstr>
      <vt:lpstr>KMizzi!StartEmp</vt:lpstr>
      <vt:lpstr>LBonnici!StartEmp</vt:lpstr>
      <vt:lpstr>LCarini!StartEmp</vt:lpstr>
      <vt:lpstr>MAcero_Garzon!StartEmp</vt:lpstr>
      <vt:lpstr>MCamilleri!StartEmp</vt:lpstr>
      <vt:lpstr>MEllul!StartEmp</vt:lpstr>
      <vt:lpstr>NOV_FS5!StartEmp</vt:lpstr>
      <vt:lpstr>NScerri_Esposito!StartEmp</vt:lpstr>
      <vt:lpstr>OCT_FS5!StartEmp</vt:lpstr>
      <vt:lpstr>RAcharya!StartEmp</vt:lpstr>
      <vt:lpstr>RAttard!StartEmp</vt:lpstr>
      <vt:lpstr>RCamilleri!StartEmp</vt:lpstr>
      <vt:lpstr>RGaldes!StartEmp</vt:lpstr>
      <vt:lpstr>RMallan_Albani!StartEmp</vt:lpstr>
      <vt:lpstr>RSreejith!StartEmp</vt:lpstr>
      <vt:lpstr>SPare!StartEmp</vt:lpstr>
      <vt:lpstr>ZMifsud!StartEmp</vt:lpstr>
      <vt:lpstr>AFalzon!Str</vt:lpstr>
      <vt:lpstr>AHaneena!Str</vt:lpstr>
      <vt:lpstr>AKunnamkudath!Str</vt:lpstr>
      <vt:lpstr>DMifsud_Ceci!Str</vt:lpstr>
      <vt:lpstr>ECurmi!Str</vt:lpstr>
      <vt:lpstr>ELama!Str</vt:lpstr>
      <vt:lpstr>KMizzi!Str</vt:lpstr>
      <vt:lpstr>LBonnici!Str</vt:lpstr>
      <vt:lpstr>LCarini!Str</vt:lpstr>
      <vt:lpstr>MAcero_Garzon!Str</vt:lpstr>
      <vt:lpstr>MCamilleri!Str</vt:lpstr>
      <vt:lpstr>MEllul!Str</vt:lpstr>
      <vt:lpstr>NScerri_Esposito!Str</vt:lpstr>
      <vt:lpstr>RAcharya!Str</vt:lpstr>
      <vt:lpstr>RAttard!Str</vt:lpstr>
      <vt:lpstr>RCamilleri!Str</vt:lpstr>
      <vt:lpstr>RGaldes!Str</vt:lpstr>
      <vt:lpstr>RMallan_Albani!Str</vt:lpstr>
      <vt:lpstr>RSreejith!Str</vt:lpstr>
      <vt:lpstr>SPare!Str</vt:lpstr>
      <vt:lpstr>ZMifsud!Str</vt:lpstr>
      <vt:lpstr>AFalzon!Surname</vt:lpstr>
      <vt:lpstr>AHaneena!Surname</vt:lpstr>
      <vt:lpstr>AKunnamkudath!Surname</vt:lpstr>
      <vt:lpstr>DMifsud_Ceci!Surname</vt:lpstr>
      <vt:lpstr>ECurmi!Surname</vt:lpstr>
      <vt:lpstr>ELama!Surname</vt:lpstr>
      <vt:lpstr>JAN_FS5!Surname</vt:lpstr>
      <vt:lpstr>KMizzi!Surname</vt:lpstr>
      <vt:lpstr>LBonnici!Surname</vt:lpstr>
      <vt:lpstr>LCarini!Surname</vt:lpstr>
      <vt:lpstr>MAcero_Garzon!Surname</vt:lpstr>
      <vt:lpstr>MCamilleri!Surname</vt:lpstr>
      <vt:lpstr>MEllul!Surname</vt:lpstr>
      <vt:lpstr>NOV_FS5!Surname</vt:lpstr>
      <vt:lpstr>NScerri_Esposito!Surname</vt:lpstr>
      <vt:lpstr>OCT_FS5!Surname</vt:lpstr>
      <vt:lpstr>RAcharya!Surname</vt:lpstr>
      <vt:lpstr>RAttard!Surname</vt:lpstr>
      <vt:lpstr>RCamilleri!Surname</vt:lpstr>
      <vt:lpstr>RGaldes!Surname</vt:lpstr>
      <vt:lpstr>RMallan_Albani!Surname</vt:lpstr>
      <vt:lpstr>RSreejith!Surname</vt:lpstr>
      <vt:lpstr>SPare!Surname</vt:lpstr>
      <vt:lpstr>ZMifsud!Surname</vt:lpstr>
      <vt:lpstr>AFalzon!taxdeduct</vt:lpstr>
      <vt:lpstr>AHaneena!taxdeduct</vt:lpstr>
      <vt:lpstr>AKunnamkudath!taxdeduct</vt:lpstr>
      <vt:lpstr>DMifsud_Ceci!taxdeduct</vt:lpstr>
      <vt:lpstr>ECurmi!taxdeduct</vt:lpstr>
      <vt:lpstr>ELama!taxdeduct</vt:lpstr>
      <vt:lpstr>KMizzi!taxdeduct</vt:lpstr>
      <vt:lpstr>LBonnici!taxdeduct</vt:lpstr>
      <vt:lpstr>LCarini!taxdeduct</vt:lpstr>
      <vt:lpstr>MAcero_Garzon!taxdeduct</vt:lpstr>
      <vt:lpstr>MCamilleri!taxdeduct</vt:lpstr>
      <vt:lpstr>MEllul!taxdeduct</vt:lpstr>
      <vt:lpstr>NScerri_Esposito!taxdeduct</vt:lpstr>
      <vt:lpstr>RAcharya!taxdeduct</vt:lpstr>
      <vt:lpstr>RAttard!taxdeduct</vt:lpstr>
      <vt:lpstr>RCamilleri!taxdeduct</vt:lpstr>
      <vt:lpstr>RGaldes!taxdeduct</vt:lpstr>
      <vt:lpstr>RMallan_Albani!taxdeduct</vt:lpstr>
      <vt:lpstr>RSreejith!taxdeduct</vt:lpstr>
      <vt:lpstr>SPare!taxdeduct</vt:lpstr>
      <vt:lpstr>ZMifsud!taxdeduct</vt:lpstr>
      <vt:lpstr>AFalzon!taxpercent</vt:lpstr>
      <vt:lpstr>AHaneena!taxpercent</vt:lpstr>
      <vt:lpstr>AKunnamkudath!taxpercent</vt:lpstr>
      <vt:lpstr>DMifsud_Ceci!taxpercent</vt:lpstr>
      <vt:lpstr>ECurmi!taxpercent</vt:lpstr>
      <vt:lpstr>ELama!taxpercent</vt:lpstr>
      <vt:lpstr>KMizzi!taxpercent</vt:lpstr>
      <vt:lpstr>LBonnici!taxpercent</vt:lpstr>
      <vt:lpstr>LCarini!taxpercent</vt:lpstr>
      <vt:lpstr>MAcero_Garzon!taxpercent</vt:lpstr>
      <vt:lpstr>MCamilleri!taxpercent</vt:lpstr>
      <vt:lpstr>MEllul!taxpercent</vt:lpstr>
      <vt:lpstr>NScerri_Esposito!taxpercent</vt:lpstr>
      <vt:lpstr>RAcharya!taxpercent</vt:lpstr>
      <vt:lpstr>RAttard!taxpercent</vt:lpstr>
      <vt:lpstr>RCamilleri!taxpercent</vt:lpstr>
      <vt:lpstr>RGaldes!taxpercent</vt:lpstr>
      <vt:lpstr>RMallan_Albani!taxpercent</vt:lpstr>
      <vt:lpstr>RSreejith!taxpercent</vt:lpstr>
      <vt:lpstr>SPare!taxpercent</vt:lpstr>
      <vt:lpstr>ZMifsud!taxpercent</vt:lpstr>
      <vt:lpstr>AFalzon!Telephone_Number</vt:lpstr>
      <vt:lpstr>AHaneena!Telephone_Number</vt:lpstr>
      <vt:lpstr>AKunnamkudath!Telephone_Number</vt:lpstr>
      <vt:lpstr>DMifsud_Ceci!Telephone_Number</vt:lpstr>
      <vt:lpstr>ECurmi!Telephone_Number</vt:lpstr>
      <vt:lpstr>ELama!Telephone_Number</vt:lpstr>
      <vt:lpstr>KMizzi!Telephone_Number</vt:lpstr>
      <vt:lpstr>LBonnici!Telephone_Number</vt:lpstr>
      <vt:lpstr>LCarini!Telephone_Number</vt:lpstr>
      <vt:lpstr>MAcero_Garzon!Telephone_Number</vt:lpstr>
      <vt:lpstr>MCamilleri!Telephone_Number</vt:lpstr>
      <vt:lpstr>MEllul!Telephone_Number</vt:lpstr>
      <vt:lpstr>NScerri_Esposito!Telephone_Number</vt:lpstr>
      <vt:lpstr>RAcharya!Telephone_Number</vt:lpstr>
      <vt:lpstr>RAttard!Telephone_Number</vt:lpstr>
      <vt:lpstr>RCamilleri!Telephone_Number</vt:lpstr>
      <vt:lpstr>RGaldes!Telephone_Number</vt:lpstr>
      <vt:lpstr>RMallan_Albani!Telephone_Number</vt:lpstr>
      <vt:lpstr>RSreejith!Telephone_Number</vt:lpstr>
      <vt:lpstr>SPare!Telephone_Number</vt:lpstr>
      <vt:lpstr>ZMifsud!Telephone_Number</vt:lpstr>
      <vt:lpstr>AFalzon!TERMDATE</vt:lpstr>
      <vt:lpstr>AHaneena!TERMDATE</vt:lpstr>
      <vt:lpstr>AKunnamkudath!TERMDATE</vt:lpstr>
      <vt:lpstr>DMifsud_Ceci!TERMDATE</vt:lpstr>
      <vt:lpstr>ECurmi!TERMDATE</vt:lpstr>
      <vt:lpstr>ELama!TERMDATE</vt:lpstr>
      <vt:lpstr>JAN_FS5!TERMDATE</vt:lpstr>
      <vt:lpstr>KMizzi!TERMDATE</vt:lpstr>
      <vt:lpstr>LBonnici!TERMDATE</vt:lpstr>
      <vt:lpstr>LCarini!TERMDATE</vt:lpstr>
      <vt:lpstr>MAcero_Garzon!TERMDATE</vt:lpstr>
      <vt:lpstr>MCamilleri!TERMDATE</vt:lpstr>
      <vt:lpstr>MEllul!TERMDATE</vt:lpstr>
      <vt:lpstr>NOV_FS5!TERMDATE</vt:lpstr>
      <vt:lpstr>NScerri_Esposito!TERMDATE</vt:lpstr>
      <vt:lpstr>OCT_FS5!TERMDATE</vt:lpstr>
      <vt:lpstr>RAcharya!TERMDATE</vt:lpstr>
      <vt:lpstr>RAttard!TERMDATE</vt:lpstr>
      <vt:lpstr>RCamilleri!TERMDATE</vt:lpstr>
      <vt:lpstr>RGaldes!TERMDATE</vt:lpstr>
      <vt:lpstr>RMallan_Albani!TERMDATE</vt:lpstr>
      <vt:lpstr>RSreejith!TERMDATE</vt:lpstr>
      <vt:lpstr>SPare!TERMDATE</vt:lpstr>
      <vt:lpstr>ZMifsud!TERMDATE</vt:lpstr>
      <vt:lpstr>AFalzon!Timer</vt:lpstr>
      <vt:lpstr>AHaneena!Timer</vt:lpstr>
      <vt:lpstr>AKunnamkudath!Timer</vt:lpstr>
      <vt:lpstr>DMifsud_Ceci!Timer</vt:lpstr>
      <vt:lpstr>ECurmi!Timer</vt:lpstr>
      <vt:lpstr>ELama!Timer</vt:lpstr>
      <vt:lpstr>KMizzi!Timer</vt:lpstr>
      <vt:lpstr>LBonnici!Timer</vt:lpstr>
      <vt:lpstr>LCarini!Timer</vt:lpstr>
      <vt:lpstr>MAcero_Garzon!Timer</vt:lpstr>
      <vt:lpstr>MCamilleri!Timer</vt:lpstr>
      <vt:lpstr>MEllul!Timer</vt:lpstr>
      <vt:lpstr>NScerri_Esposito!Timer</vt:lpstr>
      <vt:lpstr>RAcharya!Timer</vt:lpstr>
      <vt:lpstr>RAttard!Timer</vt:lpstr>
      <vt:lpstr>RCamilleri!Timer</vt:lpstr>
      <vt:lpstr>RGaldes!Timer</vt:lpstr>
      <vt:lpstr>RMallan_Albani!Timer</vt:lpstr>
      <vt:lpstr>RSreejith!Timer</vt:lpstr>
      <vt:lpstr>SPare!Timer</vt:lpstr>
      <vt:lpstr>ZMifsud!Timer</vt:lpstr>
      <vt:lpstr>SumDiv!TitleDivSum</vt:lpstr>
      <vt:lpstr>AFalzon!wwapr</vt:lpstr>
      <vt:lpstr>AHaneena!wwapr</vt:lpstr>
      <vt:lpstr>AKunnamkudath!wwapr</vt:lpstr>
      <vt:lpstr>DMifsud_Ceci!wwapr</vt:lpstr>
      <vt:lpstr>ECurmi!wwapr</vt:lpstr>
      <vt:lpstr>ELama!wwapr</vt:lpstr>
      <vt:lpstr>KMizzi!wwapr</vt:lpstr>
      <vt:lpstr>LBonnici!wwapr</vt:lpstr>
      <vt:lpstr>LCarini!wwapr</vt:lpstr>
      <vt:lpstr>MAcero_Garzon!wwapr</vt:lpstr>
      <vt:lpstr>MCamilleri!wwapr</vt:lpstr>
      <vt:lpstr>MEllul!wwapr</vt:lpstr>
      <vt:lpstr>NScerri_Esposito!wwapr</vt:lpstr>
      <vt:lpstr>RAcharya!wwapr</vt:lpstr>
      <vt:lpstr>RAttard!wwapr</vt:lpstr>
      <vt:lpstr>RCamilleri!wwapr</vt:lpstr>
      <vt:lpstr>RGaldes!wwapr</vt:lpstr>
      <vt:lpstr>RMallan_Albani!wwapr</vt:lpstr>
      <vt:lpstr>RSreejith!wwapr</vt:lpstr>
      <vt:lpstr>SPare!wwapr</vt:lpstr>
      <vt:lpstr>ZMifsud!wwapr</vt:lpstr>
      <vt:lpstr>AFalzon!wwaug</vt:lpstr>
      <vt:lpstr>AHaneena!wwaug</vt:lpstr>
      <vt:lpstr>AKunnamkudath!wwaug</vt:lpstr>
      <vt:lpstr>DMifsud_Ceci!wwaug</vt:lpstr>
      <vt:lpstr>ECurmi!wwaug</vt:lpstr>
      <vt:lpstr>ELama!wwaug</vt:lpstr>
      <vt:lpstr>KMizzi!wwaug</vt:lpstr>
      <vt:lpstr>LBonnici!wwaug</vt:lpstr>
      <vt:lpstr>LCarini!wwaug</vt:lpstr>
      <vt:lpstr>MAcero_Garzon!wwaug</vt:lpstr>
      <vt:lpstr>MCamilleri!wwaug</vt:lpstr>
      <vt:lpstr>MEllul!wwaug</vt:lpstr>
      <vt:lpstr>NScerri_Esposito!wwaug</vt:lpstr>
      <vt:lpstr>RAcharya!wwaug</vt:lpstr>
      <vt:lpstr>RAttard!wwaug</vt:lpstr>
      <vt:lpstr>RCamilleri!wwaug</vt:lpstr>
      <vt:lpstr>RGaldes!wwaug</vt:lpstr>
      <vt:lpstr>RMallan_Albani!wwaug</vt:lpstr>
      <vt:lpstr>RSreejith!wwaug</vt:lpstr>
      <vt:lpstr>SPare!wwaug</vt:lpstr>
      <vt:lpstr>ZMifsud!wwaug</vt:lpstr>
      <vt:lpstr>AFalzon!wwdec</vt:lpstr>
      <vt:lpstr>AHaneena!wwdec</vt:lpstr>
      <vt:lpstr>AKunnamkudath!wwdec</vt:lpstr>
      <vt:lpstr>DMifsud_Ceci!wwdec</vt:lpstr>
      <vt:lpstr>ECurmi!wwdec</vt:lpstr>
      <vt:lpstr>ELama!wwdec</vt:lpstr>
      <vt:lpstr>KMizzi!wwdec</vt:lpstr>
      <vt:lpstr>LBonnici!wwdec</vt:lpstr>
      <vt:lpstr>LCarini!wwdec</vt:lpstr>
      <vt:lpstr>MAcero_Garzon!wwdec</vt:lpstr>
      <vt:lpstr>MCamilleri!wwdec</vt:lpstr>
      <vt:lpstr>MEllul!wwdec</vt:lpstr>
      <vt:lpstr>NScerri_Esposito!wwdec</vt:lpstr>
      <vt:lpstr>RAcharya!wwdec</vt:lpstr>
      <vt:lpstr>RAttard!wwdec</vt:lpstr>
      <vt:lpstr>RCamilleri!wwdec</vt:lpstr>
      <vt:lpstr>RGaldes!wwdec</vt:lpstr>
      <vt:lpstr>RMallan_Albani!wwdec</vt:lpstr>
      <vt:lpstr>RSreejith!wwdec</vt:lpstr>
      <vt:lpstr>SPare!wwdec</vt:lpstr>
      <vt:lpstr>ZMifsud!wwdec</vt:lpstr>
      <vt:lpstr>AFalzon!wwfeb</vt:lpstr>
      <vt:lpstr>AHaneena!wwfeb</vt:lpstr>
      <vt:lpstr>AKunnamkudath!wwfeb</vt:lpstr>
      <vt:lpstr>DMifsud_Ceci!wwfeb</vt:lpstr>
      <vt:lpstr>ECurmi!wwfeb</vt:lpstr>
      <vt:lpstr>ELama!wwfeb</vt:lpstr>
      <vt:lpstr>KMizzi!wwfeb</vt:lpstr>
      <vt:lpstr>LBonnici!wwfeb</vt:lpstr>
      <vt:lpstr>LCarini!wwfeb</vt:lpstr>
      <vt:lpstr>MAcero_Garzon!wwfeb</vt:lpstr>
      <vt:lpstr>MCamilleri!wwfeb</vt:lpstr>
      <vt:lpstr>MEllul!wwfeb</vt:lpstr>
      <vt:lpstr>NScerri_Esposito!wwfeb</vt:lpstr>
      <vt:lpstr>RAcharya!wwfeb</vt:lpstr>
      <vt:lpstr>RAttard!wwfeb</vt:lpstr>
      <vt:lpstr>RCamilleri!wwfeb</vt:lpstr>
      <vt:lpstr>RGaldes!wwfeb</vt:lpstr>
      <vt:lpstr>RMallan_Albani!wwfeb</vt:lpstr>
      <vt:lpstr>RSreejith!wwfeb</vt:lpstr>
      <vt:lpstr>SPare!wwfeb</vt:lpstr>
      <vt:lpstr>ZMifsud!wwfeb</vt:lpstr>
      <vt:lpstr>AFalzon!wwjan</vt:lpstr>
      <vt:lpstr>AHaneena!wwjan</vt:lpstr>
      <vt:lpstr>AKunnamkudath!wwjan</vt:lpstr>
      <vt:lpstr>DMifsud_Ceci!wwjan</vt:lpstr>
      <vt:lpstr>ECurmi!wwjan</vt:lpstr>
      <vt:lpstr>ELama!wwjan</vt:lpstr>
      <vt:lpstr>KMizzi!wwjan</vt:lpstr>
      <vt:lpstr>LBonnici!wwjan</vt:lpstr>
      <vt:lpstr>LCarini!wwjan</vt:lpstr>
      <vt:lpstr>MAcero_Garzon!wwjan</vt:lpstr>
      <vt:lpstr>MCamilleri!wwjan</vt:lpstr>
      <vt:lpstr>MEllul!wwjan</vt:lpstr>
      <vt:lpstr>NScerri_Esposito!wwjan</vt:lpstr>
      <vt:lpstr>RAcharya!wwjan</vt:lpstr>
      <vt:lpstr>RAttard!wwjan</vt:lpstr>
      <vt:lpstr>RCamilleri!wwjan</vt:lpstr>
      <vt:lpstr>RGaldes!wwjan</vt:lpstr>
      <vt:lpstr>RMallan_Albani!wwjan</vt:lpstr>
      <vt:lpstr>RSreejith!wwjan</vt:lpstr>
      <vt:lpstr>SPare!wwjan</vt:lpstr>
      <vt:lpstr>ZMifsud!wwjan</vt:lpstr>
      <vt:lpstr>AFalzon!wwjul</vt:lpstr>
      <vt:lpstr>AHaneena!wwjul</vt:lpstr>
      <vt:lpstr>AKunnamkudath!wwjul</vt:lpstr>
      <vt:lpstr>DMifsud_Ceci!wwjul</vt:lpstr>
      <vt:lpstr>ECurmi!wwjul</vt:lpstr>
      <vt:lpstr>ELama!wwjul</vt:lpstr>
      <vt:lpstr>KMizzi!wwjul</vt:lpstr>
      <vt:lpstr>LBonnici!wwjul</vt:lpstr>
      <vt:lpstr>LCarini!wwjul</vt:lpstr>
      <vt:lpstr>MAcero_Garzon!wwjul</vt:lpstr>
      <vt:lpstr>MCamilleri!wwjul</vt:lpstr>
      <vt:lpstr>MEllul!wwjul</vt:lpstr>
      <vt:lpstr>NScerri_Esposito!wwjul</vt:lpstr>
      <vt:lpstr>RAcharya!wwjul</vt:lpstr>
      <vt:lpstr>RAttard!wwjul</vt:lpstr>
      <vt:lpstr>RCamilleri!wwjul</vt:lpstr>
      <vt:lpstr>RGaldes!wwjul</vt:lpstr>
      <vt:lpstr>RMallan_Albani!wwjul</vt:lpstr>
      <vt:lpstr>RSreejith!wwjul</vt:lpstr>
      <vt:lpstr>SPare!wwjul</vt:lpstr>
      <vt:lpstr>ZMifsud!wwjul</vt:lpstr>
      <vt:lpstr>AFalzon!wwjun</vt:lpstr>
      <vt:lpstr>AHaneena!wwjun</vt:lpstr>
      <vt:lpstr>AKunnamkudath!wwjun</vt:lpstr>
      <vt:lpstr>DMifsud_Ceci!wwjun</vt:lpstr>
      <vt:lpstr>ECurmi!wwjun</vt:lpstr>
      <vt:lpstr>ELama!wwjun</vt:lpstr>
      <vt:lpstr>KMizzi!wwjun</vt:lpstr>
      <vt:lpstr>LBonnici!wwjun</vt:lpstr>
      <vt:lpstr>LCarini!wwjun</vt:lpstr>
      <vt:lpstr>MAcero_Garzon!wwjun</vt:lpstr>
      <vt:lpstr>MCamilleri!wwjun</vt:lpstr>
      <vt:lpstr>MEllul!wwjun</vt:lpstr>
      <vt:lpstr>NScerri_Esposito!wwjun</vt:lpstr>
      <vt:lpstr>RAcharya!wwjun</vt:lpstr>
      <vt:lpstr>RAttard!wwjun</vt:lpstr>
      <vt:lpstr>RCamilleri!wwjun</vt:lpstr>
      <vt:lpstr>RGaldes!wwjun</vt:lpstr>
      <vt:lpstr>RMallan_Albani!wwjun</vt:lpstr>
      <vt:lpstr>RSreejith!wwjun</vt:lpstr>
      <vt:lpstr>SPare!wwjun</vt:lpstr>
      <vt:lpstr>ZMifsud!wwjun</vt:lpstr>
      <vt:lpstr>AFalzon!wwmar</vt:lpstr>
      <vt:lpstr>AHaneena!wwmar</vt:lpstr>
      <vt:lpstr>AKunnamkudath!wwmar</vt:lpstr>
      <vt:lpstr>DMifsud_Ceci!wwmar</vt:lpstr>
      <vt:lpstr>ECurmi!wwmar</vt:lpstr>
      <vt:lpstr>ELama!wwmar</vt:lpstr>
      <vt:lpstr>KMizzi!wwmar</vt:lpstr>
      <vt:lpstr>LBonnici!wwmar</vt:lpstr>
      <vt:lpstr>LCarini!wwmar</vt:lpstr>
      <vt:lpstr>MAcero_Garzon!wwmar</vt:lpstr>
      <vt:lpstr>MCamilleri!wwmar</vt:lpstr>
      <vt:lpstr>MEllul!wwmar</vt:lpstr>
      <vt:lpstr>NScerri_Esposito!wwmar</vt:lpstr>
      <vt:lpstr>RAcharya!wwmar</vt:lpstr>
      <vt:lpstr>RAttard!wwmar</vt:lpstr>
      <vt:lpstr>RCamilleri!wwmar</vt:lpstr>
      <vt:lpstr>RGaldes!wwmar</vt:lpstr>
      <vt:lpstr>RMallan_Albani!wwmar</vt:lpstr>
      <vt:lpstr>RSreejith!wwmar</vt:lpstr>
      <vt:lpstr>SPare!wwmar</vt:lpstr>
      <vt:lpstr>ZMifsud!wwmar</vt:lpstr>
      <vt:lpstr>AFalzon!wwmay</vt:lpstr>
      <vt:lpstr>AHaneena!wwmay</vt:lpstr>
      <vt:lpstr>AKunnamkudath!wwmay</vt:lpstr>
      <vt:lpstr>DMifsud_Ceci!wwmay</vt:lpstr>
      <vt:lpstr>ECurmi!wwmay</vt:lpstr>
      <vt:lpstr>ELama!wwmay</vt:lpstr>
      <vt:lpstr>KMizzi!wwmay</vt:lpstr>
      <vt:lpstr>LBonnici!wwmay</vt:lpstr>
      <vt:lpstr>LCarini!wwmay</vt:lpstr>
      <vt:lpstr>MAcero_Garzon!wwmay</vt:lpstr>
      <vt:lpstr>MCamilleri!wwmay</vt:lpstr>
      <vt:lpstr>MEllul!wwmay</vt:lpstr>
      <vt:lpstr>NScerri_Esposito!wwmay</vt:lpstr>
      <vt:lpstr>RAcharya!wwmay</vt:lpstr>
      <vt:lpstr>RAttard!wwmay</vt:lpstr>
      <vt:lpstr>RCamilleri!wwmay</vt:lpstr>
      <vt:lpstr>RGaldes!wwmay</vt:lpstr>
      <vt:lpstr>RMallan_Albani!wwmay</vt:lpstr>
      <vt:lpstr>RSreejith!wwmay</vt:lpstr>
      <vt:lpstr>SPare!wwmay</vt:lpstr>
      <vt:lpstr>ZMifsud!wwmay</vt:lpstr>
      <vt:lpstr>AFalzon!wwnov</vt:lpstr>
      <vt:lpstr>AHaneena!wwnov</vt:lpstr>
      <vt:lpstr>AKunnamkudath!wwnov</vt:lpstr>
      <vt:lpstr>DMifsud_Ceci!wwnov</vt:lpstr>
      <vt:lpstr>ECurmi!wwnov</vt:lpstr>
      <vt:lpstr>ELama!wwnov</vt:lpstr>
      <vt:lpstr>KMizzi!wwnov</vt:lpstr>
      <vt:lpstr>LBonnici!wwnov</vt:lpstr>
      <vt:lpstr>LCarini!wwnov</vt:lpstr>
      <vt:lpstr>MAcero_Garzon!wwnov</vt:lpstr>
      <vt:lpstr>MCamilleri!wwnov</vt:lpstr>
      <vt:lpstr>MEllul!wwnov</vt:lpstr>
      <vt:lpstr>NScerri_Esposito!wwnov</vt:lpstr>
      <vt:lpstr>RAcharya!wwnov</vt:lpstr>
      <vt:lpstr>RAttard!wwnov</vt:lpstr>
      <vt:lpstr>RCamilleri!wwnov</vt:lpstr>
      <vt:lpstr>RGaldes!wwnov</vt:lpstr>
      <vt:lpstr>RMallan_Albani!wwnov</vt:lpstr>
      <vt:lpstr>RSreejith!wwnov</vt:lpstr>
      <vt:lpstr>SPare!wwnov</vt:lpstr>
      <vt:lpstr>ZMifsud!wwnov</vt:lpstr>
      <vt:lpstr>AFalzon!wwoct</vt:lpstr>
      <vt:lpstr>AHaneena!wwoct</vt:lpstr>
      <vt:lpstr>AKunnamkudath!wwoct</vt:lpstr>
      <vt:lpstr>DMifsud_Ceci!wwoct</vt:lpstr>
      <vt:lpstr>ECurmi!wwoct</vt:lpstr>
      <vt:lpstr>ELama!wwoct</vt:lpstr>
      <vt:lpstr>KMizzi!wwoct</vt:lpstr>
      <vt:lpstr>LBonnici!wwoct</vt:lpstr>
      <vt:lpstr>LCarini!wwoct</vt:lpstr>
      <vt:lpstr>MAcero_Garzon!wwoct</vt:lpstr>
      <vt:lpstr>MCamilleri!wwoct</vt:lpstr>
      <vt:lpstr>MEllul!wwoct</vt:lpstr>
      <vt:lpstr>NScerri_Esposito!wwoct</vt:lpstr>
      <vt:lpstr>RAcharya!wwoct</vt:lpstr>
      <vt:lpstr>RAttard!wwoct</vt:lpstr>
      <vt:lpstr>RCamilleri!wwoct</vt:lpstr>
      <vt:lpstr>RGaldes!wwoct</vt:lpstr>
      <vt:lpstr>RMallan_Albani!wwoct</vt:lpstr>
      <vt:lpstr>RSreejith!wwoct</vt:lpstr>
      <vt:lpstr>SPare!wwoct</vt:lpstr>
      <vt:lpstr>ZMifsud!wwoct</vt:lpstr>
      <vt:lpstr>AFalzon!wwsep</vt:lpstr>
      <vt:lpstr>AHaneena!wwsep</vt:lpstr>
      <vt:lpstr>AKunnamkudath!wwsep</vt:lpstr>
      <vt:lpstr>DMifsud_Ceci!wwsep</vt:lpstr>
      <vt:lpstr>ECurmi!wwsep</vt:lpstr>
      <vt:lpstr>ELama!wwsep</vt:lpstr>
      <vt:lpstr>KMizzi!wwsep</vt:lpstr>
      <vt:lpstr>LBonnici!wwsep</vt:lpstr>
      <vt:lpstr>LCarini!wwsep</vt:lpstr>
      <vt:lpstr>MAcero_Garzon!wwsep</vt:lpstr>
      <vt:lpstr>MCamilleri!wwsep</vt:lpstr>
      <vt:lpstr>MEllul!wwsep</vt:lpstr>
      <vt:lpstr>NScerri_Esposito!wwsep</vt:lpstr>
      <vt:lpstr>RAcharya!wwsep</vt:lpstr>
      <vt:lpstr>RAttard!wwsep</vt:lpstr>
      <vt:lpstr>RCamilleri!wwsep</vt:lpstr>
      <vt:lpstr>RGaldes!wwsep</vt:lpstr>
      <vt:lpstr>RMallan_Albani!wwsep</vt:lpstr>
      <vt:lpstr>RSreejith!wwsep</vt:lpstr>
      <vt:lpstr>SPare!wwsep</vt:lpstr>
      <vt:lpstr>ZMifsud!wwsep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gauci</dc:creator>
  <cp:lastModifiedBy>chris gauci</cp:lastModifiedBy>
  <cp:lastPrinted>2026-03-12T17:25:54Z</cp:lastPrinted>
  <dcterms:created xsi:type="dcterms:W3CDTF">2015-06-05T18:17:20Z</dcterms:created>
  <dcterms:modified xsi:type="dcterms:W3CDTF">2026-03-12T17:43:12Z</dcterms:modified>
</cp:coreProperties>
</file>