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xr:revisionPtr revIDLastSave="0" documentId="8_{A0F8428D-5787-4B3D-8487-33885BBE33AA}" xr6:coauthVersionLast="47" xr6:coauthVersionMax="47" xr10:uidLastSave="{00000000-0000-0000-0000-000000000000}"/>
  <bookViews>
    <workbookView xWindow="240" yWindow="105" windowWidth="14805" windowHeight="8010" firstSheet="5" activeTab="5" xr2:uid="{00000000-000D-0000-FFFF-FFFF00000000}"/>
  </bookViews>
  <sheets>
    <sheet name="Daily Player Notes" sheetId="4" r:id="rId1"/>
    <sheet name="Analysis" sheetId="6" r:id="rId2"/>
    <sheet name="Glonk Stats" sheetId="3" r:id="rId3"/>
    <sheet name="Combined Player Data" sheetId="12" r:id="rId4"/>
    <sheet name="Combined Stack Data" sheetId="13" r:id="rId5"/>
    <sheet name="Year 9 Season 1" sheetId="11" r:id="rId6"/>
    <sheet name="Year 8 Season 4"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7" i="11" l="1"/>
  <c r="N87" i="11"/>
  <c r="O87" i="11"/>
  <c r="A90" i="11"/>
  <c r="N90" i="11"/>
  <c r="O90" i="11"/>
  <c r="A18" i="11"/>
  <c r="N18" i="11"/>
  <c r="O18" i="11"/>
  <c r="A10" i="11"/>
  <c r="N10" i="11"/>
  <c r="O10" i="11"/>
  <c r="A127" i="11"/>
  <c r="N127" i="11"/>
  <c r="O127" i="11"/>
  <c r="A88" i="11"/>
  <c r="N88" i="11"/>
  <c r="O88" i="11"/>
  <c r="A129" i="11"/>
  <c r="N129" i="11"/>
  <c r="O129" i="11"/>
  <c r="A80" i="11"/>
  <c r="N80" i="11"/>
  <c r="O80" i="11"/>
  <c r="O79" i="11"/>
  <c r="N79" i="11"/>
  <c r="A79" i="11"/>
  <c r="AE44" i="11"/>
  <c r="AF44" i="11"/>
  <c r="AG44" i="11"/>
  <c r="AH44" i="11"/>
  <c r="Y44" i="11"/>
  <c r="Z44" i="11"/>
  <c r="AA44" i="11"/>
  <c r="AB44" i="11"/>
  <c r="AC44" i="11"/>
  <c r="AD44" i="11"/>
  <c r="U44" i="11"/>
  <c r="AK44" i="11"/>
  <c r="AL44" i="11"/>
  <c r="AM44" i="11"/>
  <c r="AN44" i="11" a="1"/>
  <c r="AN44" i="11"/>
  <c r="AI44" i="11" s="1"/>
  <c r="AO44" i="11" a="1"/>
  <c r="AO44" i="11"/>
  <c r="AJ44" i="11" s="1"/>
  <c r="AP44" i="11"/>
  <c r="AQ44" i="11"/>
  <c r="AG45" i="11"/>
  <c r="AH45" i="11"/>
  <c r="AE45" i="11"/>
  <c r="AF45" i="11"/>
  <c r="AG43" i="11"/>
  <c r="Y45" i="11"/>
  <c r="Z45" i="11"/>
  <c r="AA45" i="11"/>
  <c r="AB45" i="11"/>
  <c r="AC45" i="11"/>
  <c r="AD45" i="11"/>
  <c r="U45" i="11"/>
  <c r="AK45" i="11"/>
  <c r="AL45" i="11"/>
  <c r="AM45" i="11"/>
  <c r="AN45" i="11" a="1"/>
  <c r="AN45" i="11"/>
  <c r="AI45" i="11" s="1"/>
  <c r="AO45" i="11" a="1"/>
  <c r="AO45" i="11"/>
  <c r="AJ45" i="11" s="1"/>
  <c r="AP45" i="11"/>
  <c r="AQ45" i="11"/>
  <c r="AH43" i="11"/>
  <c r="AE43" i="11"/>
  <c r="AF43" i="11"/>
  <c r="Y43" i="11"/>
  <c r="Z43" i="11"/>
  <c r="AA43" i="11"/>
  <c r="AB43" i="11"/>
  <c r="AC43" i="11"/>
  <c r="AD43" i="11"/>
  <c r="U43" i="11"/>
  <c r="AK43" i="11"/>
  <c r="AL43" i="11"/>
  <c r="AM43" i="11"/>
  <c r="AN43" i="11" a="1"/>
  <c r="AN43" i="11"/>
  <c r="AI43" i="11" s="1"/>
  <c r="AO43" i="11" a="1"/>
  <c r="AO43" i="11"/>
  <c r="AJ43" i="11" s="1"/>
  <c r="AP43" i="11"/>
  <c r="AQ43" i="11"/>
  <c r="Y41" i="11"/>
  <c r="Z41" i="11"/>
  <c r="AA41" i="11"/>
  <c r="AB41" i="11"/>
  <c r="AC41" i="11"/>
  <c r="AD41" i="11"/>
  <c r="AE41" i="11"/>
  <c r="AF41" i="11"/>
  <c r="AG41" i="11"/>
  <c r="AH41" i="11"/>
  <c r="U41" i="11"/>
  <c r="AK41" i="11"/>
  <c r="AL41" i="11"/>
  <c r="AM41" i="11"/>
  <c r="AN41" i="11" a="1"/>
  <c r="AN41" i="11"/>
  <c r="AI41" i="11" s="1"/>
  <c r="AO41" i="11" a="1"/>
  <c r="AO41" i="11"/>
  <c r="AJ41" i="11" s="1"/>
  <c r="AP41" i="11"/>
  <c r="AQ41" i="11"/>
  <c r="A89" i="11"/>
  <c r="N89" i="11"/>
  <c r="O89" i="11"/>
  <c r="A48" i="11"/>
  <c r="N48" i="11"/>
  <c r="O48" i="11"/>
  <c r="A47" i="11"/>
  <c r="N47" i="11"/>
  <c r="O47" i="11"/>
  <c r="A131" i="11"/>
  <c r="N131" i="11"/>
  <c r="O131" i="11"/>
  <c r="A46" i="11"/>
  <c r="N46" i="11"/>
  <c r="O46" i="11"/>
  <c r="A78" i="11"/>
  <c r="N78" i="11"/>
  <c r="O78" i="11"/>
  <c r="D138" i="11"/>
  <c r="O45" i="11"/>
  <c r="N45" i="11"/>
  <c r="A45" i="11"/>
  <c r="A59" i="11"/>
  <c r="N59" i="11"/>
  <c r="O59" i="11"/>
  <c r="A100" i="11"/>
  <c r="N100" i="11"/>
  <c r="O100" i="11"/>
  <c r="A44" i="11"/>
  <c r="N44" i="11"/>
  <c r="O44" i="11"/>
  <c r="A99" i="11"/>
  <c r="N99" i="11"/>
  <c r="O99" i="11"/>
  <c r="A130" i="11"/>
  <c r="N130" i="11"/>
  <c r="O130" i="11"/>
  <c r="A101" i="11"/>
  <c r="N101" i="11"/>
  <c r="O101" i="11"/>
  <c r="A93" i="11"/>
  <c r="N93" i="11"/>
  <c r="O93" i="11"/>
  <c r="A126" i="11"/>
  <c r="N126" i="11"/>
  <c r="O126" i="11"/>
  <c r="A128" i="11"/>
  <c r="N128" i="11"/>
  <c r="O128" i="11"/>
  <c r="A41" i="11"/>
  <c r="N41" i="11"/>
  <c r="O41" i="11"/>
  <c r="A42" i="11"/>
  <c r="N42" i="11"/>
  <c r="O42" i="11"/>
  <c r="A43" i="11"/>
  <c r="N43" i="11"/>
  <c r="O43" i="11"/>
  <c r="Y35" i="11"/>
  <c r="Z35" i="11"/>
  <c r="AA35" i="11"/>
  <c r="AB35" i="11"/>
  <c r="AC35" i="11"/>
  <c r="AD35" i="11"/>
  <c r="AE35" i="11"/>
  <c r="AF35" i="11"/>
  <c r="AG35" i="11"/>
  <c r="AH35" i="11"/>
  <c r="U35" i="11"/>
  <c r="AK35" i="11"/>
  <c r="AL35" i="11"/>
  <c r="AM35" i="11"/>
  <c r="AN35" i="11" a="1"/>
  <c r="AN35" i="11"/>
  <c r="AI35" i="11" s="1"/>
  <c r="AO35" i="11" a="1"/>
  <c r="AO35" i="11"/>
  <c r="AJ35" i="11" s="1"/>
  <c r="AP35" i="11"/>
  <c r="AQ35" i="11"/>
  <c r="A76" i="11"/>
  <c r="N76" i="11"/>
  <c r="O76" i="11"/>
  <c r="AE3" i="11"/>
  <c r="AF3" i="11"/>
  <c r="AG3" i="11"/>
  <c r="AH3" i="11"/>
  <c r="Y3" i="11"/>
  <c r="Z3" i="11"/>
  <c r="AA3" i="11"/>
  <c r="AB3" i="11"/>
  <c r="AC3" i="11"/>
  <c r="AD3" i="11"/>
  <c r="U3" i="11"/>
  <c r="AK3" i="11"/>
  <c r="AL3" i="11"/>
  <c r="AM3" i="11"/>
  <c r="AN3" i="11" a="1"/>
  <c r="AN3" i="11"/>
  <c r="AI3" i="11" s="1"/>
  <c r="AO3" i="11" a="1"/>
  <c r="AO3" i="11"/>
  <c r="AJ3" i="11" s="1"/>
  <c r="AP3" i="11"/>
  <c r="AQ3" i="11"/>
  <c r="A57" i="11"/>
  <c r="N57" i="11"/>
  <c r="O57" i="11"/>
  <c r="A102" i="11"/>
  <c r="N102" i="11"/>
  <c r="O102" i="11"/>
  <c r="A125" i="11"/>
  <c r="N125" i="11"/>
  <c r="O125" i="11"/>
  <c r="A58" i="11"/>
  <c r="N58" i="11"/>
  <c r="O58" i="11"/>
  <c r="A3" i="11"/>
  <c r="N3" i="11"/>
  <c r="O3" i="11"/>
  <c r="A39" i="11"/>
  <c r="N39" i="11"/>
  <c r="O39" i="11"/>
  <c r="AB7" i="11"/>
  <c r="A40" i="11"/>
  <c r="N40" i="11"/>
  <c r="O40" i="11"/>
  <c r="A61" i="11"/>
  <c r="N61" i="11"/>
  <c r="O61" i="11"/>
  <c r="A124" i="11"/>
  <c r="N124" i="11"/>
  <c r="O124" i="11"/>
  <c r="AE29" i="11"/>
  <c r="AF29" i="11"/>
  <c r="AG29" i="11"/>
  <c r="AH29" i="11"/>
  <c r="Y29" i="11"/>
  <c r="Z29" i="11"/>
  <c r="AA29" i="11"/>
  <c r="AB29" i="11"/>
  <c r="AC29" i="11"/>
  <c r="AD29" i="11"/>
  <c r="U29" i="11"/>
  <c r="AK29" i="11"/>
  <c r="AL29" i="11"/>
  <c r="AM29" i="11"/>
  <c r="AN29" i="11" a="1"/>
  <c r="AN29" i="11"/>
  <c r="AI29" i="11" s="1"/>
  <c r="AO29" i="11" a="1"/>
  <c r="AO29" i="11"/>
  <c r="AJ29" i="11" s="1"/>
  <c r="AP29" i="11"/>
  <c r="AQ29" i="11"/>
  <c r="A75" i="11"/>
  <c r="N75" i="11"/>
  <c r="O75" i="11"/>
  <c r="Y25" i="11"/>
  <c r="Z25" i="11"/>
  <c r="AA25" i="11"/>
  <c r="AB25" i="11"/>
  <c r="AC25" i="11"/>
  <c r="AD25" i="11"/>
  <c r="AE25" i="11"/>
  <c r="AF25" i="11"/>
  <c r="AG25" i="11"/>
  <c r="AH25" i="11"/>
  <c r="U25" i="11"/>
  <c r="AK25" i="11"/>
  <c r="AL25" i="11"/>
  <c r="AM25" i="11"/>
  <c r="AN25" i="11" a="1"/>
  <c r="AN25" i="11"/>
  <c r="AI25" i="11" s="1"/>
  <c r="AO25" i="11" a="1"/>
  <c r="AO25" i="11"/>
  <c r="AJ25" i="11" s="1"/>
  <c r="AP25" i="11"/>
  <c r="AQ25" i="11"/>
  <c r="A56" i="11"/>
  <c r="N56" i="11"/>
  <c r="O56" i="11"/>
  <c r="O119" i="11"/>
  <c r="N119" i="11"/>
  <c r="A119" i="11"/>
  <c r="O7" i="11"/>
  <c r="N7" i="11"/>
  <c r="A7" i="11"/>
  <c r="A6" i="11"/>
  <c r="N6" i="11"/>
  <c r="O6" i="11"/>
  <c r="A73" i="11"/>
  <c r="N73" i="11"/>
  <c r="O73" i="11"/>
  <c r="A123" i="11"/>
  <c r="N123" i="11"/>
  <c r="O123" i="11"/>
  <c r="A38" i="11"/>
  <c r="N38" i="11"/>
  <c r="O38" i="11"/>
  <c r="A97" i="11"/>
  <c r="N97" i="11"/>
  <c r="O97" i="11"/>
  <c r="A121" i="11"/>
  <c r="N121" i="11"/>
  <c r="O121" i="11"/>
  <c r="A37" i="11"/>
  <c r="N37" i="11"/>
  <c r="O37" i="11"/>
  <c r="A122" i="11"/>
  <c r="N122" i="11"/>
  <c r="O122" i="11"/>
  <c r="A74" i="11"/>
  <c r="N74" i="11"/>
  <c r="O74" i="11"/>
  <c r="A120" i="11"/>
  <c r="N120" i="11"/>
  <c r="O120" i="11"/>
  <c r="A35" i="11"/>
  <c r="N35" i="11"/>
  <c r="O35" i="11"/>
  <c r="A36" i="11"/>
  <c r="N36" i="11"/>
  <c r="O36" i="11"/>
  <c r="A33" i="11"/>
  <c r="N33" i="11"/>
  <c r="O33" i="11"/>
  <c r="A34" i="11"/>
  <c r="N34" i="11"/>
  <c r="O34" i="11"/>
  <c r="A72" i="11"/>
  <c r="N72" i="11"/>
  <c r="O72" i="11"/>
  <c r="A31" i="11"/>
  <c r="N31" i="11"/>
  <c r="O31" i="11"/>
  <c r="A51" i="11"/>
  <c r="N51" i="11"/>
  <c r="O51" i="11"/>
  <c r="A32" i="11"/>
  <c r="N32" i="11"/>
  <c r="O32" i="11"/>
  <c r="O118" i="11"/>
  <c r="N118" i="11"/>
  <c r="A118" i="11"/>
  <c r="A55" i="11"/>
  <c r="N55" i="11"/>
  <c r="O55" i="11"/>
  <c r="A117" i="11"/>
  <c r="N117" i="11"/>
  <c r="O117" i="11"/>
  <c r="A103" i="11"/>
  <c r="N103" i="11"/>
  <c r="O103" i="11"/>
  <c r="A50" i="11"/>
  <c r="N50" i="11"/>
  <c r="O50" i="11"/>
  <c r="A28" i="11"/>
  <c r="N28" i="11"/>
  <c r="O28" i="11"/>
  <c r="A116" i="11"/>
  <c r="N116" i="11"/>
  <c r="O116" i="11"/>
  <c r="A63" i="11"/>
  <c r="N63" i="11"/>
  <c r="O63" i="11"/>
  <c r="Y30" i="11"/>
  <c r="Y33" i="11"/>
  <c r="Z33" i="11"/>
  <c r="AA33" i="11"/>
  <c r="AB33" i="11"/>
  <c r="AC33" i="11"/>
  <c r="AD33" i="11"/>
  <c r="AE33" i="11"/>
  <c r="AF33" i="11"/>
  <c r="AG33" i="11"/>
  <c r="AH33" i="11"/>
  <c r="AK33" i="11"/>
  <c r="AL33" i="11"/>
  <c r="AM33" i="11"/>
  <c r="AN33" i="11" a="1"/>
  <c r="AN33" i="11"/>
  <c r="AI33" i="11" s="1"/>
  <c r="AO33" i="11" a="1"/>
  <c r="AO33" i="11"/>
  <c r="AJ33" i="11" s="1"/>
  <c r="AP33" i="11"/>
  <c r="AQ33" i="11"/>
  <c r="Y34" i="11"/>
  <c r="Z34" i="11"/>
  <c r="AA34" i="11"/>
  <c r="AB34" i="11"/>
  <c r="AC34" i="11"/>
  <c r="AD34" i="11"/>
  <c r="AE34" i="11"/>
  <c r="AF34" i="11"/>
  <c r="AG34" i="11"/>
  <c r="AH34" i="11"/>
  <c r="AK34" i="11"/>
  <c r="AL34" i="11"/>
  <c r="AM34" i="11"/>
  <c r="AN34" i="11" a="1"/>
  <c r="AN34" i="11"/>
  <c r="AI34" i="11" s="1"/>
  <c r="AO34" i="11" a="1"/>
  <c r="AO34" i="11"/>
  <c r="AJ34" i="11" s="1"/>
  <c r="AP34" i="11"/>
  <c r="AQ34" i="11"/>
  <c r="Y36" i="11"/>
  <c r="Z36" i="11"/>
  <c r="AA36" i="11"/>
  <c r="AB36" i="11"/>
  <c r="AC36" i="11"/>
  <c r="AD36" i="11"/>
  <c r="AE36" i="11"/>
  <c r="AF36" i="11"/>
  <c r="AG36" i="11"/>
  <c r="AH36" i="11"/>
  <c r="AK36" i="11"/>
  <c r="AL36" i="11"/>
  <c r="AM36" i="11"/>
  <c r="AN36" i="11" a="1"/>
  <c r="AN36" i="11"/>
  <c r="AI36" i="11" s="1"/>
  <c r="AO36" i="11" a="1"/>
  <c r="AO36" i="11"/>
  <c r="AJ36" i="11" s="1"/>
  <c r="AP36" i="11"/>
  <c r="AQ36" i="11"/>
  <c r="Y37" i="11"/>
  <c r="Z37" i="11"/>
  <c r="AA37" i="11"/>
  <c r="AB37" i="11"/>
  <c r="AC37" i="11"/>
  <c r="AD37" i="11"/>
  <c r="AE37" i="11"/>
  <c r="AF37" i="11"/>
  <c r="AG37" i="11"/>
  <c r="AH37" i="11"/>
  <c r="AK37" i="11"/>
  <c r="AL37" i="11"/>
  <c r="AM37" i="11"/>
  <c r="AN37" i="11" a="1"/>
  <c r="AN37" i="11"/>
  <c r="AI37" i="11" s="1"/>
  <c r="AO37" i="11" a="1"/>
  <c r="AO37" i="11"/>
  <c r="AJ37" i="11" s="1"/>
  <c r="AP37" i="11"/>
  <c r="AQ37" i="11"/>
  <c r="Y38" i="11"/>
  <c r="Z38" i="11"/>
  <c r="AA38" i="11"/>
  <c r="AB38" i="11"/>
  <c r="AC38" i="11"/>
  <c r="AD38" i="11"/>
  <c r="AE38" i="11"/>
  <c r="AF38" i="11"/>
  <c r="AG38" i="11"/>
  <c r="AH38" i="11"/>
  <c r="AK38" i="11"/>
  <c r="AL38" i="11"/>
  <c r="AM38" i="11"/>
  <c r="AN38" i="11" a="1"/>
  <c r="AN38" i="11"/>
  <c r="AI38" i="11" s="1"/>
  <c r="AO38" i="11" a="1"/>
  <c r="AO38" i="11"/>
  <c r="AJ38" i="11" s="1"/>
  <c r="AP38" i="11"/>
  <c r="AQ38" i="11"/>
  <c r="Y27" i="11"/>
  <c r="Z27" i="11"/>
  <c r="AA27" i="11"/>
  <c r="AB27" i="11"/>
  <c r="AC27" i="11"/>
  <c r="AD27" i="11"/>
  <c r="AE27" i="11"/>
  <c r="AF27" i="11"/>
  <c r="AG27" i="11"/>
  <c r="AH27" i="11"/>
  <c r="AK27" i="11"/>
  <c r="AL27" i="11"/>
  <c r="AM27" i="11"/>
  <c r="AN27" i="11" a="1"/>
  <c r="AN27" i="11"/>
  <c r="AI27" i="11" s="1"/>
  <c r="AO27" i="11" a="1"/>
  <c r="AO27" i="11"/>
  <c r="AJ27" i="11" s="1"/>
  <c r="AP27" i="11"/>
  <c r="AQ27" i="11"/>
  <c r="Y39" i="11"/>
  <c r="Z39" i="11"/>
  <c r="AA39" i="11"/>
  <c r="AB39" i="11"/>
  <c r="AC39" i="11"/>
  <c r="AD39" i="11"/>
  <c r="AE39" i="11"/>
  <c r="AF39" i="11"/>
  <c r="AG39" i="11"/>
  <c r="AH39" i="11"/>
  <c r="AK39" i="11"/>
  <c r="AL39" i="11"/>
  <c r="AM39" i="11"/>
  <c r="AN39" i="11" a="1"/>
  <c r="AN39" i="11"/>
  <c r="AI39" i="11" s="1"/>
  <c r="AO39" i="11" a="1"/>
  <c r="AO39" i="11"/>
  <c r="AJ39" i="11" s="1"/>
  <c r="AP39" i="11"/>
  <c r="AQ39" i="11"/>
  <c r="Y40" i="11"/>
  <c r="Z40" i="11"/>
  <c r="AA40" i="11"/>
  <c r="AB40" i="11"/>
  <c r="AC40" i="11"/>
  <c r="AD40" i="11"/>
  <c r="AE40" i="11"/>
  <c r="AF40" i="11"/>
  <c r="AG40" i="11"/>
  <c r="AH40" i="11"/>
  <c r="AK40" i="11"/>
  <c r="AL40" i="11"/>
  <c r="AM40" i="11"/>
  <c r="AN40" i="11" a="1"/>
  <c r="AN40" i="11"/>
  <c r="AI40" i="11" s="1"/>
  <c r="AO40" i="11" a="1"/>
  <c r="AO40" i="11"/>
  <c r="AJ40" i="11" s="1"/>
  <c r="AP40" i="11"/>
  <c r="AQ40" i="11"/>
  <c r="Y42" i="11"/>
  <c r="Z42" i="11"/>
  <c r="AA42" i="11"/>
  <c r="AB42" i="11"/>
  <c r="AC42" i="11"/>
  <c r="AD42" i="11"/>
  <c r="AE42" i="11"/>
  <c r="AF42" i="11"/>
  <c r="AG42" i="11"/>
  <c r="AH42" i="11"/>
  <c r="AK42" i="11"/>
  <c r="AL42" i="11"/>
  <c r="AM42" i="11"/>
  <c r="AN42" i="11" a="1"/>
  <c r="AN42" i="11"/>
  <c r="AI42" i="11" s="1"/>
  <c r="AO42" i="11" a="1"/>
  <c r="AO42" i="11"/>
  <c r="AJ42" i="11" s="1"/>
  <c r="AP42" i="11"/>
  <c r="AQ42" i="11"/>
  <c r="Y46" i="11"/>
  <c r="Z46" i="11"/>
  <c r="AA46" i="11"/>
  <c r="AB46" i="11"/>
  <c r="AC46" i="11"/>
  <c r="AD46" i="11"/>
  <c r="AE46" i="11"/>
  <c r="AF46" i="11"/>
  <c r="AG46" i="11"/>
  <c r="AH46" i="11"/>
  <c r="AK46" i="11"/>
  <c r="AL46" i="11"/>
  <c r="AM46" i="11"/>
  <c r="AN46" i="11" a="1"/>
  <c r="AN46" i="11"/>
  <c r="AI46" i="11" s="1"/>
  <c r="AO46" i="11" a="1"/>
  <c r="AO46" i="11"/>
  <c r="AJ46" i="11" s="1"/>
  <c r="AP46" i="11"/>
  <c r="AQ46" i="11"/>
  <c r="Y19" i="11"/>
  <c r="Z19" i="11"/>
  <c r="AA19" i="11"/>
  <c r="AB19" i="11"/>
  <c r="AC19" i="11"/>
  <c r="AD19" i="11"/>
  <c r="AE19" i="11"/>
  <c r="AF19" i="11"/>
  <c r="AG19" i="11"/>
  <c r="AH19" i="11"/>
  <c r="U19" i="11"/>
  <c r="AK19" i="11"/>
  <c r="AL19" i="11"/>
  <c r="AM19" i="11"/>
  <c r="AN19" i="11" a="1"/>
  <c r="AN19" i="11"/>
  <c r="AI19" i="11" s="1"/>
  <c r="AO19" i="11" a="1"/>
  <c r="AO19" i="11"/>
  <c r="AJ19" i="11" s="1"/>
  <c r="AP19" i="11"/>
  <c r="AQ19" i="11"/>
  <c r="AN31" i="11" a="1"/>
  <c r="AN31" i="11"/>
  <c r="AH13" i="11"/>
  <c r="AG13" i="11"/>
  <c r="U37" i="11"/>
  <c r="A85" i="11"/>
  <c r="N85" i="11"/>
  <c r="O85" i="11"/>
  <c r="Y16" i="11"/>
  <c r="Z16" i="11"/>
  <c r="AA16" i="11"/>
  <c r="AB16" i="11"/>
  <c r="AC16" i="11"/>
  <c r="AD16" i="11"/>
  <c r="AE16" i="11"/>
  <c r="AF16" i="11"/>
  <c r="AG16" i="11"/>
  <c r="AH16" i="11"/>
  <c r="U16" i="11"/>
  <c r="AK16" i="11"/>
  <c r="AL16" i="11"/>
  <c r="AM16" i="11"/>
  <c r="AN16" i="11" a="1"/>
  <c r="AN16" i="11"/>
  <c r="AI16" i="11" s="1"/>
  <c r="AO16" i="11" a="1"/>
  <c r="AO16" i="11"/>
  <c r="AJ16" i="11" s="1"/>
  <c r="AP16" i="11"/>
  <c r="AQ16" i="11"/>
  <c r="A2" i="11"/>
  <c r="N2" i="11"/>
  <c r="O2" i="11"/>
  <c r="A29" i="11"/>
  <c r="N29" i="11"/>
  <c r="O29" i="11"/>
  <c r="A26" i="11"/>
  <c r="N26" i="11"/>
  <c r="O26" i="11"/>
  <c r="A27" i="11"/>
  <c r="N27" i="11"/>
  <c r="O27" i="11"/>
  <c r="A54" i="11"/>
  <c r="N54" i="11"/>
  <c r="O54" i="11"/>
  <c r="A86" i="11"/>
  <c r="N86" i="11"/>
  <c r="O86" i="11"/>
  <c r="A25" i="11"/>
  <c r="N25" i="11"/>
  <c r="O25" i="11"/>
  <c r="A114" i="11"/>
  <c r="N114" i="11"/>
  <c r="O114" i="11"/>
  <c r="A21" i="11"/>
  <c r="N21" i="11"/>
  <c r="O21" i="11"/>
  <c r="A22" i="11"/>
  <c r="N22" i="11"/>
  <c r="O22" i="11"/>
  <c r="A71" i="11"/>
  <c r="N71" i="11"/>
  <c r="O71" i="11"/>
  <c r="O113" i="11"/>
  <c r="N113" i="11"/>
  <c r="A113" i="11"/>
  <c r="A20" i="11"/>
  <c r="N20" i="11"/>
  <c r="O20" i="11"/>
  <c r="A70" i="11"/>
  <c r="N70" i="11"/>
  <c r="O70" i="11"/>
  <c r="A112" i="11"/>
  <c r="N112" i="11"/>
  <c r="O112" i="11"/>
  <c r="A23" i="11"/>
  <c r="N23" i="11"/>
  <c r="O23" i="11"/>
  <c r="A24" i="11"/>
  <c r="N24" i="11"/>
  <c r="O24" i="11"/>
  <c r="A111" i="11"/>
  <c r="N111" i="11"/>
  <c r="O111" i="11"/>
  <c r="A81" i="11"/>
  <c r="N81" i="11"/>
  <c r="O81" i="11"/>
  <c r="Y22" i="11"/>
  <c r="Z22" i="11"/>
  <c r="AA22" i="11"/>
  <c r="AB22" i="11"/>
  <c r="AC22" i="11"/>
  <c r="AD22" i="11"/>
  <c r="AE22" i="11"/>
  <c r="AF22" i="11"/>
  <c r="AG22" i="11"/>
  <c r="AH22" i="11"/>
  <c r="U22" i="11"/>
  <c r="AK22" i="11"/>
  <c r="AL22" i="11"/>
  <c r="AM22" i="11"/>
  <c r="AN22" i="11" a="1"/>
  <c r="AN22" i="11"/>
  <c r="AI22" i="11" s="1"/>
  <c r="AO22" i="11" a="1"/>
  <c r="AO22" i="11"/>
  <c r="AJ22" i="11" s="1"/>
  <c r="AP22" i="11"/>
  <c r="AQ22" i="11"/>
  <c r="A82" i="11"/>
  <c r="N82" i="11"/>
  <c r="O82" i="11"/>
  <c r="A16" i="11"/>
  <c r="N16" i="11"/>
  <c r="O16" i="11"/>
  <c r="A109" i="11"/>
  <c r="N109" i="11"/>
  <c r="O109" i="11"/>
  <c r="A110" i="11"/>
  <c r="N110" i="11"/>
  <c r="O110" i="11"/>
  <c r="O108" i="11"/>
  <c r="N108" i="11"/>
  <c r="A108" i="11"/>
  <c r="O19" i="11"/>
  <c r="N19" i="11"/>
  <c r="A19" i="11"/>
  <c r="AG2" i="11"/>
  <c r="A17" i="11"/>
  <c r="N17" i="11"/>
  <c r="O17" i="11"/>
  <c r="O30" i="11"/>
  <c r="N30" i="11"/>
  <c r="A30" i="11"/>
  <c r="Y8" i="11"/>
  <c r="Z8" i="11"/>
  <c r="AA8" i="11"/>
  <c r="AB8" i="11"/>
  <c r="AC8" i="11"/>
  <c r="AD8" i="11"/>
  <c r="AE8" i="11"/>
  <c r="AF8" i="11"/>
  <c r="AG8" i="11"/>
  <c r="AH8" i="11"/>
  <c r="U8" i="11"/>
  <c r="AK8" i="11"/>
  <c r="AL8" i="11"/>
  <c r="AM8" i="11"/>
  <c r="AN8" i="11" a="1"/>
  <c r="AN8" i="11"/>
  <c r="AI8" i="11" s="1"/>
  <c r="AO8" i="11" a="1"/>
  <c r="AO8" i="11"/>
  <c r="AJ8" i="11" s="1"/>
  <c r="AP8" i="11"/>
  <c r="AQ8" i="11"/>
  <c r="O15" i="11"/>
  <c r="N15" i="11"/>
  <c r="A15" i="11"/>
  <c r="O106" i="11"/>
  <c r="N106" i="11"/>
  <c r="A106" i="11"/>
  <c r="O5" i="11"/>
  <c r="N5" i="11"/>
  <c r="A5" i="11"/>
  <c r="A8" i="11"/>
  <c r="A9" i="11"/>
  <c r="A11" i="11"/>
  <c r="A12" i="11"/>
  <c r="A4" i="11"/>
  <c r="A13" i="11"/>
  <c r="A49" i="11"/>
  <c r="A60" i="11"/>
  <c r="A52" i="11"/>
  <c r="A53" i="11"/>
  <c r="A64" i="11"/>
  <c r="A65" i="11"/>
  <c r="A66" i="11"/>
  <c r="A67" i="11"/>
  <c r="A68" i="11"/>
  <c r="A62" i="11"/>
  <c r="A83" i="11"/>
  <c r="A91" i="11"/>
  <c r="A104" i="11"/>
  <c r="A94" i="11"/>
  <c r="A77" i="11"/>
  <c r="A95" i="11"/>
  <c r="A96" i="11"/>
  <c r="A105" i="11"/>
  <c r="A92" i="11"/>
  <c r="A107" i="11"/>
  <c r="A84" i="11"/>
  <c r="A14" i="11"/>
  <c r="A69" i="11"/>
  <c r="A115" i="11"/>
  <c r="A98" i="11"/>
  <c r="A2"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84" i="13"/>
  <c r="A27" i="13"/>
  <c r="A28" i="13"/>
  <c r="A29" i="13"/>
  <c r="A91" i="13"/>
  <c r="A92" i="13"/>
  <c r="A30" i="13"/>
  <c r="A93" i="13"/>
  <c r="A31" i="13"/>
  <c r="A32" i="13"/>
  <c r="A94" i="13"/>
  <c r="A95" i="13"/>
  <c r="A96" i="13"/>
  <c r="A97" i="13"/>
  <c r="A98" i="13"/>
  <c r="A85" i="13"/>
  <c r="A69" i="13"/>
  <c r="A70" i="13"/>
  <c r="A99" i="13"/>
  <c r="A33" i="13"/>
  <c r="A2" i="13"/>
  <c r="A3" i="13"/>
  <c r="A100" i="13"/>
  <c r="A59" i="13"/>
  <c r="A101" i="13"/>
  <c r="A60" i="13"/>
  <c r="A61" i="13"/>
  <c r="A102" i="13"/>
  <c r="A4" i="13"/>
  <c r="A103" i="13"/>
  <c r="A71" i="13"/>
  <c r="A34" i="13"/>
  <c r="A104" i="13"/>
  <c r="A35" i="13"/>
  <c r="A36" i="13"/>
  <c r="A72" i="13"/>
  <c r="A86" i="13"/>
  <c r="A5" i="13"/>
  <c r="A105" i="13"/>
  <c r="A106" i="13"/>
  <c r="A6" i="13"/>
  <c r="A7" i="13"/>
  <c r="A8" i="13"/>
  <c r="A37" i="13"/>
  <c r="A107" i="13"/>
  <c r="A108" i="13"/>
  <c r="A109" i="13"/>
  <c r="A38" i="13"/>
  <c r="A110" i="13"/>
  <c r="A111" i="13"/>
  <c r="A39" i="13"/>
  <c r="A112" i="13"/>
  <c r="A73" i="13"/>
  <c r="A40" i="13"/>
  <c r="A113" i="13"/>
  <c r="A41" i="13"/>
  <c r="A114" i="13"/>
  <c r="A90" i="13"/>
  <c r="A42" i="13"/>
  <c r="A9" i="13"/>
  <c r="A66" i="13"/>
  <c r="A10" i="13"/>
  <c r="A43" i="13"/>
  <c r="A44" i="13"/>
  <c r="A115" i="13"/>
  <c r="A74" i="13"/>
  <c r="A45" i="13"/>
  <c r="A75" i="13"/>
  <c r="A76" i="13"/>
  <c r="A89" i="13"/>
  <c r="A77" i="13"/>
  <c r="A116" i="13"/>
  <c r="A117" i="13"/>
  <c r="A118" i="13"/>
  <c r="A119" i="13"/>
  <c r="A11" i="13"/>
  <c r="A78" i="13"/>
  <c r="A62" i="13"/>
  <c r="A67" i="13"/>
  <c r="A46" i="13"/>
  <c r="A47" i="13"/>
  <c r="A87" i="13"/>
  <c r="A48" i="13"/>
  <c r="A79" i="13"/>
  <c r="A120" i="13"/>
  <c r="A63" i="13"/>
  <c r="A12" i="13"/>
  <c r="A121" i="13"/>
  <c r="A122" i="13"/>
  <c r="A88" i="13"/>
  <c r="A13" i="13"/>
  <c r="A14" i="13"/>
  <c r="A15" i="13"/>
  <c r="A16" i="13"/>
  <c r="A17" i="13"/>
  <c r="A18" i="13"/>
  <c r="A19" i="13"/>
  <c r="A20" i="13"/>
  <c r="A123" i="13"/>
  <c r="A124" i="13"/>
  <c r="A125" i="13"/>
  <c r="A49" i="13"/>
  <c r="A126" i="13"/>
  <c r="A50" i="13"/>
  <c r="A51" i="13"/>
  <c r="A52" i="13"/>
  <c r="A21" i="13"/>
  <c r="A22" i="13"/>
  <c r="A127" i="13"/>
  <c r="A53" i="13"/>
  <c r="A128" i="13"/>
  <c r="A54" i="13"/>
  <c r="A129" i="13"/>
  <c r="A130" i="13"/>
  <c r="A55" i="13"/>
  <c r="A131" i="13"/>
  <c r="A56" i="13"/>
  <c r="A64" i="13"/>
  <c r="A57" i="13"/>
  <c r="A132" i="13"/>
  <c r="A80" i="13"/>
  <c r="A81" i="13"/>
  <c r="A65" i="13"/>
  <c r="A23" i="13"/>
  <c r="A82" i="13"/>
  <c r="A58" i="13"/>
  <c r="A83" i="13"/>
  <c r="A24" i="13"/>
  <c r="A133" i="13"/>
  <c r="A68" i="13"/>
  <c r="A25" i="13"/>
  <c r="A134" i="13"/>
  <c r="A26" i="13"/>
  <c r="N114" i="13"/>
  <c r="N111" i="13" a="1"/>
  <c r="N111" i="13"/>
  <c r="N110" i="13" a="1"/>
  <c r="N110" i="13"/>
  <c r="N109" i="13" a="1"/>
  <c r="N109" i="13"/>
  <c r="N69" i="11"/>
  <c r="O69" i="11"/>
  <c r="N84" i="11"/>
  <c r="O84" i="11"/>
  <c r="N14" i="11"/>
  <c r="O14" i="11"/>
  <c r="U36" i="11"/>
  <c r="Y10" i="11"/>
  <c r="Z10" i="11"/>
  <c r="AA10" i="11"/>
  <c r="AB10" i="11"/>
  <c r="AC10" i="11"/>
  <c r="AD10" i="11"/>
  <c r="AE10" i="11"/>
  <c r="AF10" i="11"/>
  <c r="AG10" i="11"/>
  <c r="AH10" i="11"/>
  <c r="AK10" i="11"/>
  <c r="AL10" i="11"/>
  <c r="AM10" i="11"/>
  <c r="U10" i="11"/>
  <c r="AN10" i="11" a="1"/>
  <c r="AN10" i="11"/>
  <c r="AO10" i="11" a="1"/>
  <c r="AO10" i="11"/>
  <c r="AJ10" i="11" s="1"/>
  <c r="AO6" i="11" a="1"/>
  <c r="AO6" i="11"/>
  <c r="AO4" i="11" a="1"/>
  <c r="AO4" i="11"/>
  <c r="AO2" i="11" a="1"/>
  <c r="AO2" i="11"/>
  <c r="AO23" i="11" a="1"/>
  <c r="AO23" i="11"/>
  <c r="AO20" i="11" a="1"/>
  <c r="AO20" i="11"/>
  <c r="AO12" i="11" a="1"/>
  <c r="AO12" i="11"/>
  <c r="AO15" i="11" a="1"/>
  <c r="AO15" i="11"/>
  <c r="AO7" i="11" a="1"/>
  <c r="AO7" i="11"/>
  <c r="AO26" i="11" a="1"/>
  <c r="AO26" i="11"/>
  <c r="AO13" i="11" a="1"/>
  <c r="AO13" i="11"/>
  <c r="AO21" i="11" a="1"/>
  <c r="AO21" i="11"/>
  <c r="AO11" i="11" a="1"/>
  <c r="AO11" i="11"/>
  <c r="AO14" i="11" a="1"/>
  <c r="AO14" i="11"/>
  <c r="AO28" i="11" a="1"/>
  <c r="AO28" i="11"/>
  <c r="AO30" i="11" a="1"/>
  <c r="AO30" i="11"/>
  <c r="AO17" i="11" a="1"/>
  <c r="AO17" i="11"/>
  <c r="AO31" i="11" a="1"/>
  <c r="AO31" i="11"/>
  <c r="AO32" i="11" a="1"/>
  <c r="AO32" i="11"/>
  <c r="AO18" i="11" a="1"/>
  <c r="AO18" i="11"/>
  <c r="AO9" i="11" a="1"/>
  <c r="AO9" i="11"/>
  <c r="AO24" i="11" a="1"/>
  <c r="AO24" i="11"/>
  <c r="AO5" i="11" a="1"/>
  <c r="AO5" i="11"/>
  <c r="AN5" i="11" a="1"/>
  <c r="AN5" i="11"/>
  <c r="AN6" i="11" a="1"/>
  <c r="AN6" i="11"/>
  <c r="AN4" i="11" a="1"/>
  <c r="AN4" i="11"/>
  <c r="AN2" i="11" a="1"/>
  <c r="AN2" i="11"/>
  <c r="AN23" i="11" a="1"/>
  <c r="AN23" i="11"/>
  <c r="AN20" i="11" a="1"/>
  <c r="AN20" i="11"/>
  <c r="AN12" i="11" a="1"/>
  <c r="AN12" i="11"/>
  <c r="AN15" i="11" a="1"/>
  <c r="AN15" i="11"/>
  <c r="AN7" i="11" a="1"/>
  <c r="AN7" i="11"/>
  <c r="AN26" i="11" a="1"/>
  <c r="AN26" i="11"/>
  <c r="AN13" i="11" a="1"/>
  <c r="AN13" i="11"/>
  <c r="AN21" i="11" a="1"/>
  <c r="AN21" i="11"/>
  <c r="AN11" i="11" a="1"/>
  <c r="AN11" i="11"/>
  <c r="AN14" i="11" a="1"/>
  <c r="AN14" i="11"/>
  <c r="AN28" i="11" a="1"/>
  <c r="AN28" i="11"/>
  <c r="AN30" i="11" a="1"/>
  <c r="AN30" i="11"/>
  <c r="AN17" i="11" a="1"/>
  <c r="AN17" i="11"/>
  <c r="AN32" i="11" a="1"/>
  <c r="AN32" i="11"/>
  <c r="AN18" i="11" a="1"/>
  <c r="AN18" i="11"/>
  <c r="AN9" i="11" a="1"/>
  <c r="AN9" i="11"/>
  <c r="AN24" i="11" a="1"/>
  <c r="AN24" i="11"/>
  <c r="U5" i="11"/>
  <c r="U6" i="11"/>
  <c r="U4" i="11"/>
  <c r="U2" i="11"/>
  <c r="U23" i="11"/>
  <c r="U20" i="11"/>
  <c r="U12" i="11"/>
  <c r="U15" i="11"/>
  <c r="U7" i="11"/>
  <c r="U26" i="11"/>
  <c r="U13" i="11"/>
  <c r="U21" i="11"/>
  <c r="U11" i="11"/>
  <c r="U14" i="11"/>
  <c r="U28" i="11"/>
  <c r="U30" i="11"/>
  <c r="U17" i="11"/>
  <c r="U31" i="11"/>
  <c r="U32" i="11"/>
  <c r="U34" i="11"/>
  <c r="U18" i="11"/>
  <c r="U33" i="11"/>
  <c r="U9" i="11"/>
  <c r="U38" i="11"/>
  <c r="U27" i="11"/>
  <c r="U39" i="11"/>
  <c r="U40" i="11"/>
  <c r="U42" i="11"/>
  <c r="U24" i="11"/>
  <c r="U46" i="11"/>
  <c r="AF2" i="7" a="1"/>
  <c r="AF2" i="7"/>
  <c r="O8" i="11"/>
  <c r="O9" i="11"/>
  <c r="O11" i="11"/>
  <c r="O12" i="11"/>
  <c r="O4" i="11"/>
  <c r="O13" i="11"/>
  <c r="O49" i="11"/>
  <c r="O60" i="11"/>
  <c r="O52" i="11"/>
  <c r="O53" i="11"/>
  <c r="O64" i="11"/>
  <c r="O65" i="11"/>
  <c r="O66" i="11"/>
  <c r="O67" i="11"/>
  <c r="O68" i="11"/>
  <c r="O62" i="11"/>
  <c r="O83" i="11"/>
  <c r="O91" i="11"/>
  <c r="O104" i="11"/>
  <c r="O94" i="11"/>
  <c r="O77" i="11"/>
  <c r="O95" i="11"/>
  <c r="O96" i="11"/>
  <c r="O105" i="11"/>
  <c r="O92" i="11"/>
  <c r="O107" i="11"/>
  <c r="O115" i="11"/>
  <c r="O98" i="11"/>
  <c r="N105" i="11"/>
  <c r="N92" i="11"/>
  <c r="N107" i="11"/>
  <c r="N115" i="11"/>
  <c r="N77" i="11"/>
  <c r="N60" i="11"/>
  <c r="N8" i="11"/>
  <c r="BG19" i="11"/>
  <c r="N4" i="11"/>
  <c r="N12" i="11"/>
  <c r="N64" i="11"/>
  <c r="AG4" i="11"/>
  <c r="AH4" i="11"/>
  <c r="AG12" i="11"/>
  <c r="AH12" i="11"/>
  <c r="AG15" i="11"/>
  <c r="AH15" i="11"/>
  <c r="AG7" i="11"/>
  <c r="AH7" i="11"/>
  <c r="AG26" i="11"/>
  <c r="AH26" i="11"/>
  <c r="AH2" i="11"/>
  <c r="AG5" i="11"/>
  <c r="AG23" i="11"/>
  <c r="AG20" i="11"/>
  <c r="AG14" i="11"/>
  <c r="AG6" i="11"/>
  <c r="AG28" i="11"/>
  <c r="AG30" i="11"/>
  <c r="Y18" i="11"/>
  <c r="Z18" i="11"/>
  <c r="AA18" i="11"/>
  <c r="AB18" i="11"/>
  <c r="AC18" i="11"/>
  <c r="AD18" i="11"/>
  <c r="AE18" i="11"/>
  <c r="AF18" i="11"/>
  <c r="AG18" i="11"/>
  <c r="AH18" i="11"/>
  <c r="AK18" i="11"/>
  <c r="AL18" i="11"/>
  <c r="AM18" i="11"/>
  <c r="N62" i="11"/>
  <c r="N96" i="11"/>
  <c r="N95" i="11"/>
  <c r="N53" i="11"/>
  <c r="N98" i="11"/>
  <c r="N67" i="11"/>
  <c r="N66" i="11"/>
  <c r="N83" i="11"/>
  <c r="N68" i="11"/>
  <c r="N11" i="11"/>
  <c r="N65" i="11"/>
  <c r="N52" i="11"/>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60" i="12"/>
  <c r="I6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60" i="12"/>
  <c r="H6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60" i="12"/>
  <c r="C61" i="12"/>
  <c r="B32"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60" i="12"/>
  <c r="K6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60" i="12"/>
  <c r="G6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60" i="12"/>
  <c r="F6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60" i="12"/>
  <c r="E6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60" i="12"/>
  <c r="D61" i="12"/>
  <c r="B33" i="12"/>
  <c r="B34" i="12"/>
  <c r="B36" i="12"/>
  <c r="B37" i="12"/>
  <c r="B38" i="12"/>
  <c r="B39" i="12"/>
  <c r="B40" i="12"/>
  <c r="B41" i="12"/>
  <c r="B42" i="12"/>
  <c r="B43" i="12"/>
  <c r="B44" i="12"/>
  <c r="B45" i="12"/>
  <c r="B46" i="12"/>
  <c r="B47" i="12"/>
  <c r="B48" i="12"/>
  <c r="B50" i="12"/>
  <c r="B51" i="12"/>
  <c r="B53" i="12"/>
  <c r="B54" i="12"/>
  <c r="B55" i="12"/>
  <c r="B58" i="12"/>
  <c r="B61" i="12"/>
  <c r="E3" i="12"/>
  <c r="N104" i="11"/>
  <c r="N94" i="11"/>
  <c r="N9" i="11"/>
  <c r="M132" i="11"/>
  <c r="L132" i="11"/>
  <c r="N13" i="11"/>
  <c r="AF4" i="11"/>
  <c r="AE4" i="11"/>
  <c r="Z4" i="11"/>
  <c r="Y4" i="11"/>
  <c r="D22" i="12"/>
  <c r="AF13" i="11"/>
  <c r="AE13" i="11"/>
  <c r="AD13" i="11"/>
  <c r="AC13" i="11"/>
  <c r="AB13" i="11"/>
  <c r="AA13" i="11"/>
  <c r="Z13" i="11"/>
  <c r="Y13" i="11"/>
  <c r="AK13" i="11"/>
  <c r="AM13" i="11"/>
  <c r="AL13" i="11"/>
  <c r="R22" i="12" a="1"/>
  <c r="R22" i="12"/>
  <c r="Q22" i="12" a="1"/>
  <c r="Q22" i="12"/>
  <c r="M22" i="12"/>
  <c r="E22" i="12"/>
  <c r="F22" i="12"/>
  <c r="G22" i="12"/>
  <c r="H22" i="12"/>
  <c r="I22" i="12"/>
  <c r="K22" i="12"/>
  <c r="L22" i="12"/>
  <c r="N22" i="12"/>
  <c r="D25" i="12"/>
  <c r="R29" i="12" a="1"/>
  <c r="R29" i="12"/>
  <c r="Q29" i="12" a="1"/>
  <c r="Q29" i="12"/>
  <c r="M29" i="12"/>
  <c r="L29" i="12"/>
  <c r="N29" i="12"/>
  <c r="K29" i="12"/>
  <c r="J29" i="12"/>
  <c r="I29" i="12"/>
  <c r="H29" i="12"/>
  <c r="P29" i="12"/>
  <c r="G29" i="12"/>
  <c r="F29" i="12"/>
  <c r="O29" i="12"/>
  <c r="E29" i="12"/>
  <c r="R28" i="12" a="1"/>
  <c r="R28" i="12"/>
  <c r="Q28" i="12" a="1"/>
  <c r="Q28" i="12"/>
  <c r="M28" i="12"/>
  <c r="L28" i="12"/>
  <c r="N28" i="12"/>
  <c r="K28" i="12"/>
  <c r="J28" i="12"/>
  <c r="I28" i="12"/>
  <c r="H28" i="12"/>
  <c r="P28" i="12"/>
  <c r="G28" i="12"/>
  <c r="F28" i="12"/>
  <c r="O28" i="12"/>
  <c r="E28" i="12"/>
  <c r="R27" i="12" a="1"/>
  <c r="R27" i="12"/>
  <c r="Q27" i="12" a="1"/>
  <c r="Q27" i="12"/>
  <c r="L27" i="12"/>
  <c r="R24" i="12" a="1"/>
  <c r="R24" i="12"/>
  <c r="Q24" i="12" a="1"/>
  <c r="Q24" i="12"/>
  <c r="M24" i="12"/>
  <c r="L24" i="12"/>
  <c r="N24" i="12"/>
  <c r="K24" i="12"/>
  <c r="J24" i="12"/>
  <c r="I24" i="12"/>
  <c r="H24" i="12"/>
  <c r="P24" i="12"/>
  <c r="G24" i="12"/>
  <c r="F24" i="12"/>
  <c r="O24" i="12"/>
  <c r="E24" i="12"/>
  <c r="R23" i="12" a="1"/>
  <c r="R23" i="12"/>
  <c r="Q23" i="12" a="1"/>
  <c r="Q23" i="12"/>
  <c r="M23" i="12"/>
  <c r="L23" i="12"/>
  <c r="N23" i="12"/>
  <c r="K23" i="12"/>
  <c r="J23" i="12"/>
  <c r="I23" i="12"/>
  <c r="H23" i="12"/>
  <c r="P23" i="12"/>
  <c r="G23" i="12"/>
  <c r="F23" i="12"/>
  <c r="O23" i="12"/>
  <c r="E23" i="12"/>
  <c r="D23" i="12"/>
  <c r="R13" i="12" a="1"/>
  <c r="R13" i="12"/>
  <c r="Q13" i="12" a="1"/>
  <c r="Q13" i="12"/>
  <c r="M13" i="12"/>
  <c r="L13" i="12"/>
  <c r="N13" i="12"/>
  <c r="K13" i="12"/>
  <c r="J13" i="12"/>
  <c r="I13" i="12"/>
  <c r="H13" i="12"/>
  <c r="P13" i="12"/>
  <c r="G13" i="12"/>
  <c r="F13" i="12"/>
  <c r="O13" i="12"/>
  <c r="E13" i="12"/>
  <c r="D13" i="12"/>
  <c r="R25" i="12" a="1"/>
  <c r="R25" i="12"/>
  <c r="Q25" i="12" a="1"/>
  <c r="Q25" i="12"/>
  <c r="M25" i="12"/>
  <c r="L25" i="12"/>
  <c r="N25" i="12"/>
  <c r="K25" i="12"/>
  <c r="J25" i="12"/>
  <c r="I25" i="12"/>
  <c r="H25" i="12"/>
  <c r="P25" i="12"/>
  <c r="G25" i="12"/>
  <c r="F25" i="12"/>
  <c r="O25" i="12"/>
  <c r="E25" i="12"/>
  <c r="R12" i="12" a="1"/>
  <c r="R12" i="12"/>
  <c r="Q12" i="12" a="1"/>
  <c r="Q12" i="12"/>
  <c r="M12" i="12"/>
  <c r="L12" i="12"/>
  <c r="N12" i="12"/>
  <c r="K12" i="12"/>
  <c r="J12" i="12"/>
  <c r="I12" i="12"/>
  <c r="H12" i="12"/>
  <c r="P12" i="12"/>
  <c r="G12" i="12"/>
  <c r="F12" i="12"/>
  <c r="O12" i="12"/>
  <c r="E12" i="12"/>
  <c r="D12" i="12"/>
  <c r="R18" i="12" a="1"/>
  <c r="R18" i="12"/>
  <c r="Q18" i="12" a="1"/>
  <c r="Q18" i="12"/>
  <c r="M18" i="12"/>
  <c r="L18" i="12"/>
  <c r="N18" i="12"/>
  <c r="K18" i="12"/>
  <c r="J18" i="12"/>
  <c r="I18" i="12"/>
  <c r="H18" i="12"/>
  <c r="P18" i="12"/>
  <c r="G18" i="12"/>
  <c r="F18" i="12"/>
  <c r="O18" i="12"/>
  <c r="E18" i="12"/>
  <c r="D18" i="12"/>
  <c r="R21" i="12" a="1"/>
  <c r="R21" i="12"/>
  <c r="Q21" i="12" a="1"/>
  <c r="Q21" i="12"/>
  <c r="M21" i="12"/>
  <c r="L21" i="12"/>
  <c r="N21" i="12"/>
  <c r="K21" i="12"/>
  <c r="J21" i="12"/>
  <c r="I21" i="12"/>
  <c r="H21" i="12"/>
  <c r="P21" i="12"/>
  <c r="G21" i="12"/>
  <c r="F21" i="12"/>
  <c r="O21" i="12"/>
  <c r="E21" i="12"/>
  <c r="R20" i="12" a="1"/>
  <c r="R20" i="12"/>
  <c r="Q20" i="12" a="1"/>
  <c r="Q20" i="12"/>
  <c r="M20" i="12"/>
  <c r="L20" i="12"/>
  <c r="N20" i="12"/>
  <c r="K20" i="12"/>
  <c r="J20" i="12"/>
  <c r="I20" i="12"/>
  <c r="H20" i="12"/>
  <c r="P20" i="12"/>
  <c r="G20" i="12"/>
  <c r="F20" i="12"/>
  <c r="O20" i="12"/>
  <c r="E20" i="12"/>
  <c r="D20" i="12"/>
  <c r="AL18" i="12"/>
  <c r="AK18" i="12"/>
  <c r="AJ18" i="12"/>
  <c r="R14" i="12" a="1"/>
  <c r="R14" i="12"/>
  <c r="Q14" i="12" a="1"/>
  <c r="Q14" i="12"/>
  <c r="M14" i="12"/>
  <c r="L14" i="12"/>
  <c r="N14" i="12"/>
  <c r="K14" i="12"/>
  <c r="J14" i="12"/>
  <c r="I14" i="12"/>
  <c r="H14" i="12"/>
  <c r="P14" i="12"/>
  <c r="G14" i="12"/>
  <c r="F14" i="12"/>
  <c r="O14" i="12"/>
  <c r="E14" i="12"/>
  <c r="D14" i="12"/>
  <c r="R15" i="12" a="1"/>
  <c r="R15" i="12"/>
  <c r="Q15" i="12" a="1"/>
  <c r="Q15" i="12"/>
  <c r="M15" i="12"/>
  <c r="L15" i="12"/>
  <c r="N15" i="12"/>
  <c r="K15" i="12"/>
  <c r="J15" i="12"/>
  <c r="I15" i="12"/>
  <c r="H15" i="12"/>
  <c r="P15" i="12"/>
  <c r="G15" i="12"/>
  <c r="F15" i="12"/>
  <c r="O15" i="12"/>
  <c r="E15" i="12"/>
  <c r="D15" i="12"/>
  <c r="R19" i="12" a="1"/>
  <c r="R19" i="12"/>
  <c r="Q19" i="12" a="1"/>
  <c r="Q19" i="12"/>
  <c r="M19" i="12"/>
  <c r="L19" i="12"/>
  <c r="N19" i="12"/>
  <c r="K19" i="12"/>
  <c r="J19" i="12"/>
  <c r="I19" i="12"/>
  <c r="H19" i="12"/>
  <c r="P19" i="12"/>
  <c r="G19" i="12"/>
  <c r="F19" i="12"/>
  <c r="O19" i="12"/>
  <c r="E19" i="12"/>
  <c r="D19" i="12"/>
  <c r="R7" i="12" a="1"/>
  <c r="R7" i="12"/>
  <c r="Q7" i="12" a="1"/>
  <c r="Q7" i="12"/>
  <c r="M7" i="12"/>
  <c r="L7" i="12"/>
  <c r="N7" i="12"/>
  <c r="K7" i="12"/>
  <c r="J7" i="12"/>
  <c r="I7" i="12"/>
  <c r="H7" i="12"/>
  <c r="P7" i="12"/>
  <c r="G7" i="12"/>
  <c r="F7" i="12"/>
  <c r="O7" i="12"/>
  <c r="E7" i="12"/>
  <c r="D7" i="12"/>
  <c r="R17" i="12" a="1"/>
  <c r="R17" i="12"/>
  <c r="Q17" i="12" a="1"/>
  <c r="Q17" i="12"/>
  <c r="M17" i="12"/>
  <c r="L17" i="12"/>
  <c r="N17" i="12"/>
  <c r="K17" i="12"/>
  <c r="J17" i="12"/>
  <c r="I17" i="12"/>
  <c r="H17" i="12"/>
  <c r="P17" i="12"/>
  <c r="G17" i="12"/>
  <c r="F17" i="12"/>
  <c r="O17" i="12"/>
  <c r="E17" i="12"/>
  <c r="D17" i="12"/>
  <c r="R10" i="12" a="1"/>
  <c r="R10" i="12"/>
  <c r="Q10" i="12" a="1"/>
  <c r="Q10" i="12"/>
  <c r="M10" i="12"/>
  <c r="L10" i="12"/>
  <c r="N10" i="12"/>
  <c r="K10" i="12"/>
  <c r="J10" i="12"/>
  <c r="I10" i="12"/>
  <c r="H10" i="12"/>
  <c r="P10" i="12"/>
  <c r="G10" i="12"/>
  <c r="F10" i="12"/>
  <c r="O10" i="12"/>
  <c r="E10" i="12"/>
  <c r="D10" i="12"/>
  <c r="R16" i="12" a="1"/>
  <c r="R16" i="12"/>
  <c r="Q16" i="12" a="1"/>
  <c r="Q16" i="12"/>
  <c r="M16" i="12"/>
  <c r="L16" i="12"/>
  <c r="N16" i="12"/>
  <c r="K16" i="12"/>
  <c r="J16" i="12"/>
  <c r="I16" i="12"/>
  <c r="H16" i="12"/>
  <c r="P16" i="12"/>
  <c r="G16" i="12"/>
  <c r="F16" i="12"/>
  <c r="O16" i="12"/>
  <c r="E16" i="12"/>
  <c r="R26" i="12" a="1"/>
  <c r="R26" i="12"/>
  <c r="Q26" i="12" a="1"/>
  <c r="Q26" i="12"/>
  <c r="M26" i="12"/>
  <c r="L26" i="12"/>
  <c r="N26" i="12"/>
  <c r="K26" i="12"/>
  <c r="J26" i="12"/>
  <c r="I26" i="12"/>
  <c r="H26" i="12"/>
  <c r="P26" i="12"/>
  <c r="G26" i="12"/>
  <c r="F26" i="12"/>
  <c r="O26" i="12"/>
  <c r="E26" i="12"/>
  <c r="D26" i="12"/>
  <c r="R9" i="12" a="1"/>
  <c r="R9" i="12"/>
  <c r="Q9" i="12" a="1"/>
  <c r="Q9" i="12"/>
  <c r="M9" i="12"/>
  <c r="L9" i="12"/>
  <c r="N9" i="12"/>
  <c r="K9" i="12"/>
  <c r="J9" i="12"/>
  <c r="I9" i="12"/>
  <c r="H9" i="12"/>
  <c r="P9" i="12"/>
  <c r="G9" i="12"/>
  <c r="F9" i="12"/>
  <c r="O9" i="12"/>
  <c r="E9" i="12"/>
  <c r="R11" i="12" a="1"/>
  <c r="R11" i="12"/>
  <c r="Q11" i="12" a="1"/>
  <c r="Q11" i="12"/>
  <c r="M11" i="12"/>
  <c r="L11" i="12"/>
  <c r="N11" i="12"/>
  <c r="K11" i="12"/>
  <c r="J11" i="12"/>
  <c r="I11" i="12"/>
  <c r="H11" i="12"/>
  <c r="P11" i="12"/>
  <c r="G11" i="12"/>
  <c r="F11" i="12"/>
  <c r="O11" i="12"/>
  <c r="E11" i="12"/>
  <c r="D11" i="12"/>
  <c r="R5" i="12" a="1"/>
  <c r="R5" i="12"/>
  <c r="Q5" i="12" a="1"/>
  <c r="Q5" i="12"/>
  <c r="M5" i="12"/>
  <c r="L5" i="12"/>
  <c r="N5" i="12"/>
  <c r="K5" i="12"/>
  <c r="J5" i="12"/>
  <c r="I5" i="12"/>
  <c r="H5" i="12"/>
  <c r="P5" i="12"/>
  <c r="G5" i="12"/>
  <c r="F5" i="12"/>
  <c r="O5" i="12"/>
  <c r="E5" i="12"/>
  <c r="D5" i="12"/>
  <c r="R4" i="12" a="1"/>
  <c r="R4" i="12"/>
  <c r="Q4" i="12" a="1"/>
  <c r="Q4" i="12"/>
  <c r="M4" i="12"/>
  <c r="L4" i="12"/>
  <c r="N4" i="12"/>
  <c r="K4" i="12"/>
  <c r="J4" i="12"/>
  <c r="I4" i="12"/>
  <c r="H4" i="12"/>
  <c r="P4" i="12"/>
  <c r="G4" i="12"/>
  <c r="F4" i="12"/>
  <c r="O4" i="12"/>
  <c r="E4" i="12"/>
  <c r="D4" i="12"/>
  <c r="R6" i="12" a="1"/>
  <c r="R6" i="12"/>
  <c r="Q6" i="12" a="1"/>
  <c r="Q6" i="12"/>
  <c r="M6" i="12"/>
  <c r="L6" i="12"/>
  <c r="N6" i="12"/>
  <c r="K6" i="12"/>
  <c r="J6" i="12"/>
  <c r="I6" i="12"/>
  <c r="H6" i="12"/>
  <c r="P6" i="12"/>
  <c r="G6" i="12"/>
  <c r="F6" i="12"/>
  <c r="O6" i="12"/>
  <c r="E6" i="12"/>
  <c r="D6" i="12"/>
  <c r="R3" i="12" a="1"/>
  <c r="R3" i="12"/>
  <c r="Q3" i="12" a="1"/>
  <c r="Q3" i="12"/>
  <c r="M3" i="12"/>
  <c r="L3" i="12"/>
  <c r="N3" i="12"/>
  <c r="K3" i="12"/>
  <c r="J3" i="12"/>
  <c r="I3" i="12"/>
  <c r="H3" i="12"/>
  <c r="P3" i="12"/>
  <c r="G3" i="12"/>
  <c r="F3" i="12"/>
  <c r="O3" i="12"/>
  <c r="D3" i="12"/>
  <c r="R2" i="12" a="1"/>
  <c r="R2" i="12"/>
  <c r="Q2" i="12" a="1"/>
  <c r="Q2" i="12"/>
  <c r="M2" i="12"/>
  <c r="L2" i="12"/>
  <c r="N2" i="12"/>
  <c r="K2" i="12"/>
  <c r="J2" i="12"/>
  <c r="I2" i="12"/>
  <c r="H2" i="12"/>
  <c r="P2" i="12"/>
  <c r="G2" i="12"/>
  <c r="F2" i="12"/>
  <c r="O2" i="12"/>
  <c r="E2" i="12"/>
  <c r="D2" i="12"/>
  <c r="R8" i="12" a="1"/>
  <c r="R8" i="12"/>
  <c r="Q8" i="12" a="1"/>
  <c r="Q8" i="12"/>
  <c r="M8" i="12"/>
  <c r="L8" i="12"/>
  <c r="N8" i="12"/>
  <c r="K8" i="12"/>
  <c r="J8" i="12"/>
  <c r="I8" i="12"/>
  <c r="H8" i="12"/>
  <c r="P8" i="12"/>
  <c r="G8" i="12"/>
  <c r="F8" i="12"/>
  <c r="O8" i="12"/>
  <c r="E8" i="12"/>
  <c r="D8" i="12"/>
  <c r="V23" i="7"/>
  <c r="U14" i="7"/>
  <c r="N91" i="11"/>
  <c r="J117" i="7"/>
  <c r="G119" i="7"/>
  <c r="H119" i="7"/>
  <c r="AF25" i="7" a="1"/>
  <c r="AF25" i="7"/>
  <c r="AF5" i="7" a="1"/>
  <c r="AF5" i="7"/>
  <c r="AF26" i="7" a="1"/>
  <c r="AF26" i="7"/>
  <c r="AF19" i="7" a="1"/>
  <c r="AF19" i="7"/>
  <c r="AF20" i="7" a="1"/>
  <c r="AF20" i="7"/>
  <c r="AF18" i="7" a="1"/>
  <c r="AF18" i="7"/>
  <c r="AF15" i="7" a="1"/>
  <c r="AF15" i="7"/>
  <c r="AF23" i="7" a="1"/>
  <c r="AF23" i="7"/>
  <c r="AF22" i="7" a="1"/>
  <c r="AF22" i="7"/>
  <c r="AF14" i="7" a="1"/>
  <c r="AF14" i="7"/>
  <c r="AF17" i="7" a="1"/>
  <c r="AF17" i="7"/>
  <c r="AF12" i="7" a="1"/>
  <c r="AF12" i="7"/>
  <c r="AF16" i="7" a="1"/>
  <c r="AF16" i="7"/>
  <c r="AF21" i="7" a="1"/>
  <c r="AF21" i="7"/>
  <c r="AF7" i="7" a="1"/>
  <c r="AF7" i="7"/>
  <c r="AF10" i="7" a="1"/>
  <c r="AF10" i="7"/>
  <c r="AF6" i="7" a="1"/>
  <c r="AF6" i="7"/>
  <c r="AF8" i="7" a="1"/>
  <c r="AF8" i="7"/>
  <c r="AF24" i="7" a="1"/>
  <c r="AF24" i="7"/>
  <c r="AF28" i="7" a="1"/>
  <c r="AF28" i="7"/>
  <c r="AF4" i="7" a="1"/>
  <c r="AF4" i="7"/>
  <c r="AF9" i="7" a="1"/>
  <c r="AF9" i="7"/>
  <c r="AF11" i="7" a="1"/>
  <c r="AF11" i="7"/>
  <c r="AG2" i="7" a="1"/>
  <c r="AG2" i="7"/>
  <c r="AG4" i="7" a="1"/>
  <c r="AG4" i="7"/>
  <c r="AG9" i="7" a="1"/>
  <c r="AG9" i="7"/>
  <c r="AG28" i="7" a="1"/>
  <c r="AG28" i="7"/>
  <c r="AG25" i="7" a="1"/>
  <c r="AG25" i="7"/>
  <c r="AG5" i="7" a="1"/>
  <c r="AG5" i="7"/>
  <c r="AG26" i="7" a="1"/>
  <c r="AG26" i="7"/>
  <c r="AG24" i="7" a="1"/>
  <c r="AG24" i="7"/>
  <c r="AG19" i="7" a="1"/>
  <c r="AG19" i="7"/>
  <c r="AG20" i="7" a="1"/>
  <c r="AG20" i="7"/>
  <c r="AG18" i="7" a="1"/>
  <c r="AG18" i="7"/>
  <c r="AG15" i="7" a="1"/>
  <c r="AG15" i="7"/>
  <c r="AG23" i="7" a="1"/>
  <c r="AG23" i="7"/>
  <c r="AG22" i="7" a="1"/>
  <c r="AG22" i="7"/>
  <c r="AG14" i="7" a="1"/>
  <c r="AG14" i="7"/>
  <c r="AG17" i="7" a="1"/>
  <c r="AG17" i="7"/>
  <c r="AG12" i="7" a="1"/>
  <c r="AG12" i="7"/>
  <c r="AG16" i="7" a="1"/>
  <c r="AG16" i="7"/>
  <c r="AG21" i="7" a="1"/>
  <c r="AG21" i="7"/>
  <c r="AG11" i="7" a="1"/>
  <c r="AG11" i="7"/>
  <c r="AG7" i="7" a="1"/>
  <c r="AG7" i="7"/>
  <c r="AG10" i="7" a="1"/>
  <c r="AG10" i="7"/>
  <c r="AG6" i="7" a="1"/>
  <c r="AG6" i="7"/>
  <c r="AG8" i="7" a="1"/>
  <c r="AG8" i="7"/>
  <c r="AG29" i="7" a="1"/>
  <c r="AG29" i="7"/>
  <c r="AF29" i="7" a="1"/>
  <c r="AF29" i="7"/>
  <c r="AG13" i="7" a="1"/>
  <c r="AG13" i="7"/>
  <c r="AF13" i="7" a="1"/>
  <c r="AF13" i="7"/>
  <c r="AG27" i="7" a="1"/>
  <c r="AG27" i="7"/>
  <c r="AF27" i="7" a="1"/>
  <c r="AF27" i="7"/>
  <c r="AG3" i="7" a="1"/>
  <c r="AG3" i="7"/>
  <c r="AF3" i="7" a="1"/>
  <c r="AF3" i="7"/>
  <c r="AH31" i="11"/>
  <c r="AG31" i="11"/>
  <c r="AK31" i="11"/>
  <c r="AF31" i="11"/>
  <c r="AE31" i="11"/>
  <c r="AD31" i="11"/>
  <c r="AC31" i="11"/>
  <c r="AM31" i="11"/>
  <c r="AB31" i="11"/>
  <c r="AA31" i="11"/>
  <c r="AL31" i="11"/>
  <c r="Z31" i="11"/>
  <c r="Y31" i="11"/>
  <c r="AH21" i="11"/>
  <c r="AG21" i="11"/>
  <c r="AK21" i="11"/>
  <c r="AF21" i="11"/>
  <c r="AE21" i="11"/>
  <c r="AD21" i="11"/>
  <c r="AC21" i="11"/>
  <c r="AM21" i="11"/>
  <c r="AB21" i="11"/>
  <c r="AA21" i="11"/>
  <c r="AL21" i="11"/>
  <c r="Z21" i="11"/>
  <c r="Y21" i="11"/>
  <c r="AH9" i="11"/>
  <c r="AG9" i="11"/>
  <c r="AK9" i="11"/>
  <c r="AF9" i="11"/>
  <c r="AE9" i="11"/>
  <c r="AD9" i="11"/>
  <c r="AC9" i="11"/>
  <c r="AM9" i="11"/>
  <c r="AB9" i="11"/>
  <c r="AA9" i="11"/>
  <c r="AL9" i="11"/>
  <c r="Z9" i="11"/>
  <c r="Y9" i="11"/>
  <c r="AH32" i="11"/>
  <c r="AG32" i="11"/>
  <c r="AK32" i="11"/>
  <c r="AF32" i="11"/>
  <c r="AE32" i="11"/>
  <c r="AD32" i="11"/>
  <c r="AC32" i="11"/>
  <c r="AM32" i="11"/>
  <c r="AB32" i="11"/>
  <c r="AA32" i="11"/>
  <c r="AL32" i="11"/>
  <c r="Z32" i="11"/>
  <c r="Y32" i="11"/>
  <c r="AH17" i="11"/>
  <c r="AG17" i="11"/>
  <c r="AK17" i="11"/>
  <c r="AF17" i="11"/>
  <c r="AE17" i="11"/>
  <c r="AD17" i="11"/>
  <c r="AC17" i="11"/>
  <c r="AM17" i="11"/>
  <c r="AB17" i="11"/>
  <c r="AA17" i="11"/>
  <c r="AL17" i="11"/>
  <c r="Z17" i="11"/>
  <c r="Y17" i="11"/>
  <c r="AK7" i="11"/>
  <c r="AF7" i="11"/>
  <c r="AE7" i="11"/>
  <c r="AD7" i="11"/>
  <c r="AC7" i="11"/>
  <c r="AM7" i="11"/>
  <c r="AA7" i="11"/>
  <c r="AL7" i="11"/>
  <c r="Z7" i="11"/>
  <c r="Y7" i="11"/>
  <c r="BH19" i="11"/>
  <c r="AH11" i="11"/>
  <c r="AG11" i="11"/>
  <c r="AK11" i="11"/>
  <c r="AF11" i="11"/>
  <c r="AE11" i="11"/>
  <c r="AD11" i="11"/>
  <c r="AC11" i="11"/>
  <c r="AM11" i="11"/>
  <c r="AB11" i="11"/>
  <c r="AA11" i="11"/>
  <c r="AL11" i="11"/>
  <c r="Z11" i="11"/>
  <c r="Y11" i="11"/>
  <c r="AH14" i="11"/>
  <c r="AK14" i="11"/>
  <c r="AF14" i="11"/>
  <c r="AE14" i="11"/>
  <c r="AD14" i="11"/>
  <c r="AC14" i="11"/>
  <c r="AM14" i="11"/>
  <c r="AB14" i="11"/>
  <c r="AA14" i="11"/>
  <c r="AL14" i="11"/>
  <c r="Z14" i="11"/>
  <c r="Y14" i="11"/>
  <c r="AH5" i="11"/>
  <c r="AK5" i="11"/>
  <c r="AF5" i="11"/>
  <c r="AE5" i="11"/>
  <c r="AD5" i="11"/>
  <c r="AC5" i="11"/>
  <c r="AM5" i="11"/>
  <c r="AB5" i="11"/>
  <c r="AA5" i="11"/>
  <c r="AL5" i="11"/>
  <c r="Z5" i="11"/>
  <c r="Y5" i="11"/>
  <c r="AH28" i="11"/>
  <c r="AK28" i="11"/>
  <c r="AF28" i="11"/>
  <c r="AE28" i="11"/>
  <c r="AD28" i="11"/>
  <c r="AC28" i="11"/>
  <c r="AM28" i="11"/>
  <c r="AB28" i="11"/>
  <c r="AA28" i="11"/>
  <c r="AL28" i="11"/>
  <c r="Z28" i="11"/>
  <c r="Y28" i="11"/>
  <c r="AH24" i="11"/>
  <c r="AG24" i="11"/>
  <c r="AK24" i="11"/>
  <c r="AF24" i="11"/>
  <c r="AE24" i="11"/>
  <c r="AD24" i="11"/>
  <c r="AC24" i="11"/>
  <c r="AM24" i="11"/>
  <c r="AB24" i="11"/>
  <c r="AA24" i="11"/>
  <c r="AL24" i="11"/>
  <c r="Z24" i="11"/>
  <c r="Y24" i="11"/>
  <c r="AH30" i="11"/>
  <c r="AK30" i="11"/>
  <c r="AF30" i="11"/>
  <c r="AE30" i="11"/>
  <c r="AD30" i="11"/>
  <c r="AC30" i="11"/>
  <c r="AM30" i="11"/>
  <c r="AB30" i="11"/>
  <c r="AA30" i="11"/>
  <c r="AL30" i="11"/>
  <c r="Z30" i="11"/>
  <c r="AH23" i="11"/>
  <c r="AK23" i="11"/>
  <c r="AF23" i="11"/>
  <c r="AE23" i="11"/>
  <c r="AD23" i="11"/>
  <c r="AC23" i="11"/>
  <c r="AM23" i="11"/>
  <c r="AB23" i="11"/>
  <c r="AA23" i="11"/>
  <c r="AL23" i="11"/>
  <c r="Z23" i="11"/>
  <c r="Y23" i="11"/>
  <c r="AH20" i="11"/>
  <c r="AK20" i="11"/>
  <c r="AF20" i="11"/>
  <c r="AE20" i="11"/>
  <c r="AD20" i="11"/>
  <c r="AC20" i="11"/>
  <c r="AM20" i="11"/>
  <c r="AB20" i="11"/>
  <c r="AA20" i="11"/>
  <c r="AL20" i="11"/>
  <c r="Z20" i="11"/>
  <c r="Y20" i="11"/>
  <c r="AK15" i="11"/>
  <c r="AF15" i="11"/>
  <c r="AE15" i="11"/>
  <c r="AD15" i="11"/>
  <c r="AC15" i="11"/>
  <c r="AM15" i="11"/>
  <c r="AB15" i="11"/>
  <c r="AA15" i="11"/>
  <c r="AL15" i="11"/>
  <c r="Z15" i="11"/>
  <c r="Y15" i="11"/>
  <c r="AH6" i="11"/>
  <c r="AK6" i="11"/>
  <c r="AF6" i="11"/>
  <c r="AE6" i="11"/>
  <c r="AD6" i="11"/>
  <c r="AC6" i="11"/>
  <c r="AM6" i="11"/>
  <c r="AB6" i="11"/>
  <c r="AA6" i="11"/>
  <c r="AL6" i="11"/>
  <c r="Z6" i="11"/>
  <c r="Y6" i="11"/>
  <c r="AK12" i="11"/>
  <c r="AF12" i="11"/>
  <c r="AE12" i="11"/>
  <c r="AD12" i="11"/>
  <c r="AC12" i="11"/>
  <c r="AM12" i="11"/>
  <c r="AB12" i="11"/>
  <c r="AA12" i="11"/>
  <c r="AL12" i="11"/>
  <c r="Z12" i="11"/>
  <c r="Y12" i="11"/>
  <c r="AK4" i="11"/>
  <c r="AD4" i="11"/>
  <c r="AC4" i="11"/>
  <c r="AM4" i="11"/>
  <c r="AB4" i="11"/>
  <c r="AA4" i="11"/>
  <c r="AL4" i="11"/>
  <c r="AK26" i="11"/>
  <c r="AF26" i="11"/>
  <c r="AE26" i="11"/>
  <c r="AD26" i="11"/>
  <c r="AC26" i="11"/>
  <c r="AM26" i="11"/>
  <c r="AB26" i="11"/>
  <c r="AA26" i="11"/>
  <c r="AL26" i="11"/>
  <c r="Z26" i="11"/>
  <c r="Y26" i="11"/>
  <c r="AK2" i="11"/>
  <c r="AF2" i="11"/>
  <c r="AE2" i="11"/>
  <c r="AD2" i="11"/>
  <c r="AC2" i="11"/>
  <c r="AM2" i="11"/>
  <c r="AB2" i="11"/>
  <c r="AA2" i="11"/>
  <c r="AL2" i="11"/>
  <c r="Z2" i="11"/>
  <c r="Y2" i="11"/>
  <c r="N49" i="11"/>
  <c r="I52" i="7"/>
  <c r="J52" i="7"/>
  <c r="I20" i="7"/>
  <c r="J20" i="7"/>
  <c r="I27" i="7"/>
  <c r="J27" i="7"/>
  <c r="I8" i="7"/>
  <c r="J8" i="7"/>
  <c r="I116" i="7"/>
  <c r="J116" i="7"/>
  <c r="S3" i="7"/>
  <c r="T3" i="7"/>
  <c r="U3" i="7"/>
  <c r="V3" i="7"/>
  <c r="W3" i="7"/>
  <c r="X3" i="7"/>
  <c r="Y3" i="7"/>
  <c r="Z3" i="7"/>
  <c r="AA3" i="7"/>
  <c r="AB3" i="7"/>
  <c r="AC3" i="7"/>
  <c r="AD3" i="7"/>
  <c r="AE3" i="7"/>
  <c r="AH3" i="7"/>
  <c r="AI3" i="7"/>
  <c r="S27" i="7"/>
  <c r="T27" i="7"/>
  <c r="U27" i="7"/>
  <c r="V27" i="7"/>
  <c r="W27" i="7"/>
  <c r="X27" i="7"/>
  <c r="Y27" i="7"/>
  <c r="Z27" i="7"/>
  <c r="AA27" i="7"/>
  <c r="AB27" i="7"/>
  <c r="AC27" i="7"/>
  <c r="AD27" i="7"/>
  <c r="AE27" i="7"/>
  <c r="AH27" i="7"/>
  <c r="AI27" i="7"/>
  <c r="S13" i="7"/>
  <c r="T13" i="7"/>
  <c r="U13" i="7"/>
  <c r="V13" i="7"/>
  <c r="W13" i="7"/>
  <c r="X13" i="7"/>
  <c r="Y13" i="7"/>
  <c r="Z13" i="7"/>
  <c r="AA13" i="7"/>
  <c r="AB13" i="7"/>
  <c r="AC13" i="7"/>
  <c r="AD13" i="7"/>
  <c r="AE13" i="7"/>
  <c r="AH13" i="7"/>
  <c r="AI13" i="7"/>
  <c r="S29" i="7"/>
  <c r="T29" i="7"/>
  <c r="U29" i="7"/>
  <c r="V29" i="7"/>
  <c r="W29" i="7"/>
  <c r="X29" i="7"/>
  <c r="Y29" i="7"/>
  <c r="Z29" i="7"/>
  <c r="AA29" i="7"/>
  <c r="AB29" i="7"/>
  <c r="AC29" i="7"/>
  <c r="AD29" i="7"/>
  <c r="AE29" i="7"/>
  <c r="AH29" i="7"/>
  <c r="AI29" i="7"/>
  <c r="I115" i="7"/>
  <c r="J115" i="7"/>
  <c r="I113" i="7"/>
  <c r="J113" i="7"/>
  <c r="I114" i="7"/>
  <c r="J114" i="7"/>
  <c r="I83" i="7"/>
  <c r="J83" i="7"/>
  <c r="I112" i="7"/>
  <c r="J112" i="7"/>
  <c r="I111" i="7"/>
  <c r="J111" i="7"/>
  <c r="I26" i="7"/>
  <c r="J26" i="7"/>
  <c r="I19" i="7"/>
  <c r="J19" i="7"/>
  <c r="I110" i="7"/>
  <c r="J110" i="7"/>
  <c r="I109" i="7"/>
  <c r="J109" i="7"/>
  <c r="I40" i="7"/>
  <c r="J40" i="7"/>
  <c r="I108" i="7"/>
  <c r="J108" i="7"/>
  <c r="AA4" i="7"/>
  <c r="AB4" i="7"/>
  <c r="Z4" i="7"/>
  <c r="Y4" i="7"/>
  <c r="X4" i="7"/>
  <c r="W4" i="7"/>
  <c r="V4" i="7"/>
  <c r="U4" i="7"/>
  <c r="T4" i="7"/>
  <c r="S4" i="7"/>
  <c r="S2" i="7"/>
  <c r="I82" i="7"/>
  <c r="J82" i="7"/>
  <c r="S9" i="7"/>
  <c r="T9" i="7"/>
  <c r="U9" i="7"/>
  <c r="V9" i="7"/>
  <c r="W9" i="7"/>
  <c r="X9" i="7"/>
  <c r="Y9" i="7"/>
  <c r="Z9" i="7"/>
  <c r="AA9" i="7"/>
  <c r="AB9" i="7"/>
  <c r="S28" i="7"/>
  <c r="I107" i="7"/>
  <c r="J107" i="7"/>
  <c r="I10" i="7"/>
  <c r="J10" i="7"/>
  <c r="I81" i="7"/>
  <c r="J81" i="7"/>
  <c r="I18" i="7"/>
  <c r="J18" i="7"/>
  <c r="AC9" i="7"/>
  <c r="AD9" i="7"/>
  <c r="AE9" i="7"/>
  <c r="AH9" i="7"/>
  <c r="AI9" i="7"/>
  <c r="I106" i="7"/>
  <c r="J106" i="7"/>
  <c r="AC4" i="7"/>
  <c r="S8" i="7"/>
  <c r="T8" i="7"/>
  <c r="U8" i="7"/>
  <c r="V8" i="7"/>
  <c r="W8" i="7"/>
  <c r="X8" i="7"/>
  <c r="Y8" i="7"/>
  <c r="Z8" i="7"/>
  <c r="AA8" i="7"/>
  <c r="AB8" i="7"/>
  <c r="S6" i="7"/>
  <c r="T6" i="7"/>
  <c r="U6" i="7"/>
  <c r="V6" i="7"/>
  <c r="W6" i="7"/>
  <c r="X6" i="7"/>
  <c r="Y6" i="7"/>
  <c r="Z6" i="7"/>
  <c r="AA6" i="7"/>
  <c r="AB6" i="7"/>
  <c r="S10" i="7"/>
  <c r="T10" i="7"/>
  <c r="U10" i="7"/>
  <c r="V10" i="7"/>
  <c r="W10" i="7"/>
  <c r="X10" i="7"/>
  <c r="Y10" i="7"/>
  <c r="Z10" i="7"/>
  <c r="AA10" i="7"/>
  <c r="AB10" i="7"/>
  <c r="S7" i="7"/>
  <c r="T7" i="7"/>
  <c r="U7" i="7"/>
  <c r="V7" i="7"/>
  <c r="W7" i="7"/>
  <c r="X7" i="7"/>
  <c r="Y7" i="7"/>
  <c r="Z7" i="7"/>
  <c r="AA7" i="7"/>
  <c r="AB7" i="7"/>
  <c r="S11" i="7"/>
  <c r="T11" i="7"/>
  <c r="U11" i="7"/>
  <c r="V11" i="7"/>
  <c r="W11" i="7"/>
  <c r="X11" i="7"/>
  <c r="Y11" i="7"/>
  <c r="Z11" i="7"/>
  <c r="AA11" i="7"/>
  <c r="AB11" i="7"/>
  <c r="S21" i="7"/>
  <c r="T21" i="7"/>
  <c r="U21" i="7"/>
  <c r="V21" i="7"/>
  <c r="W21" i="7"/>
  <c r="X21" i="7"/>
  <c r="Y21" i="7"/>
  <c r="Z21" i="7"/>
  <c r="AA21" i="7"/>
  <c r="AB21" i="7"/>
  <c r="S16" i="7"/>
  <c r="T16" i="7"/>
  <c r="U16" i="7"/>
  <c r="V16" i="7"/>
  <c r="W16" i="7"/>
  <c r="X16" i="7"/>
  <c r="Y16" i="7"/>
  <c r="Z16" i="7"/>
  <c r="AA16" i="7"/>
  <c r="AB16" i="7"/>
  <c r="S12" i="7"/>
  <c r="T12" i="7"/>
  <c r="U12" i="7"/>
  <c r="V12" i="7"/>
  <c r="W12" i="7"/>
  <c r="X12" i="7"/>
  <c r="Y12" i="7"/>
  <c r="Z12" i="7"/>
  <c r="AA12" i="7"/>
  <c r="AB12" i="7"/>
  <c r="S17" i="7"/>
  <c r="T17" i="7"/>
  <c r="U17" i="7"/>
  <c r="V17" i="7"/>
  <c r="W17" i="7"/>
  <c r="X17" i="7"/>
  <c r="Y17" i="7"/>
  <c r="Z17" i="7"/>
  <c r="AA17" i="7"/>
  <c r="AB17" i="7"/>
  <c r="S14" i="7"/>
  <c r="T14" i="7"/>
  <c r="V14" i="7"/>
  <c r="W14" i="7"/>
  <c r="X14" i="7"/>
  <c r="Y14" i="7"/>
  <c r="Z14" i="7"/>
  <c r="AA14" i="7"/>
  <c r="AB14" i="7"/>
  <c r="S22" i="7"/>
  <c r="T22" i="7"/>
  <c r="U22" i="7"/>
  <c r="V22" i="7"/>
  <c r="W22" i="7"/>
  <c r="X22" i="7"/>
  <c r="Y22" i="7"/>
  <c r="Z22" i="7"/>
  <c r="AA22" i="7"/>
  <c r="AB22" i="7"/>
  <c r="S23" i="7"/>
  <c r="T23" i="7"/>
  <c r="U23" i="7"/>
  <c r="W23" i="7"/>
  <c r="X23" i="7"/>
  <c r="Y23" i="7"/>
  <c r="Z23" i="7"/>
  <c r="AA23" i="7"/>
  <c r="AB23" i="7"/>
  <c r="S15" i="7"/>
  <c r="T15" i="7"/>
  <c r="U15" i="7"/>
  <c r="V15" i="7"/>
  <c r="W15" i="7"/>
  <c r="X15" i="7"/>
  <c r="Y15" i="7"/>
  <c r="Z15" i="7"/>
  <c r="AA15" i="7"/>
  <c r="AB15" i="7"/>
  <c r="S18" i="7"/>
  <c r="T18" i="7"/>
  <c r="U18" i="7"/>
  <c r="V18" i="7"/>
  <c r="W18" i="7"/>
  <c r="X18" i="7"/>
  <c r="Y18" i="7"/>
  <c r="Z18" i="7"/>
  <c r="AA18" i="7"/>
  <c r="AB18" i="7"/>
  <c r="S20" i="7"/>
  <c r="T20" i="7"/>
  <c r="U20" i="7"/>
  <c r="V20" i="7"/>
  <c r="W20" i="7"/>
  <c r="X20" i="7"/>
  <c r="Y20" i="7"/>
  <c r="Z20" i="7"/>
  <c r="AA20" i="7"/>
  <c r="AB20" i="7"/>
  <c r="S19" i="7"/>
  <c r="T19" i="7"/>
  <c r="U19" i="7"/>
  <c r="V19" i="7"/>
  <c r="W19" i="7"/>
  <c r="X19" i="7"/>
  <c r="Y19" i="7"/>
  <c r="Z19" i="7"/>
  <c r="AA19" i="7"/>
  <c r="AB19" i="7"/>
  <c r="S24" i="7"/>
  <c r="T24" i="7"/>
  <c r="U24" i="7"/>
  <c r="V24" i="7"/>
  <c r="W24" i="7"/>
  <c r="X24" i="7"/>
  <c r="Y24" i="7"/>
  <c r="Z24" i="7"/>
  <c r="AA24" i="7"/>
  <c r="AB24" i="7"/>
  <c r="S26" i="7"/>
  <c r="T26" i="7"/>
  <c r="U26" i="7"/>
  <c r="V26" i="7"/>
  <c r="W26" i="7"/>
  <c r="X26" i="7"/>
  <c r="Y26" i="7"/>
  <c r="Z26" i="7"/>
  <c r="AA26" i="7"/>
  <c r="AB26" i="7"/>
  <c r="S5" i="7"/>
  <c r="T5" i="7"/>
  <c r="U5" i="7"/>
  <c r="V5" i="7"/>
  <c r="W5" i="7"/>
  <c r="X5" i="7"/>
  <c r="Y5" i="7"/>
  <c r="Z5" i="7"/>
  <c r="AA5" i="7"/>
  <c r="AB5" i="7"/>
  <c r="S25" i="7"/>
  <c r="T25" i="7"/>
  <c r="U25" i="7"/>
  <c r="V25" i="7"/>
  <c r="W25" i="7"/>
  <c r="X25" i="7"/>
  <c r="Y25" i="7"/>
  <c r="Z25" i="7"/>
  <c r="AA25" i="7"/>
  <c r="AB25" i="7"/>
  <c r="T28" i="7"/>
  <c r="U28" i="7"/>
  <c r="V28" i="7"/>
  <c r="W28" i="7"/>
  <c r="X28" i="7"/>
  <c r="Y28" i="7"/>
  <c r="Z28" i="7"/>
  <c r="AA28" i="7"/>
  <c r="AB28" i="7"/>
  <c r="AB2" i="7"/>
  <c r="AA2" i="7"/>
  <c r="AC2" i="7"/>
  <c r="Z2" i="7"/>
  <c r="Y2" i="7"/>
  <c r="X2" i="7"/>
  <c r="W2" i="7"/>
  <c r="AE2" i="7"/>
  <c r="V2" i="7"/>
  <c r="U2" i="7"/>
  <c r="AD2" i="7"/>
  <c r="T2" i="7"/>
  <c r="I13" i="7"/>
  <c r="J13" i="7"/>
  <c r="I79" i="7"/>
  <c r="J79" i="7"/>
  <c r="I78" i="7"/>
  <c r="J78" i="7"/>
  <c r="I80" i="7"/>
  <c r="J80" i="7"/>
  <c r="AH28" i="7"/>
  <c r="AI28" i="7"/>
  <c r="AH12" i="7"/>
  <c r="J31" i="7"/>
  <c r="I31" i="7"/>
  <c r="J14" i="7"/>
  <c r="I14" i="7"/>
  <c r="J61" i="7"/>
  <c r="I61" i="7"/>
  <c r="J60" i="7"/>
  <c r="I60" i="7"/>
  <c r="J59" i="7"/>
  <c r="I59" i="7"/>
  <c r="J58" i="7"/>
  <c r="I58" i="7"/>
  <c r="J57" i="7"/>
  <c r="I57" i="7"/>
  <c r="J56" i="7"/>
  <c r="I56" i="7"/>
  <c r="J55" i="7"/>
  <c r="I55" i="7"/>
  <c r="J54" i="7"/>
  <c r="I54" i="7"/>
  <c r="J53" i="7"/>
  <c r="I53" i="7"/>
  <c r="J105" i="7"/>
  <c r="I105" i="7"/>
  <c r="J104" i="7"/>
  <c r="I104" i="7"/>
  <c r="J103" i="7"/>
  <c r="I103" i="7"/>
  <c r="J102" i="7"/>
  <c r="I102" i="7"/>
  <c r="J101" i="7"/>
  <c r="I101" i="7"/>
  <c r="J100" i="7"/>
  <c r="I100" i="7"/>
  <c r="J99" i="7"/>
  <c r="I99" i="7"/>
  <c r="J98" i="7"/>
  <c r="I98" i="7"/>
  <c r="J97" i="7"/>
  <c r="I97" i="7"/>
  <c r="J96" i="7"/>
  <c r="I96" i="7"/>
  <c r="J95" i="7"/>
  <c r="I95" i="7"/>
  <c r="J94" i="7"/>
  <c r="I94" i="7"/>
  <c r="J93" i="7"/>
  <c r="I93" i="7"/>
  <c r="J92" i="7"/>
  <c r="I92" i="7"/>
  <c r="J91" i="7"/>
  <c r="I91" i="7"/>
  <c r="J90" i="7"/>
  <c r="I90" i="7"/>
  <c r="J89" i="7"/>
  <c r="I89" i="7"/>
  <c r="J88" i="7"/>
  <c r="I88" i="7"/>
  <c r="J87" i="7"/>
  <c r="I87" i="7"/>
  <c r="J86" i="7"/>
  <c r="I86" i="7"/>
  <c r="J85" i="7"/>
  <c r="I85" i="7"/>
  <c r="J84" i="7"/>
  <c r="I84" i="7"/>
  <c r="J4" i="7"/>
  <c r="I4" i="7"/>
  <c r="J30" i="7"/>
  <c r="I30" i="7"/>
  <c r="J29" i="7"/>
  <c r="I29" i="7"/>
  <c r="J28" i="7"/>
  <c r="I28" i="7"/>
  <c r="J5" i="7"/>
  <c r="I5" i="7"/>
  <c r="J9" i="7"/>
  <c r="I9" i="7"/>
  <c r="I118" i="7"/>
  <c r="J51" i="7"/>
  <c r="I51" i="7"/>
  <c r="J50" i="7"/>
  <c r="I50" i="7"/>
  <c r="J49" i="7"/>
  <c r="I49" i="7"/>
  <c r="J48" i="7"/>
  <c r="I48" i="7"/>
  <c r="J47" i="7"/>
  <c r="I47" i="7"/>
  <c r="J46" i="7"/>
  <c r="I46" i="7"/>
  <c r="J45" i="7"/>
  <c r="I45" i="7"/>
  <c r="J12" i="7"/>
  <c r="I12" i="7"/>
  <c r="J44" i="7"/>
  <c r="I44" i="7"/>
  <c r="J43" i="7"/>
  <c r="I43" i="7"/>
  <c r="J42" i="7"/>
  <c r="I42" i="7"/>
  <c r="J41" i="7"/>
  <c r="I41" i="7"/>
  <c r="J3" i="7"/>
  <c r="I3" i="7"/>
  <c r="J7" i="7"/>
  <c r="I7" i="7"/>
  <c r="J6" i="7"/>
  <c r="I6" i="7"/>
  <c r="J2" i="7"/>
  <c r="I2" i="7"/>
  <c r="J25" i="7"/>
  <c r="I25" i="7"/>
  <c r="J24" i="7"/>
  <c r="I24" i="7"/>
  <c r="J23" i="7"/>
  <c r="I23" i="7"/>
  <c r="J22" i="7"/>
  <c r="I22" i="7"/>
  <c r="J21" i="7"/>
  <c r="I21" i="7"/>
  <c r="J77" i="7"/>
  <c r="I77" i="7"/>
  <c r="J76" i="7"/>
  <c r="I76" i="7"/>
  <c r="J75" i="7"/>
  <c r="I75" i="7"/>
  <c r="J74" i="7"/>
  <c r="I74" i="7"/>
  <c r="J73" i="7"/>
  <c r="I73" i="7"/>
  <c r="J72" i="7"/>
  <c r="I72" i="7"/>
  <c r="J71" i="7"/>
  <c r="I71" i="7"/>
  <c r="J70" i="7"/>
  <c r="I70" i="7"/>
  <c r="J69" i="7"/>
  <c r="I69" i="7"/>
  <c r="J68" i="7"/>
  <c r="I68" i="7"/>
  <c r="AY18" i="7"/>
  <c r="AR18" i="7"/>
  <c r="J67" i="7"/>
  <c r="I67" i="7"/>
  <c r="J66" i="7"/>
  <c r="I66" i="7"/>
  <c r="J65" i="7"/>
  <c r="I65" i="7"/>
  <c r="J64" i="7"/>
  <c r="I64" i="7"/>
  <c r="J63" i="7"/>
  <c r="I63" i="7"/>
  <c r="J62" i="7"/>
  <c r="I62" i="7"/>
  <c r="J39" i="7"/>
  <c r="I39" i="7"/>
  <c r="J38" i="7"/>
  <c r="I38" i="7"/>
  <c r="J37" i="7"/>
  <c r="I37" i="7"/>
  <c r="J11" i="7"/>
  <c r="I11" i="7"/>
  <c r="J36" i="7"/>
  <c r="I36" i="7"/>
  <c r="J35" i="7"/>
  <c r="I35" i="7"/>
  <c r="J34" i="7"/>
  <c r="I34" i="7"/>
  <c r="J33" i="7"/>
  <c r="I33" i="7"/>
  <c r="J17" i="7"/>
  <c r="I17" i="7"/>
  <c r="J16" i="7"/>
  <c r="I16" i="7"/>
  <c r="J15" i="7"/>
  <c r="I15" i="7"/>
  <c r="J119" i="7"/>
  <c r="P22" i="12"/>
  <c r="O22" i="12"/>
  <c r="J22" i="12"/>
  <c r="S22" i="12"/>
  <c r="T22" i="12"/>
  <c r="S8" i="12"/>
  <c r="T8" i="12"/>
  <c r="S2" i="12"/>
  <c r="T2" i="12"/>
  <c r="S3" i="12"/>
  <c r="T3" i="12"/>
  <c r="S6" i="12"/>
  <c r="T6" i="12"/>
  <c r="S4" i="12"/>
  <c r="T4" i="12"/>
  <c r="S5" i="12"/>
  <c r="T5" i="12"/>
  <c r="S11" i="12"/>
  <c r="T11" i="12"/>
  <c r="S9" i="12"/>
  <c r="T9" i="12"/>
  <c r="S26" i="12"/>
  <c r="T26" i="12"/>
  <c r="S16" i="12"/>
  <c r="T16" i="12"/>
  <c r="S10" i="12"/>
  <c r="T10" i="12"/>
  <c r="S17" i="12"/>
  <c r="T17" i="12"/>
  <c r="S7" i="12"/>
  <c r="T7" i="12"/>
  <c r="S19" i="12"/>
  <c r="T19" i="12"/>
  <c r="S15" i="12"/>
  <c r="T15" i="12"/>
  <c r="S14" i="12"/>
  <c r="T14" i="12"/>
  <c r="S20" i="12"/>
  <c r="T20" i="12"/>
  <c r="S21" i="12"/>
  <c r="T21" i="12"/>
  <c r="S18" i="12"/>
  <c r="T18" i="12"/>
  <c r="S12" i="12"/>
  <c r="T12" i="12"/>
  <c r="S25" i="12"/>
  <c r="T25" i="12"/>
  <c r="S13" i="12"/>
  <c r="T13" i="12"/>
  <c r="S23" i="12"/>
  <c r="T23" i="12"/>
  <c r="S24" i="12"/>
  <c r="T24" i="12"/>
  <c r="S27" i="12"/>
  <c r="T27" i="12"/>
  <c r="S28" i="12"/>
  <c r="T28" i="12"/>
  <c r="S29" i="12"/>
  <c r="T29" i="12"/>
  <c r="K117" i="7"/>
  <c r="I119" i="7"/>
  <c r="K52" i="7"/>
  <c r="K20"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53" i="7"/>
  <c r="K54" i="7"/>
  <c r="K55" i="7"/>
  <c r="K56" i="7"/>
  <c r="K57" i="7"/>
  <c r="K58" i="7"/>
  <c r="K59" i="7"/>
  <c r="K60" i="7"/>
  <c r="K61" i="7"/>
  <c r="K31" i="7"/>
  <c r="K116" i="7"/>
  <c r="K27" i="7"/>
  <c r="K8" i="7"/>
  <c r="K83" i="7"/>
  <c r="K26" i="7"/>
  <c r="K19" i="7"/>
  <c r="K40" i="7"/>
  <c r="K82" i="7"/>
  <c r="K81" i="7"/>
  <c r="K10" i="7"/>
  <c r="K18" i="7"/>
  <c r="AE4" i="7"/>
  <c r="AD4" i="7"/>
  <c r="AC25" i="7"/>
  <c r="AE25" i="7"/>
  <c r="AD25" i="7"/>
  <c r="AC5" i="7"/>
  <c r="AE5" i="7"/>
  <c r="AD5" i="7"/>
  <c r="AC26" i="7"/>
  <c r="AE26" i="7"/>
  <c r="AD26" i="7"/>
  <c r="AC24" i="7"/>
  <c r="AE24" i="7"/>
  <c r="AD24" i="7"/>
  <c r="AC19" i="7"/>
  <c r="AE19" i="7"/>
  <c r="AD19" i="7"/>
  <c r="AC20" i="7"/>
  <c r="AE20" i="7"/>
  <c r="AD20" i="7"/>
  <c r="AC18" i="7"/>
  <c r="AE18" i="7"/>
  <c r="AD18" i="7"/>
  <c r="AC15" i="7"/>
  <c r="AE15" i="7"/>
  <c r="AD15" i="7"/>
  <c r="AC23" i="7"/>
  <c r="AE23" i="7"/>
  <c r="AD23" i="7"/>
  <c r="AC22" i="7"/>
  <c r="AE22" i="7"/>
  <c r="AD22" i="7"/>
  <c r="AC14" i="7"/>
  <c r="AE14" i="7"/>
  <c r="AD14" i="7"/>
  <c r="AC17" i="7"/>
  <c r="AE17" i="7"/>
  <c r="AD17" i="7"/>
  <c r="AC12" i="7"/>
  <c r="AE12" i="7"/>
  <c r="AD12" i="7"/>
  <c r="AC16" i="7"/>
  <c r="AE16" i="7"/>
  <c r="AD16" i="7"/>
  <c r="AC21" i="7"/>
  <c r="AE21" i="7"/>
  <c r="AD21" i="7"/>
  <c r="AC11" i="7"/>
  <c r="AE11" i="7"/>
  <c r="AD11" i="7"/>
  <c r="AC7" i="7"/>
  <c r="AE7" i="7"/>
  <c r="AD7" i="7"/>
  <c r="AC10" i="7"/>
  <c r="AE10" i="7"/>
  <c r="AD10" i="7"/>
  <c r="AC6" i="7"/>
  <c r="AE6" i="7"/>
  <c r="AD6" i="7"/>
  <c r="AC8" i="7"/>
  <c r="AE8" i="7"/>
  <c r="AD8" i="7"/>
  <c r="AD28" i="7"/>
  <c r="AE28" i="7"/>
  <c r="AC28" i="7"/>
  <c r="AS18" i="7"/>
  <c r="AT18" i="7"/>
  <c r="K79" i="7"/>
  <c r="K13" i="7"/>
  <c r="K80" i="7"/>
  <c r="K78" i="7"/>
  <c r="AI12" i="7"/>
  <c r="AH4" i="7"/>
  <c r="AH25" i="7"/>
  <c r="AI25" i="7"/>
  <c r="AH5" i="7"/>
  <c r="AI5" i="7"/>
  <c r="AH26" i="7"/>
  <c r="AI26" i="7"/>
  <c r="AH24" i="7"/>
  <c r="AI24" i="7"/>
  <c r="AH19" i="7"/>
  <c r="AI19" i="7"/>
  <c r="AH20" i="7"/>
  <c r="AI20" i="7"/>
  <c r="AH18" i="7"/>
  <c r="AI18" i="7"/>
  <c r="AH15" i="7"/>
  <c r="AI15" i="7"/>
  <c r="AH23" i="7"/>
  <c r="AI23" i="7"/>
  <c r="AH22" i="7"/>
  <c r="AI22" i="7"/>
  <c r="AH14" i="7"/>
  <c r="AI14" i="7"/>
  <c r="AH17" i="7"/>
  <c r="AI17" i="7"/>
  <c r="AH16" i="7"/>
  <c r="AI16" i="7"/>
  <c r="AH21" i="7"/>
  <c r="AI21" i="7"/>
  <c r="AH11" i="7"/>
  <c r="AI11" i="7"/>
  <c r="AH7" i="7"/>
  <c r="AI7" i="7"/>
  <c r="AH10" i="7"/>
  <c r="AI10" i="7"/>
  <c r="AH6" i="7"/>
  <c r="AI6" i="7"/>
  <c r="AH8" i="7"/>
  <c r="AI8" i="7"/>
  <c r="AH2" i="7"/>
  <c r="AI2" i="7"/>
  <c r="K14" i="7"/>
  <c r="K4" i="7"/>
  <c r="K30" i="7"/>
  <c r="K29" i="7"/>
  <c r="K28" i="7"/>
  <c r="K5" i="7"/>
  <c r="K9" i="7"/>
  <c r="K118" i="7"/>
  <c r="K51" i="7"/>
  <c r="K50" i="7"/>
  <c r="K49" i="7"/>
  <c r="K48" i="7"/>
  <c r="K47" i="7"/>
  <c r="K46" i="7"/>
  <c r="K45" i="7"/>
  <c r="K12" i="7"/>
  <c r="K44" i="7"/>
  <c r="K43" i="7"/>
  <c r="K42" i="7"/>
  <c r="K41" i="7"/>
  <c r="K3" i="7"/>
  <c r="K7" i="7"/>
  <c r="K6" i="7"/>
  <c r="K2" i="7"/>
  <c r="K25" i="7"/>
  <c r="K24" i="7"/>
  <c r="K23" i="7"/>
  <c r="K22" i="7"/>
  <c r="K21" i="7"/>
  <c r="K77" i="7"/>
  <c r="K76" i="7"/>
  <c r="K75" i="7"/>
  <c r="K74" i="7"/>
  <c r="K73" i="7"/>
  <c r="K72" i="7"/>
  <c r="K71" i="7"/>
  <c r="K70" i="7"/>
  <c r="K69" i="7"/>
  <c r="K68" i="7"/>
  <c r="K67" i="7"/>
  <c r="K66" i="7"/>
  <c r="K65" i="7"/>
  <c r="K64" i="7"/>
  <c r="K63" i="7"/>
  <c r="K62" i="7"/>
  <c r="K39" i="7"/>
  <c r="K38" i="7"/>
  <c r="K37" i="7"/>
  <c r="K11" i="7"/>
  <c r="K36" i="7"/>
  <c r="K35" i="7"/>
  <c r="K34" i="7"/>
  <c r="K33" i="7"/>
  <c r="K17" i="7"/>
  <c r="K16" i="7"/>
  <c r="K15" i="7"/>
  <c r="K119" i="7"/>
  <c r="AI18" i="12"/>
  <c r="AW18" i="7"/>
  <c r="AI4" i="7"/>
  <c r="AX18" i="7"/>
  <c r="AV18" i="7"/>
  <c r="AZ18" i="7"/>
  <c r="AU18" i="7"/>
  <c r="AQ18" i="7"/>
  <c r="K87" i="11" l="1"/>
  <c r="P87" i="11"/>
  <c r="K90" i="11"/>
  <c r="P90" i="11"/>
  <c r="K18" i="11"/>
  <c r="P18" i="11"/>
  <c r="K10" i="11"/>
  <c r="P10" i="11"/>
  <c r="K127" i="11"/>
  <c r="P127" i="11"/>
  <c r="J88" i="11"/>
  <c r="K88" i="11"/>
  <c r="P88" i="11"/>
  <c r="P129" i="11"/>
  <c r="P80" i="11"/>
  <c r="P79" i="11"/>
  <c r="P89" i="11"/>
  <c r="P48" i="11"/>
  <c r="P47" i="11"/>
  <c r="P131" i="11"/>
  <c r="P46" i="11"/>
  <c r="P78" i="11"/>
  <c r="P45" i="11"/>
  <c r="P59" i="11"/>
  <c r="P100" i="11"/>
  <c r="P44" i="11"/>
  <c r="P99" i="11"/>
  <c r="P130" i="11"/>
  <c r="P101" i="11"/>
  <c r="P93" i="11"/>
  <c r="G50" i="13"/>
  <c r="G18" i="13"/>
  <c r="G20" i="13"/>
  <c r="G26" i="13"/>
  <c r="G27" i="13"/>
  <c r="G28" i="13"/>
  <c r="G29" i="13"/>
  <c r="G30" i="13"/>
  <c r="G31" i="13"/>
  <c r="G32" i="13"/>
  <c r="G33" i="13"/>
  <c r="G34" i="13"/>
  <c r="G35" i="13"/>
  <c r="G36" i="13"/>
  <c r="G37" i="13"/>
  <c r="G38" i="13"/>
  <c r="G39" i="13"/>
  <c r="G40" i="13"/>
  <c r="G41" i="13"/>
  <c r="G42" i="13"/>
  <c r="G43" i="13"/>
  <c r="G44" i="13"/>
  <c r="G45" i="13"/>
  <c r="G46" i="13"/>
  <c r="G47" i="13"/>
  <c r="G48" i="13"/>
  <c r="G49" i="13"/>
  <c r="G51" i="13"/>
  <c r="G52" i="13"/>
  <c r="G53" i="13"/>
  <c r="G54" i="13"/>
  <c r="G55" i="13"/>
  <c r="G56" i="13"/>
  <c r="G57" i="13"/>
  <c r="G58" i="13"/>
  <c r="G59"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30" i="13"/>
  <c r="G132" i="13"/>
  <c r="G134" i="13"/>
  <c r="P128" i="11"/>
  <c r="P126" i="11"/>
  <c r="P42" i="11"/>
  <c r="P41" i="11"/>
  <c r="P76" i="11"/>
  <c r="P43" i="11"/>
  <c r="P49" i="11"/>
  <c r="P2" i="11"/>
  <c r="P3" i="11"/>
  <c r="P50" i="11"/>
  <c r="P51" i="11"/>
  <c r="P4" i="11"/>
  <c r="P5" i="11"/>
  <c r="P6" i="11"/>
  <c r="P7" i="11"/>
  <c r="P60" i="11"/>
  <c r="P61" i="11"/>
  <c r="P52" i="11"/>
  <c r="P53" i="11"/>
  <c r="P54" i="11"/>
  <c r="P55" i="11"/>
  <c r="P56" i="11"/>
  <c r="P57" i="11"/>
  <c r="P58" i="11"/>
  <c r="P8" i="11"/>
  <c r="P9" i="11"/>
  <c r="P11" i="11"/>
  <c r="P12" i="11"/>
  <c r="P13" i="11"/>
  <c r="P14" i="11"/>
  <c r="P15" i="11"/>
  <c r="P16" i="11"/>
  <c r="P17" i="11"/>
  <c r="P19" i="11"/>
  <c r="P20" i="11"/>
  <c r="P21" i="11"/>
  <c r="P22" i="11"/>
  <c r="P23" i="11"/>
  <c r="P24" i="11"/>
  <c r="P25" i="11"/>
  <c r="P26" i="11"/>
  <c r="P27" i="11"/>
  <c r="P28" i="11"/>
  <c r="P29" i="11"/>
  <c r="P30" i="11"/>
  <c r="P31" i="11"/>
  <c r="P32" i="11"/>
  <c r="P33" i="11"/>
  <c r="P34" i="11"/>
  <c r="P35" i="11"/>
  <c r="P36" i="11"/>
  <c r="P37" i="11"/>
  <c r="P38" i="11"/>
  <c r="P39" i="11"/>
  <c r="P40" i="11"/>
  <c r="P62" i="11"/>
  <c r="P63" i="11"/>
  <c r="P64" i="11"/>
  <c r="P65" i="11"/>
  <c r="P66" i="11"/>
  <c r="P67" i="11"/>
  <c r="P68" i="11"/>
  <c r="P69" i="11"/>
  <c r="P70" i="11"/>
  <c r="P71" i="11"/>
  <c r="P72" i="11"/>
  <c r="P73" i="11"/>
  <c r="P74" i="11"/>
  <c r="P75" i="11"/>
  <c r="P81" i="11"/>
  <c r="P82" i="11"/>
  <c r="P83" i="11"/>
  <c r="P84" i="11"/>
  <c r="P85" i="11"/>
  <c r="P102" i="11"/>
  <c r="P103" i="11"/>
  <c r="P104" i="11"/>
  <c r="P77" i="11"/>
  <c r="P105" i="11"/>
  <c r="P106" i="11"/>
  <c r="P107" i="11"/>
  <c r="P108" i="11"/>
  <c r="P109" i="11"/>
  <c r="P110" i="11"/>
  <c r="P111" i="11"/>
  <c r="P112" i="11"/>
  <c r="P113" i="11"/>
  <c r="P114" i="11"/>
  <c r="P86" i="11"/>
  <c r="P115" i="11"/>
  <c r="P116" i="11"/>
  <c r="P117" i="11"/>
  <c r="P118" i="11"/>
  <c r="P119" i="11"/>
  <c r="P120" i="11"/>
  <c r="P121" i="11"/>
  <c r="P122" i="11"/>
  <c r="P123" i="11"/>
  <c r="P124" i="11"/>
  <c r="P125" i="11"/>
  <c r="P92" i="11"/>
  <c r="P94" i="11"/>
  <c r="P95" i="11"/>
  <c r="P96" i="11"/>
  <c r="P97" i="11"/>
  <c r="P98" i="11"/>
  <c r="P91" i="11"/>
  <c r="AI10" i="11"/>
  <c r="AP10" i="11"/>
  <c r="K59" i="12"/>
  <c r="M27" i="12" s="1"/>
  <c r="N27" i="12" s="1"/>
  <c r="AH18" i="12" s="1"/>
  <c r="AL2" i="7" a="1"/>
  <c r="AL2" i="7" s="1"/>
  <c r="AL25" i="7" a="1"/>
  <c r="AL25" i="7" s="1"/>
  <c r="AL5" i="7" a="1"/>
  <c r="AL5" i="7" s="1"/>
  <c r="AL26" i="7" a="1"/>
  <c r="AL26" i="7" s="1"/>
  <c r="AL24" i="7" a="1"/>
  <c r="AL24" i="7" s="1"/>
  <c r="AL19" i="7" a="1"/>
  <c r="AL19" i="7" s="1"/>
  <c r="AL20" i="7" a="1"/>
  <c r="AL20" i="7" s="1"/>
  <c r="AL18" i="7" a="1"/>
  <c r="AL18" i="7" s="1"/>
  <c r="AL15" i="7" a="1"/>
  <c r="AL15" i="7" s="1"/>
  <c r="AL23" i="7" a="1"/>
  <c r="AL23" i="7" s="1"/>
  <c r="AL22" i="7" a="1"/>
  <c r="AL22" i="7" s="1"/>
  <c r="AL14" i="7" a="1"/>
  <c r="AL14" i="7" s="1"/>
  <c r="AL17" i="7" a="1"/>
  <c r="AL17" i="7" s="1"/>
  <c r="AL12" i="7" a="1"/>
  <c r="AL12" i="7" s="1"/>
  <c r="AL16" i="7" a="1"/>
  <c r="AL16" i="7" s="1"/>
  <c r="AL21" i="7" a="1"/>
  <c r="AL21" i="7" s="1"/>
  <c r="AL11" i="7" a="1"/>
  <c r="AL11" i="7" s="1"/>
  <c r="AL7" i="7" a="1"/>
  <c r="AL7" i="7" s="1"/>
  <c r="AL10" i="7" a="1"/>
  <c r="AL10" i="7" s="1"/>
  <c r="AL6" i="7" a="1"/>
  <c r="AL6" i="7" s="1"/>
  <c r="AL8" i="7" a="1"/>
  <c r="AL8" i="7" s="1"/>
  <c r="AL28" i="7" a="1"/>
  <c r="AL28" i="7" s="1"/>
  <c r="AL9" i="7" a="1"/>
  <c r="AL9" i="7" s="1"/>
  <c r="AL4" i="7" a="1"/>
  <c r="AL4" i="7" s="1"/>
  <c r="AL29" i="7" a="1"/>
  <c r="AL29" i="7" s="1"/>
  <c r="AL13" i="7" a="1"/>
  <c r="AL13" i="7" s="1"/>
  <c r="AL27" i="7" a="1"/>
  <c r="AL27" i="7" s="1"/>
  <c r="AL3" i="7" a="1"/>
  <c r="AL3" i="7" s="1"/>
  <c r="P25" i="7"/>
  <c r="P5" i="7"/>
  <c r="P26" i="7"/>
  <c r="P24" i="7"/>
  <c r="P19" i="7"/>
  <c r="P20" i="7"/>
  <c r="P18" i="7"/>
  <c r="P15" i="7"/>
  <c r="P23" i="7"/>
  <c r="P22" i="7"/>
  <c r="P14" i="7"/>
  <c r="P17" i="7"/>
  <c r="P12" i="7"/>
  <c r="P16" i="7"/>
  <c r="P21" i="7"/>
  <c r="P11" i="7"/>
  <c r="P7" i="7"/>
  <c r="P10" i="7"/>
  <c r="P6" i="7"/>
  <c r="P8" i="7"/>
  <c r="P28" i="7"/>
  <c r="P9" i="7"/>
  <c r="P2" i="7"/>
  <c r="P4" i="7"/>
  <c r="P29" i="7"/>
  <c r="P13" i="7"/>
  <c r="P27" i="7"/>
  <c r="P3" i="7"/>
  <c r="K114" i="11"/>
  <c r="K82" i="11"/>
  <c r="K109" i="11"/>
  <c r="N132" i="11"/>
  <c r="AQ10" i="11" l="1"/>
  <c r="BE19" i="11"/>
  <c r="BA18" i="7"/>
  <c r="AI5" i="11"/>
  <c r="AI7" i="11"/>
  <c r="AI18" i="11"/>
  <c r="AI13" i="11"/>
  <c r="AI31" i="11"/>
  <c r="AI21" i="11"/>
  <c r="AI9" i="11"/>
  <c r="AI32" i="11"/>
  <c r="AI17" i="11"/>
  <c r="AI11" i="11"/>
  <c r="AI14" i="11"/>
  <c r="AI28" i="11"/>
  <c r="AI24" i="11"/>
  <c r="AI30" i="11"/>
  <c r="AI23" i="11"/>
  <c r="AI20" i="11"/>
  <c r="AI15" i="11"/>
  <c r="AI6" i="11"/>
  <c r="AI12" i="11"/>
  <c r="AI4" i="11"/>
  <c r="AI26" i="11"/>
  <c r="AI2" i="11"/>
  <c r="AP5" i="11"/>
  <c r="AQ5" i="11"/>
  <c r="AJ5" i="11"/>
  <c r="AJ6" i="11"/>
  <c r="AP6" i="11"/>
  <c r="AQ6" i="11"/>
  <c r="AJ20" i="11"/>
  <c r="AP20" i="11"/>
  <c r="AQ20" i="11"/>
  <c r="AJ31" i="11"/>
  <c r="AP31" i="11"/>
  <c r="AQ31" i="11"/>
  <c r="AJ24" i="11"/>
  <c r="AP24" i="11"/>
  <c r="AQ24" i="11"/>
  <c r="AJ18" i="11"/>
  <c r="AP18" i="11"/>
  <c r="AQ18" i="11"/>
  <c r="AJ15" i="11"/>
  <c r="AP15" i="11"/>
  <c r="AQ15" i="11"/>
  <c r="AJ23" i="11"/>
  <c r="AP23" i="11"/>
  <c r="AQ23" i="11"/>
  <c r="AJ13" i="11"/>
  <c r="AP13" i="11"/>
  <c r="AQ13" i="11"/>
  <c r="AJ30" i="11"/>
  <c r="AP30" i="11"/>
  <c r="AQ30" i="11"/>
  <c r="AJ9" i="11"/>
  <c r="AP9" i="11"/>
  <c r="AQ9" i="11"/>
  <c r="AJ26" i="11"/>
  <c r="AP26" i="11"/>
  <c r="AQ26" i="11"/>
  <c r="AJ14" i="11"/>
  <c r="AP14" i="11"/>
  <c r="AQ14" i="11" s="1"/>
  <c r="AJ11" i="11"/>
  <c r="AP11" i="11"/>
  <c r="AQ11" i="11"/>
  <c r="AJ17" i="11"/>
  <c r="AP17" i="11"/>
  <c r="AQ17" i="11"/>
  <c r="AJ28" i="11"/>
  <c r="AP28" i="11"/>
  <c r="AQ28" i="11"/>
  <c r="AJ21" i="11"/>
  <c r="AP21" i="11"/>
  <c r="AQ21" i="11"/>
  <c r="AJ32" i="11"/>
  <c r="AP32" i="11"/>
  <c r="AQ32" i="11"/>
  <c r="AJ12" i="11"/>
  <c r="AJ7" i="11"/>
  <c r="AP7" i="11"/>
  <c r="AQ7" i="11"/>
  <c r="AJ2" i="11"/>
  <c r="AP2" i="11"/>
  <c r="AQ2" i="11"/>
  <c r="AJ4" i="11"/>
  <c r="AP12" i="11"/>
  <c r="AQ12" i="11"/>
  <c r="AP4" i="11"/>
  <c r="AQ4" i="11"/>
  <c r="BJ19" i="11" l="1"/>
  <c r="BK19" i="11"/>
  <c r="BF19" i="11"/>
  <c r="D59" i="12"/>
  <c r="F27" i="12" s="1"/>
  <c r="E59" i="12" l="1"/>
  <c r="G27" i="12" s="1"/>
  <c r="O27" i="12" s="1"/>
  <c r="AF18" i="12" s="1"/>
  <c r="BC19" i="11"/>
  <c r="F59" i="12" l="1"/>
  <c r="H27" i="12" s="1"/>
  <c r="H34" i="13"/>
  <c r="H20" i="13"/>
  <c r="H115" i="13"/>
  <c r="H89" i="13"/>
  <c r="H112" i="13"/>
  <c r="H108" i="13"/>
  <c r="H117" i="13"/>
  <c r="H109" i="13"/>
  <c r="H107" i="13"/>
  <c r="H106" i="13"/>
  <c r="H114" i="13"/>
  <c r="H92" i="13"/>
  <c r="H116" i="13"/>
  <c r="H113" i="13"/>
  <c r="H119" i="13"/>
  <c r="H124" i="13"/>
  <c r="H125" i="13"/>
  <c r="H123" i="13"/>
  <c r="H118" i="13"/>
  <c r="H111" i="13"/>
  <c r="H126" i="13"/>
  <c r="H122" i="13"/>
  <c r="H103" i="13"/>
  <c r="H120" i="13"/>
  <c r="H100" i="13"/>
  <c r="H134" i="13"/>
  <c r="H98" i="13"/>
  <c r="H97" i="13"/>
  <c r="H110" i="13"/>
  <c r="H94" i="13"/>
  <c r="H132" i="13"/>
  <c r="H130" i="13"/>
  <c r="H99" i="13"/>
  <c r="H105" i="13"/>
  <c r="H93" i="13"/>
  <c r="H121" i="13"/>
  <c r="H91" i="13"/>
  <c r="H96" i="13"/>
  <c r="H95" i="13"/>
  <c r="H104" i="13"/>
  <c r="H127" i="13"/>
  <c r="H128" i="13"/>
  <c r="H102" i="13"/>
  <c r="H90" i="13"/>
  <c r="H86" i="13"/>
  <c r="H88" i="13"/>
  <c r="H87" i="13"/>
  <c r="H84" i="13"/>
  <c r="H83" i="13"/>
  <c r="H75" i="13"/>
  <c r="H73" i="13"/>
  <c r="H82" i="13"/>
  <c r="H70" i="13"/>
  <c r="H69" i="13"/>
  <c r="H72" i="13"/>
  <c r="H71" i="13"/>
  <c r="H78" i="13"/>
  <c r="H80" i="13"/>
  <c r="H77" i="13"/>
  <c r="H79" i="13"/>
  <c r="H74" i="13"/>
  <c r="H68" i="13"/>
  <c r="H67" i="13"/>
  <c r="H66" i="13"/>
  <c r="H64" i="13"/>
  <c r="H61" i="13"/>
  <c r="H59" i="13"/>
  <c r="H63" i="13"/>
  <c r="H62" i="13"/>
  <c r="H65" i="13"/>
  <c r="H26" i="13"/>
  <c r="H76" i="13"/>
  <c r="H51" i="13"/>
  <c r="H43" i="13"/>
  <c r="H45" i="13"/>
  <c r="H44" i="13"/>
  <c r="H30" i="13"/>
  <c r="H50" i="13"/>
  <c r="H41" i="13"/>
  <c r="H40" i="13"/>
  <c r="H46" i="13"/>
  <c r="H38" i="13"/>
  <c r="H35" i="13"/>
  <c r="H32" i="13"/>
  <c r="H42" i="13"/>
  <c r="H39" i="13"/>
  <c r="H33" i="13"/>
  <c r="H54" i="13"/>
  <c r="H28" i="13"/>
  <c r="H47" i="13"/>
  <c r="H53" i="13"/>
  <c r="H49" i="13"/>
  <c r="H36" i="13"/>
  <c r="H31" i="13"/>
  <c r="H29" i="13"/>
  <c r="H57" i="13"/>
  <c r="H58" i="13"/>
  <c r="H37" i="13"/>
  <c r="H56" i="13"/>
  <c r="H27" i="13"/>
  <c r="H48" i="13"/>
  <c r="H55" i="13"/>
  <c r="H52" i="13"/>
  <c r="J71" i="13" l="1"/>
  <c r="J112" i="13"/>
  <c r="I112" i="13"/>
  <c r="I20" i="13"/>
  <c r="J20" i="13"/>
  <c r="J115" i="13"/>
  <c r="I52" i="13"/>
  <c r="J52" i="13"/>
  <c r="I55" i="13"/>
  <c r="J55" i="13"/>
  <c r="I48" i="13"/>
  <c r="J48" i="13"/>
  <c r="I27" i="13"/>
  <c r="J27" i="13"/>
  <c r="I56" i="13"/>
  <c r="J56" i="13"/>
  <c r="I37" i="13"/>
  <c r="J37" i="13"/>
  <c r="I58" i="13"/>
  <c r="J58" i="13"/>
  <c r="I57" i="13"/>
  <c r="J57" i="13"/>
  <c r="I29" i="13"/>
  <c r="J29" i="13"/>
  <c r="I31" i="13"/>
  <c r="J31" i="13"/>
  <c r="I36" i="13"/>
  <c r="J36" i="13"/>
  <c r="I49" i="13"/>
  <c r="J49" i="13"/>
  <c r="I53" i="13"/>
  <c r="J53" i="13"/>
  <c r="I47" i="13"/>
  <c r="J47" i="13"/>
  <c r="I28" i="13"/>
  <c r="J28" i="13"/>
  <c r="I54" i="13"/>
  <c r="J54" i="13"/>
  <c r="I33" i="13"/>
  <c r="J33" i="13"/>
  <c r="I39" i="13"/>
  <c r="J39" i="13"/>
  <c r="I42" i="13"/>
  <c r="J42" i="13"/>
  <c r="I32" i="13"/>
  <c r="J32" i="13"/>
  <c r="I35" i="13"/>
  <c r="J35" i="13"/>
  <c r="I38" i="13"/>
  <c r="J38" i="13"/>
  <c r="I46" i="13"/>
  <c r="J46" i="13"/>
  <c r="I34" i="13"/>
  <c r="J34" i="13"/>
  <c r="I40" i="13"/>
  <c r="J40" i="13"/>
  <c r="I41" i="13"/>
  <c r="J41" i="13"/>
  <c r="I50" i="13"/>
  <c r="J50" i="13"/>
  <c r="I30" i="13"/>
  <c r="J30" i="13"/>
  <c r="I44" i="13"/>
  <c r="J44" i="13"/>
  <c r="I45" i="13"/>
  <c r="J45" i="13"/>
  <c r="I43" i="13"/>
  <c r="J43" i="13"/>
  <c r="I51" i="13"/>
  <c r="J51" i="13"/>
  <c r="I76" i="13"/>
  <c r="J76" i="13"/>
  <c r="I26" i="13"/>
  <c r="J26" i="13"/>
  <c r="I65" i="13"/>
  <c r="J65" i="13"/>
  <c r="I62" i="13"/>
  <c r="J62" i="13"/>
  <c r="I63" i="13"/>
  <c r="J63" i="13"/>
  <c r="I59" i="13"/>
  <c r="J59" i="13"/>
  <c r="I61" i="13"/>
  <c r="J61" i="13"/>
  <c r="I64" i="13"/>
  <c r="J64" i="13"/>
  <c r="I66" i="13"/>
  <c r="J66" i="13"/>
  <c r="I67" i="13"/>
  <c r="J67" i="13"/>
  <c r="I68" i="13"/>
  <c r="J68" i="13"/>
  <c r="I74" i="13"/>
  <c r="J74" i="13"/>
  <c r="I79" i="13"/>
  <c r="J79" i="13"/>
  <c r="I77" i="13"/>
  <c r="J77" i="13"/>
  <c r="I80" i="13"/>
  <c r="J80" i="13"/>
  <c r="I78" i="13"/>
  <c r="J78" i="13"/>
  <c r="I71" i="13"/>
  <c r="I72" i="13"/>
  <c r="J72" i="13"/>
  <c r="I69" i="13"/>
  <c r="J69" i="13"/>
  <c r="I70" i="13"/>
  <c r="J70" i="13"/>
  <c r="I82" i="13"/>
  <c r="J82" i="13"/>
  <c r="I73" i="13"/>
  <c r="J73" i="13"/>
  <c r="I75" i="13"/>
  <c r="J75" i="13"/>
  <c r="I83" i="13"/>
  <c r="J83" i="13"/>
  <c r="I84" i="13"/>
  <c r="I87" i="13"/>
  <c r="J87" i="13"/>
  <c r="I88" i="13"/>
  <c r="J88" i="13"/>
  <c r="I86" i="13"/>
  <c r="J86" i="13"/>
  <c r="I90" i="13"/>
  <c r="J90" i="13"/>
  <c r="J102" i="13"/>
  <c r="I102" i="13"/>
  <c r="J128" i="13"/>
  <c r="I128" i="13"/>
  <c r="J127" i="13"/>
  <c r="I127" i="13"/>
  <c r="J104" i="13"/>
  <c r="I104" i="13"/>
  <c r="J95" i="13"/>
  <c r="I95" i="13"/>
  <c r="J96" i="13"/>
  <c r="I96" i="13"/>
  <c r="J91" i="13"/>
  <c r="I91" i="13"/>
  <c r="J121" i="13"/>
  <c r="I121" i="13"/>
  <c r="I93" i="13"/>
  <c r="J93" i="13"/>
  <c r="I105" i="13"/>
  <c r="J105" i="13"/>
  <c r="I99" i="13"/>
  <c r="J99" i="13"/>
  <c r="I130" i="13"/>
  <c r="J130" i="13"/>
  <c r="I132" i="13"/>
  <c r="J132" i="13"/>
  <c r="I94" i="13"/>
  <c r="J94" i="13"/>
  <c r="I110" i="13"/>
  <c r="J110" i="13"/>
  <c r="I97" i="13"/>
  <c r="J97" i="13"/>
  <c r="I98" i="13"/>
  <c r="J98" i="13"/>
  <c r="I134" i="13"/>
  <c r="J134" i="13"/>
  <c r="I100" i="13"/>
  <c r="J100" i="13"/>
  <c r="I120" i="13"/>
  <c r="J120" i="13"/>
  <c r="I103" i="13"/>
  <c r="J103" i="13"/>
  <c r="J122" i="13"/>
  <c r="I122" i="13"/>
  <c r="J126" i="13"/>
  <c r="I126" i="13"/>
  <c r="J111" i="13"/>
  <c r="I111" i="13"/>
  <c r="J118" i="13"/>
  <c r="I118" i="13"/>
  <c r="J123" i="13"/>
  <c r="I123" i="13"/>
  <c r="J125" i="13"/>
  <c r="I125" i="13"/>
  <c r="J124" i="13"/>
  <c r="I124" i="13"/>
  <c r="J119" i="13"/>
  <c r="I119" i="13"/>
  <c r="J113" i="13"/>
  <c r="I113" i="13"/>
  <c r="J116" i="13"/>
  <c r="I116" i="13"/>
  <c r="J92" i="13"/>
  <c r="I92" i="13"/>
  <c r="J114" i="13"/>
  <c r="I114" i="13"/>
  <c r="J106" i="13"/>
  <c r="I106" i="13"/>
  <c r="J107" i="13"/>
  <c r="I107" i="13"/>
  <c r="J109" i="13"/>
  <c r="I109" i="13"/>
  <c r="J117" i="13"/>
  <c r="I117" i="13"/>
  <c r="J108" i="13"/>
  <c r="I108" i="13"/>
  <c r="BD19" i="11"/>
  <c r="G59" i="12"/>
  <c r="I27" i="12"/>
  <c r="P27" i="12"/>
  <c r="AG18" i="12"/>
  <c r="I59" i="12"/>
  <c r="K27" i="12"/>
  <c r="AE18" i="12" s="1"/>
  <c r="AD18" i="12"/>
  <c r="H59" i="12"/>
  <c r="J27" i="12" s="1"/>
  <c r="B35" i="12"/>
  <c r="D9" i="12"/>
  <c r="B49" i="12"/>
  <c r="D21" i="12"/>
  <c r="B52" i="12"/>
  <c r="D24" i="12"/>
  <c r="B57" i="12"/>
  <c r="D28" i="12"/>
  <c r="B56" i="12"/>
  <c r="D29" i="12"/>
  <c r="B59" i="12"/>
  <c r="D27" i="12" s="1"/>
  <c r="AZ19" i="11"/>
  <c r="C59" i="12"/>
  <c r="E27" i="12"/>
  <c r="AC18" i="12"/>
  <c r="B60" i="12"/>
  <c r="D16" i="12"/>
  <c r="AB18" i="12"/>
  <c r="W2" i="12" a="1"/>
  <c r="W2" i="12" s="1"/>
  <c r="A2" i="12"/>
  <c r="BA19" i="11" l="1"/>
  <c r="BB19" i="11"/>
  <c r="W8" i="12" a="1"/>
  <c r="W8" i="12" s="1"/>
  <c r="A8" i="12" s="1"/>
  <c r="W29" i="12" a="1"/>
  <c r="W29" i="12" s="1"/>
  <c r="A29" i="12" s="1"/>
  <c r="W28" i="12" a="1"/>
  <c r="W28" i="12" s="1"/>
  <c r="A28" i="12" s="1"/>
  <c r="W27" i="12" a="1"/>
  <c r="W27" i="12" s="1"/>
  <c r="A27" i="12" s="1"/>
  <c r="W24" i="12" a="1"/>
  <c r="W24" i="12" s="1"/>
  <c r="A24" i="12" s="1"/>
  <c r="W23" i="12" a="1"/>
  <c r="W23" i="12" s="1"/>
  <c r="A23" i="12" s="1"/>
  <c r="W13" i="12" a="1"/>
  <c r="W13" i="12" s="1"/>
  <c r="A13" i="12" s="1"/>
  <c r="W25" i="12" a="1"/>
  <c r="W25" i="12" s="1"/>
  <c r="A25" i="12" s="1"/>
  <c r="W12" i="12" a="1"/>
  <c r="W12" i="12" s="1"/>
  <c r="A12" i="12" s="1"/>
  <c r="W18" i="12" a="1"/>
  <c r="W18" i="12" s="1"/>
  <c r="A18" i="12" s="1"/>
  <c r="W21" i="12" a="1"/>
  <c r="W21" i="12" s="1"/>
  <c r="A21" i="12" s="1"/>
  <c r="W20" i="12" a="1"/>
  <c r="W20" i="12" s="1"/>
  <c r="A20" i="12" s="1"/>
  <c r="W14" i="12" a="1"/>
  <c r="W14" i="12" s="1"/>
  <c r="A14" i="12" s="1"/>
  <c r="W15" i="12" a="1"/>
  <c r="W15" i="12" s="1"/>
  <c r="A15" i="12" s="1"/>
  <c r="W19" i="12" a="1"/>
  <c r="W19" i="12" s="1"/>
  <c r="A19" i="12" s="1"/>
  <c r="W7" i="12" a="1"/>
  <c r="W7" i="12" s="1"/>
  <c r="A7" i="12" s="1"/>
  <c r="W17" i="12" a="1"/>
  <c r="W17" i="12" s="1"/>
  <c r="A17" i="12" s="1"/>
  <c r="W10" i="12" a="1"/>
  <c r="W10" i="12" s="1"/>
  <c r="A10" i="12" s="1"/>
  <c r="W26" i="12" a="1"/>
  <c r="W26" i="12" s="1"/>
  <c r="A26" i="12" s="1"/>
  <c r="W9" i="12" a="1"/>
  <c r="W9" i="12" s="1"/>
  <c r="A9" i="12" s="1"/>
  <c r="W22" i="12" a="1"/>
  <c r="W22" i="12" s="1"/>
  <c r="A22" i="12" s="1"/>
  <c r="W11" i="12" a="1"/>
  <c r="W11" i="12" s="1"/>
  <c r="A11" i="12" s="1"/>
  <c r="W5" i="12" a="1"/>
  <c r="W5" i="12" s="1"/>
  <c r="A5" i="12" s="1"/>
  <c r="W4" i="12" a="1"/>
  <c r="W4" i="12" s="1"/>
  <c r="A4" i="12" s="1"/>
  <c r="W6" i="12" a="1"/>
  <c r="W6" i="12" s="1"/>
  <c r="A6" i="12" s="1"/>
  <c r="W3" i="12" a="1"/>
  <c r="W3" i="12" s="1"/>
  <c r="A3" i="12" s="1"/>
  <c r="W16" i="12" a="1"/>
  <c r="W16" i="12" s="1"/>
  <c r="A16" i="12" s="1"/>
  <c r="AY19" i="11"/>
  <c r="AT45" i="11" l="1" a="1"/>
  <c r="AT45" i="11" s="1"/>
  <c r="V45" i="11" s="1"/>
  <c r="I44" i="11" s="1"/>
  <c r="AT44" i="11" a="1"/>
  <c r="AT44" i="11" s="1"/>
  <c r="V44" i="11" s="1"/>
  <c r="J44" i="11" s="1"/>
  <c r="AT41" i="11" a="1"/>
  <c r="AT41" i="11" s="1"/>
  <c r="V41" i="11" s="1"/>
  <c r="AT43" i="11" a="1"/>
  <c r="AT43" i="11" s="1"/>
  <c r="V43" i="11" s="1"/>
  <c r="K48" i="11"/>
  <c r="K47" i="11"/>
  <c r="J131" i="11"/>
  <c r="K131" i="11"/>
  <c r="K46" i="11"/>
  <c r="J78" i="11"/>
  <c r="K78" i="11"/>
  <c r="K44" i="11"/>
  <c r="J99" i="11"/>
  <c r="K99" i="11"/>
  <c r="K130" i="11"/>
  <c r="J101" i="11"/>
  <c r="K101" i="11"/>
  <c r="AT3" i="11" a="1"/>
  <c r="AT3" i="11" s="1"/>
  <c r="V3" i="11" s="1"/>
  <c r="H42" i="11" s="1"/>
  <c r="AT35" i="11" a="1"/>
  <c r="AT35" i="11" s="1"/>
  <c r="V35" i="11" s="1"/>
  <c r="K42" i="11" s="1"/>
  <c r="K102" i="11"/>
  <c r="J61" i="11"/>
  <c r="K61" i="11"/>
  <c r="I124" i="11"/>
  <c r="J124" i="11"/>
  <c r="K124" i="11"/>
  <c r="AT25" i="11" a="1"/>
  <c r="AT25" i="11" s="1"/>
  <c r="V25" i="11" s="1"/>
  <c r="AT29" i="11" a="1"/>
  <c r="AT29" i="11" s="1"/>
  <c r="V29" i="11" s="1"/>
  <c r="I99" i="11" s="1"/>
  <c r="K56" i="11"/>
  <c r="K75" i="11"/>
  <c r="K38" i="11"/>
  <c r="K121" i="11"/>
  <c r="K37" i="11"/>
  <c r="K122" i="11"/>
  <c r="K74" i="11"/>
  <c r="J120" i="11"/>
  <c r="K120" i="11"/>
  <c r="J36" i="11"/>
  <c r="K36" i="11"/>
  <c r="K34" i="11"/>
  <c r="I103" i="11"/>
  <c r="J103" i="11"/>
  <c r="K103" i="11"/>
  <c r="K28" i="11"/>
  <c r="AT4" i="11" a="1"/>
  <c r="AT4" i="11" s="1"/>
  <c r="AT2" i="11" a="1"/>
  <c r="AT2" i="11" s="1"/>
  <c r="AT26" i="11" a="1"/>
  <c r="AT26" i="11" s="1"/>
  <c r="AT12" i="11" a="1"/>
  <c r="AT12" i="11" s="1"/>
  <c r="AT6" i="11" a="1"/>
  <c r="AT6" i="11" s="1"/>
  <c r="AT15" i="11" a="1"/>
  <c r="AT15" i="11" s="1"/>
  <c r="AT20" i="11" a="1"/>
  <c r="AT20" i="11" s="1"/>
  <c r="AT23" i="11" a="1"/>
  <c r="AT23" i="11" s="1"/>
  <c r="AT24" i="11" a="1"/>
  <c r="AT24" i="11" s="1"/>
  <c r="AT28" i="11" a="1"/>
  <c r="AT28" i="11" s="1"/>
  <c r="AT5" i="11" a="1"/>
  <c r="AT5" i="11" s="1"/>
  <c r="AT14" i="11" a="1"/>
  <c r="AT14" i="11" s="1"/>
  <c r="AT11" i="11" a="1"/>
  <c r="AT11" i="11" s="1"/>
  <c r="AT7" i="11" a="1"/>
  <c r="AT7" i="11" s="1"/>
  <c r="AT17" i="11" a="1"/>
  <c r="AT17" i="11" s="1"/>
  <c r="AT32" i="11" a="1"/>
  <c r="AT32" i="11" s="1"/>
  <c r="AT9" i="11" a="1"/>
  <c r="AT9" i="11" s="1"/>
  <c r="AT21" i="11" a="1"/>
  <c r="AT21" i="11" s="1"/>
  <c r="AT31" i="11" a="1"/>
  <c r="AT31" i="11" s="1"/>
  <c r="AT13" i="11" a="1"/>
  <c r="AT13" i="11" s="1"/>
  <c r="AT18" i="11" a="1"/>
  <c r="AT18" i="11" s="1"/>
  <c r="AT10" i="11" a="1"/>
  <c r="AT10" i="11" s="1"/>
  <c r="AT8" i="11" a="1"/>
  <c r="AT8" i="11" s="1"/>
  <c r="AT22" i="11" a="1"/>
  <c r="AT22" i="11" s="1"/>
  <c r="AT16" i="11" a="1"/>
  <c r="AT16" i="11" s="1"/>
  <c r="AT19" i="11" a="1"/>
  <c r="AT19" i="11" s="1"/>
  <c r="AT46" i="11" a="1"/>
  <c r="AT46" i="11" s="1"/>
  <c r="AT42" i="11" a="1"/>
  <c r="AT42" i="11" s="1"/>
  <c r="AT40" i="11" a="1"/>
  <c r="AT40" i="11" s="1"/>
  <c r="AT39" i="11" a="1"/>
  <c r="AT39" i="11" s="1"/>
  <c r="AT27" i="11" a="1"/>
  <c r="AT27" i="11" s="1"/>
  <c r="AT38" i="11" a="1"/>
  <c r="AT38" i="11" s="1"/>
  <c r="AT37" i="11" a="1"/>
  <c r="AT37" i="11" s="1"/>
  <c r="AT36" i="11" a="1"/>
  <c r="AT36" i="11" s="1"/>
  <c r="AT34" i="11" a="1"/>
  <c r="AT34" i="11" s="1"/>
  <c r="AT33" i="11" a="1"/>
  <c r="AT33" i="11" s="1"/>
  <c r="AT30" i="11" a="1"/>
  <c r="AT30" i="11" s="1"/>
  <c r="V19" i="11"/>
  <c r="K113" i="11"/>
  <c r="K20" i="11"/>
  <c r="K70" i="11"/>
  <c r="V2" i="11"/>
  <c r="V26" i="11"/>
  <c r="V12" i="11"/>
  <c r="V6" i="11"/>
  <c r="H89" i="11" s="1"/>
  <c r="V15" i="11"/>
  <c r="V20" i="11"/>
  <c r="V23" i="11"/>
  <c r="J129" i="11" s="1"/>
  <c r="V30" i="11"/>
  <c r="V24" i="11"/>
  <c r="K128" i="11" s="1"/>
  <c r="V28" i="11"/>
  <c r="V5" i="11"/>
  <c r="V14" i="11"/>
  <c r="V11" i="11"/>
  <c r="V7" i="11"/>
  <c r="V17" i="11"/>
  <c r="K129" i="11" s="1"/>
  <c r="V32" i="11"/>
  <c r="V9" i="11"/>
  <c r="V21" i="11"/>
  <c r="V31" i="11"/>
  <c r="V13" i="11"/>
  <c r="I35" i="11" s="1"/>
  <c r="V4" i="11"/>
  <c r="V18" i="11"/>
  <c r="I87" i="11" s="1"/>
  <c r="V8" i="11"/>
  <c r="V22" i="11"/>
  <c r="H82" i="11" s="1"/>
  <c r="V16" i="11"/>
  <c r="K126" i="11" s="1"/>
  <c r="V42" i="11"/>
  <c r="V38" i="11"/>
  <c r="V40" i="11"/>
  <c r="V34" i="11"/>
  <c r="V46" i="11"/>
  <c r="V27" i="11"/>
  <c r="J10" i="11" s="1"/>
  <c r="V39" i="11"/>
  <c r="V37" i="11"/>
  <c r="V36" i="11"/>
  <c r="V33" i="11"/>
  <c r="J90" i="11" l="1"/>
  <c r="J87" i="11"/>
  <c r="H87" i="11"/>
  <c r="G87" i="11"/>
  <c r="H90" i="11"/>
  <c r="G90" i="11"/>
  <c r="K3" i="11"/>
  <c r="I90" i="11"/>
  <c r="H127" i="11"/>
  <c r="J18" i="11"/>
  <c r="H18" i="11"/>
  <c r="I10" i="11"/>
  <c r="G18" i="11"/>
  <c r="I18" i="11"/>
  <c r="J40" i="11"/>
  <c r="H10" i="11"/>
  <c r="H131" i="13" s="1"/>
  <c r="G10" i="11"/>
  <c r="G131" i="13" s="1"/>
  <c r="J131" i="13"/>
  <c r="I131" i="13"/>
  <c r="J79" i="11"/>
  <c r="I88" i="11"/>
  <c r="J127" i="11"/>
  <c r="I129" i="11"/>
  <c r="I127" i="11"/>
  <c r="H88" i="11"/>
  <c r="G127" i="11"/>
  <c r="G129" i="11"/>
  <c r="G88" i="11"/>
  <c r="H79" i="11"/>
  <c r="H129" i="11"/>
  <c r="H80" i="11"/>
  <c r="G80" i="11"/>
  <c r="K79" i="11"/>
  <c r="K80" i="11"/>
  <c r="I59" i="11"/>
  <c r="J80" i="11"/>
  <c r="H121" i="11"/>
  <c r="I80" i="11"/>
  <c r="I130" i="11"/>
  <c r="I79" i="11"/>
  <c r="G89" i="11"/>
  <c r="G79" i="11"/>
  <c r="I47" i="11"/>
  <c r="I131" i="11"/>
  <c r="H46" i="11"/>
  <c r="J48" i="11"/>
  <c r="J89" i="11"/>
  <c r="K59" i="11"/>
  <c r="K89" i="11"/>
  <c r="I48" i="11"/>
  <c r="I89" i="11"/>
  <c r="I46" i="11"/>
  <c r="H48" i="11"/>
  <c r="J46" i="11"/>
  <c r="G48" i="11"/>
  <c r="J45" i="11"/>
  <c r="J47" i="11"/>
  <c r="G131" i="11"/>
  <c r="G47" i="11"/>
  <c r="H131" i="11"/>
  <c r="H47" i="11"/>
  <c r="G78" i="11"/>
  <c r="G46" i="11"/>
  <c r="J130" i="11"/>
  <c r="I78" i="11"/>
  <c r="H45" i="11"/>
  <c r="H78" i="11"/>
  <c r="I45" i="11"/>
  <c r="I100" i="11"/>
  <c r="K45" i="11"/>
  <c r="G59" i="11"/>
  <c r="G45" i="11"/>
  <c r="J6" i="11"/>
  <c r="J59" i="11"/>
  <c r="H100" i="11"/>
  <c r="H129" i="13" s="1"/>
  <c r="H59" i="11"/>
  <c r="G100" i="11"/>
  <c r="G129" i="13" s="1"/>
  <c r="K57" i="11"/>
  <c r="K100" i="11"/>
  <c r="H44" i="11"/>
  <c r="J100" i="11"/>
  <c r="J129" i="13"/>
  <c r="I129" i="13"/>
  <c r="G99" i="11"/>
  <c r="G44" i="11"/>
  <c r="H130" i="11"/>
  <c r="H99" i="11"/>
  <c r="G130" i="11"/>
  <c r="I56" i="11"/>
  <c r="I93" i="11"/>
  <c r="I101" i="11"/>
  <c r="J93" i="11"/>
  <c r="H101" i="11"/>
  <c r="H93" i="11"/>
  <c r="G101" i="11"/>
  <c r="H119" i="11"/>
  <c r="K93" i="11"/>
  <c r="G126" i="11"/>
  <c r="G93" i="11"/>
  <c r="J128" i="11"/>
  <c r="J126" i="11"/>
  <c r="H128" i="11"/>
  <c r="H126" i="11"/>
  <c r="J57" i="11"/>
  <c r="I126" i="11"/>
  <c r="I41" i="11"/>
  <c r="I128" i="11"/>
  <c r="G41" i="11"/>
  <c r="G128" i="11"/>
  <c r="H58" i="11"/>
  <c r="K41" i="11"/>
  <c r="G57" i="11"/>
  <c r="J41" i="11"/>
  <c r="I42" i="11"/>
  <c r="H41" i="11"/>
  <c r="J43" i="11"/>
  <c r="J42" i="11"/>
  <c r="G43" i="11"/>
  <c r="G42" i="11"/>
  <c r="I76" i="11"/>
  <c r="I43" i="11"/>
  <c r="K76" i="11"/>
  <c r="K43" i="11"/>
  <c r="H76" i="11"/>
  <c r="H43" i="11"/>
  <c r="I36" i="11"/>
  <c r="J76" i="11"/>
  <c r="I57" i="11"/>
  <c r="G76" i="11"/>
  <c r="J102" i="11"/>
  <c r="H57" i="11"/>
  <c r="G102" i="11"/>
  <c r="G58" i="11"/>
  <c r="I102" i="11"/>
  <c r="J125" i="11"/>
  <c r="H102" i="11"/>
  <c r="I61" i="11"/>
  <c r="K125" i="11"/>
  <c r="K58" i="11"/>
  <c r="I125" i="11"/>
  <c r="J58" i="11"/>
  <c r="H125" i="11"/>
  <c r="I58" i="11"/>
  <c r="G125" i="11"/>
  <c r="H39" i="11"/>
  <c r="H3" i="11"/>
  <c r="G39" i="11"/>
  <c r="G3" i="11"/>
  <c r="I39" i="11"/>
  <c r="I3" i="11"/>
  <c r="J39" i="11"/>
  <c r="J3" i="11"/>
  <c r="J97" i="11"/>
  <c r="K39" i="11"/>
  <c r="H40" i="11"/>
  <c r="G40" i="11"/>
  <c r="I75" i="11"/>
  <c r="K40" i="11"/>
  <c r="H124" i="11"/>
  <c r="I40" i="11"/>
  <c r="G124" i="11"/>
  <c r="H61" i="11"/>
  <c r="I7" i="11"/>
  <c r="G61" i="11"/>
  <c r="I70" i="11"/>
  <c r="I71" i="11"/>
  <c r="K6" i="11"/>
  <c r="I119" i="11"/>
  <c r="J56" i="11"/>
  <c r="J75" i="11"/>
  <c r="G56" i="11"/>
  <c r="G75" i="11"/>
  <c r="H56" i="11"/>
  <c r="H75" i="11"/>
  <c r="K7" i="11"/>
  <c r="K119" i="11"/>
  <c r="J7" i="11"/>
  <c r="J119" i="11"/>
  <c r="G7" i="11"/>
  <c r="G119" i="11"/>
  <c r="I73" i="11"/>
  <c r="H7" i="11"/>
  <c r="K97" i="11"/>
  <c r="I6" i="11"/>
  <c r="G6" i="11"/>
  <c r="H120" i="11"/>
  <c r="J22" i="11"/>
  <c r="K116" i="11"/>
  <c r="K73" i="11"/>
  <c r="I51" i="11"/>
  <c r="H6" i="11"/>
  <c r="I123" i="11"/>
  <c r="H73" i="11"/>
  <c r="K123" i="11"/>
  <c r="J73" i="11"/>
  <c r="G123" i="11"/>
  <c r="G73" i="11"/>
  <c r="I32" i="11"/>
  <c r="J123" i="11"/>
  <c r="I38" i="11"/>
  <c r="H123" i="11"/>
  <c r="K84" i="11"/>
  <c r="J38" i="11"/>
  <c r="I97" i="11"/>
  <c r="H38" i="11"/>
  <c r="G121" i="11"/>
  <c r="G38" i="11"/>
  <c r="G97" i="11"/>
  <c r="H97" i="11"/>
  <c r="I37" i="11"/>
  <c r="I121" i="11"/>
  <c r="J37" i="11"/>
  <c r="J121" i="11"/>
  <c r="I120" i="11"/>
  <c r="H37" i="11"/>
  <c r="G122" i="11"/>
  <c r="G37" i="11"/>
  <c r="H74" i="11"/>
  <c r="H122" i="11"/>
  <c r="I74" i="11"/>
  <c r="I122" i="11"/>
  <c r="J74" i="11"/>
  <c r="J122" i="11"/>
  <c r="G120" i="11"/>
  <c r="G74" i="11"/>
  <c r="J12" i="11"/>
  <c r="K35" i="11"/>
  <c r="H36" i="11"/>
  <c r="H35" i="11"/>
  <c r="G36" i="11"/>
  <c r="G35" i="11"/>
  <c r="J112" i="11"/>
  <c r="I113" i="11"/>
  <c r="K83" i="11"/>
  <c r="K33" i="11"/>
  <c r="I34" i="11"/>
  <c r="I33" i="11"/>
  <c r="H34" i="11"/>
  <c r="H33" i="11"/>
  <c r="J34" i="11"/>
  <c r="J33" i="11"/>
  <c r="G34" i="11"/>
  <c r="G33" i="11"/>
  <c r="H31" i="11"/>
  <c r="H72" i="11"/>
  <c r="K31" i="11"/>
  <c r="K72" i="11"/>
  <c r="I31" i="11"/>
  <c r="I72" i="11"/>
  <c r="J31" i="11"/>
  <c r="J72" i="11"/>
  <c r="G31" i="11"/>
  <c r="G72" i="11"/>
  <c r="J28" i="11"/>
  <c r="K51" i="11"/>
  <c r="H32" i="11"/>
  <c r="J51" i="11"/>
  <c r="K118" i="11"/>
  <c r="H51" i="11"/>
  <c r="G32" i="11"/>
  <c r="G51" i="11"/>
  <c r="K50" i="11"/>
  <c r="K32" i="11"/>
  <c r="J118" i="11"/>
  <c r="J32" i="11"/>
  <c r="I55" i="11"/>
  <c r="I118" i="11"/>
  <c r="J50" i="11"/>
  <c r="H118" i="11"/>
  <c r="G55" i="11"/>
  <c r="G118" i="11"/>
  <c r="K55" i="11"/>
  <c r="H117" i="11"/>
  <c r="H55" i="11"/>
  <c r="J117" i="11"/>
  <c r="J55" i="11"/>
  <c r="H103" i="11"/>
  <c r="H23" i="13" s="1"/>
  <c r="K117" i="11"/>
  <c r="I50" i="11"/>
  <c r="I117" i="11"/>
  <c r="G50" i="11"/>
  <c r="G117" i="11"/>
  <c r="H50" i="11"/>
  <c r="G103" i="11"/>
  <c r="G23" i="13" s="1"/>
  <c r="I116" i="11"/>
  <c r="I28" i="11"/>
  <c r="H116" i="11"/>
  <c r="H28" i="11"/>
  <c r="G116" i="11"/>
  <c r="G28" i="11"/>
  <c r="J63" i="11"/>
  <c r="J116" i="11"/>
  <c r="K63" i="11"/>
  <c r="H63" i="11"/>
  <c r="H81" i="13" s="1"/>
  <c r="G63" i="11"/>
  <c r="I63" i="11"/>
  <c r="I81" i="13"/>
  <c r="J81" i="13"/>
  <c r="I13" i="11"/>
  <c r="I16" i="11"/>
  <c r="J16" i="11"/>
  <c r="K16" i="11"/>
  <c r="K108" i="11"/>
  <c r="K19" i="11"/>
  <c r="I17" i="11"/>
  <c r="J17" i="11"/>
  <c r="K17" i="11"/>
  <c r="K30" i="11"/>
  <c r="I29" i="11"/>
  <c r="J29" i="11"/>
  <c r="K29" i="11"/>
  <c r="K86" i="11"/>
  <c r="K25" i="11"/>
  <c r="K23" i="11"/>
  <c r="J24" i="11"/>
  <c r="K24" i="11"/>
  <c r="I81" i="11"/>
  <c r="J81" i="11"/>
  <c r="K81" i="11"/>
  <c r="K15" i="11"/>
  <c r="J15" i="11"/>
  <c r="K106" i="11"/>
  <c r="K5" i="11"/>
  <c r="J5" i="11"/>
  <c r="K8" i="11"/>
  <c r="K9" i="11"/>
  <c r="K11" i="11"/>
  <c r="K13" i="11"/>
  <c r="K49" i="11"/>
  <c r="K52" i="11"/>
  <c r="K64" i="11"/>
  <c r="K66" i="11"/>
  <c r="K67" i="11"/>
  <c r="K68" i="11"/>
  <c r="K91" i="11"/>
  <c r="K105" i="11"/>
  <c r="K92" i="11"/>
  <c r="K14" i="11"/>
  <c r="K115" i="11"/>
  <c r="K98" i="11"/>
  <c r="J9" i="11"/>
  <c r="J11" i="11"/>
  <c r="J13" i="11"/>
  <c r="J49" i="11"/>
  <c r="J52" i="11"/>
  <c r="J64" i="11"/>
  <c r="J66" i="11"/>
  <c r="J67" i="11"/>
  <c r="J91" i="11"/>
  <c r="J14" i="11"/>
  <c r="I49" i="11"/>
  <c r="I64" i="11"/>
  <c r="I91" i="11"/>
  <c r="I14" i="11"/>
  <c r="H91" i="11"/>
  <c r="H21" i="13" s="1"/>
  <c r="I85" i="11"/>
  <c r="I2" i="11"/>
  <c r="I15" i="11"/>
  <c r="I30" i="11"/>
  <c r="J106" i="11"/>
  <c r="J23" i="11"/>
  <c r="K110" i="11"/>
  <c r="J2" i="11"/>
  <c r="V10" i="11"/>
  <c r="BI19" i="11"/>
  <c r="J92" i="11"/>
  <c r="J96" i="11"/>
  <c r="J62" i="11"/>
  <c r="J19" i="11"/>
  <c r="K107" i="11"/>
  <c r="I22" i="11"/>
  <c r="H81" i="11"/>
  <c r="J25" i="11"/>
  <c r="I21" i="11"/>
  <c r="H54" i="11"/>
  <c r="H27" i="11"/>
  <c r="H26" i="11"/>
  <c r="H108" i="11"/>
  <c r="H9" i="13" s="1"/>
  <c r="H24" i="11"/>
  <c r="H5" i="13" s="1"/>
  <c r="H64" i="11"/>
  <c r="H22" i="13" s="1"/>
  <c r="H11" i="11"/>
  <c r="H6" i="13" s="1"/>
  <c r="H4" i="11"/>
  <c r="H8" i="13" s="1"/>
  <c r="H12" i="11"/>
  <c r="H10" i="13" s="1"/>
  <c r="H95" i="11"/>
  <c r="H14" i="13" s="1"/>
  <c r="H65" i="11"/>
  <c r="H7" i="13" s="1"/>
  <c r="H94" i="11"/>
  <c r="H4" i="13" s="1"/>
  <c r="G49" i="11"/>
  <c r="G24" i="13" s="1"/>
  <c r="G52" i="11"/>
  <c r="G133" i="13" s="1"/>
  <c r="G13" i="11"/>
  <c r="G25" i="13" s="1"/>
  <c r="G69" i="11"/>
  <c r="G14" i="11"/>
  <c r="H115" i="11"/>
  <c r="H84" i="11"/>
  <c r="H107" i="11"/>
  <c r="H92" i="11"/>
  <c r="H105" i="11"/>
  <c r="H77" i="11"/>
  <c r="H60" i="11"/>
  <c r="H8" i="11"/>
  <c r="K62" i="11"/>
  <c r="K53" i="11"/>
  <c r="H106" i="11"/>
  <c r="H5" i="11"/>
  <c r="H15" i="11"/>
  <c r="H19" i="11"/>
  <c r="H30" i="11"/>
  <c r="H109" i="11"/>
  <c r="H110" i="11"/>
  <c r="G81" i="11"/>
  <c r="H111" i="11"/>
  <c r="H23" i="11"/>
  <c r="H70" i="11"/>
  <c r="H112" i="11"/>
  <c r="K71" i="11"/>
  <c r="H20" i="11"/>
  <c r="H21" i="11"/>
  <c r="H22" i="11"/>
  <c r="H25" i="11"/>
  <c r="H114" i="11"/>
  <c r="G54" i="11"/>
  <c r="H86" i="11"/>
  <c r="G26" i="11"/>
  <c r="G27" i="11"/>
  <c r="G91" i="11"/>
  <c r="G21" i="13" s="1"/>
  <c r="I67" i="11"/>
  <c r="I12" i="11"/>
  <c r="J105" i="11"/>
  <c r="I5" i="11"/>
  <c r="K69" i="11"/>
  <c r="H17" i="11"/>
  <c r="I106" i="11"/>
  <c r="K2" i="11"/>
  <c r="K85" i="11"/>
  <c r="J110" i="11"/>
  <c r="K112" i="11"/>
  <c r="J20" i="11"/>
  <c r="J70" i="11"/>
  <c r="I94" i="11"/>
  <c r="I104" i="11"/>
  <c r="J84" i="11"/>
  <c r="H14" i="11"/>
  <c r="I98" i="11"/>
  <c r="I69" i="11"/>
  <c r="I84" i="11"/>
  <c r="I96" i="11"/>
  <c r="I95" i="11"/>
  <c r="I77" i="11"/>
  <c r="I83" i="11"/>
  <c r="I62" i="11"/>
  <c r="I68" i="11"/>
  <c r="I66" i="11"/>
  <c r="I65" i="11"/>
  <c r="I53" i="11"/>
  <c r="I52" i="11"/>
  <c r="I60" i="11"/>
  <c r="I4" i="11"/>
  <c r="I11" i="11"/>
  <c r="I8" i="11"/>
  <c r="I111" i="11"/>
  <c r="J85" i="11"/>
  <c r="I86" i="11"/>
  <c r="J69" i="11"/>
  <c r="I19" i="11"/>
  <c r="K65" i="11"/>
  <c r="I108" i="11"/>
  <c r="K54" i="11"/>
  <c r="K111" i="11"/>
  <c r="K27" i="11"/>
  <c r="H52" i="11"/>
  <c r="H133" i="13" s="1"/>
  <c r="H104" i="11"/>
  <c r="H3" i="13" s="1"/>
  <c r="H9" i="11"/>
  <c r="H2" i="13" s="1"/>
  <c r="H13" i="11"/>
  <c r="H25" i="13" s="1"/>
  <c r="J77" i="11"/>
  <c r="J65" i="11"/>
  <c r="K60" i="11"/>
  <c r="I20" i="11"/>
  <c r="I24" i="11"/>
  <c r="I23" i="11"/>
  <c r="I112" i="11"/>
  <c r="J71" i="11"/>
  <c r="J113" i="11"/>
  <c r="I26" i="11"/>
  <c r="I27" i="11"/>
  <c r="H49" i="11"/>
  <c r="H24" i="13" s="1"/>
  <c r="J94" i="11"/>
  <c r="J83" i="11"/>
  <c r="J68" i="11"/>
  <c r="K96" i="11"/>
  <c r="K95" i="11"/>
  <c r="J60" i="11"/>
  <c r="J8" i="11"/>
  <c r="J111" i="11"/>
  <c r="J30" i="11"/>
  <c r="J115" i="11"/>
  <c r="J107" i="11"/>
  <c r="J104" i="11"/>
  <c r="I9" i="11"/>
  <c r="I25" i="11"/>
  <c r="I114" i="11"/>
  <c r="J98" i="11"/>
  <c r="J53" i="11"/>
  <c r="J82" i="11"/>
  <c r="J109" i="11"/>
  <c r="H16" i="11"/>
  <c r="H11" i="13" s="1"/>
  <c r="H66" i="11"/>
  <c r="H12" i="13" s="1"/>
  <c r="H98" i="11"/>
  <c r="H16" i="13" s="1"/>
  <c r="H96" i="11"/>
  <c r="H19" i="13" s="1"/>
  <c r="H68" i="11"/>
  <c r="H13" i="13" s="1"/>
  <c r="H53" i="11"/>
  <c r="H17" i="13" s="1"/>
  <c r="H83" i="11"/>
  <c r="H15" i="13" s="1"/>
  <c r="H67" i="11"/>
  <c r="J95" i="11"/>
  <c r="K94" i="11"/>
  <c r="K104" i="11"/>
  <c r="K4" i="11"/>
  <c r="J108" i="11"/>
  <c r="I109" i="11"/>
  <c r="I110" i="11"/>
  <c r="I82" i="11"/>
  <c r="I54" i="11"/>
  <c r="J86" i="11"/>
  <c r="H62" i="11"/>
  <c r="H18" i="13" s="1"/>
  <c r="J4" i="11"/>
  <c r="H113" i="11"/>
  <c r="H71" i="11"/>
  <c r="K22" i="11"/>
  <c r="K21" i="11"/>
  <c r="K26" i="11"/>
  <c r="H29" i="11"/>
  <c r="J114" i="11"/>
  <c r="H85" i="11"/>
  <c r="H2" i="11"/>
  <c r="I115" i="11"/>
  <c r="I107" i="11"/>
  <c r="I92" i="11"/>
  <c r="I105" i="11"/>
  <c r="J21" i="11"/>
  <c r="K77" i="11"/>
  <c r="G94" i="11"/>
  <c r="G4" i="13" s="1"/>
  <c r="G53" i="11"/>
  <c r="G17" i="13" s="1"/>
  <c r="G83" i="11"/>
  <c r="G15" i="13" s="1"/>
  <c r="G62" i="11"/>
  <c r="G98" i="11"/>
  <c r="G16" i="13" s="1"/>
  <c r="G4" i="11"/>
  <c r="G8" i="13" s="1"/>
  <c r="G12" i="11"/>
  <c r="G10" i="13" s="1"/>
  <c r="G96" i="11"/>
  <c r="G19" i="13" s="1"/>
  <c r="G95" i="11"/>
  <c r="G14" i="13" s="1"/>
  <c r="G68" i="11"/>
  <c r="G13" i="13" s="1"/>
  <c r="G65" i="11"/>
  <c r="G7" i="13" s="1"/>
  <c r="G104" i="11"/>
  <c r="G3" i="13" s="1"/>
  <c r="G108" i="11"/>
  <c r="G9" i="13" s="1"/>
  <c r="G24" i="11"/>
  <c r="G5" i="13" s="1"/>
  <c r="G64" i="11"/>
  <c r="G22" i="13" s="1"/>
  <c r="G16" i="11"/>
  <c r="G11" i="13" s="1"/>
  <c r="G66" i="11"/>
  <c r="G12" i="13" s="1"/>
  <c r="G11" i="11"/>
  <c r="G6" i="13" s="1"/>
  <c r="G115" i="11"/>
  <c r="G84" i="11"/>
  <c r="G107" i="11"/>
  <c r="G92" i="11"/>
  <c r="G105" i="11"/>
  <c r="G77" i="11"/>
  <c r="G67" i="11"/>
  <c r="G60" i="11"/>
  <c r="H69" i="11"/>
  <c r="G5" i="11"/>
  <c r="G8" i="11"/>
  <c r="G15" i="11"/>
  <c r="G30" i="11"/>
  <c r="G106" i="11"/>
  <c r="G19" i="11"/>
  <c r="G17" i="11"/>
  <c r="G109" i="11"/>
  <c r="G110" i="11"/>
  <c r="G82" i="11"/>
  <c r="G111" i="11"/>
  <c r="G23" i="11"/>
  <c r="G70" i="11"/>
  <c r="G112" i="11"/>
  <c r="G113" i="11"/>
  <c r="G20" i="11"/>
  <c r="G22" i="11"/>
  <c r="G71" i="11"/>
  <c r="G114" i="11"/>
  <c r="G21" i="11"/>
  <c r="G86" i="11"/>
  <c r="G25" i="11"/>
  <c r="J54" i="11"/>
  <c r="J26" i="11"/>
  <c r="J27" i="11"/>
  <c r="G2" i="11"/>
  <c r="G29" i="11"/>
  <c r="G85" i="11"/>
  <c r="G9" i="11"/>
  <c r="G2" i="13" s="1"/>
  <c r="G60" i="13" l="1"/>
  <c r="H60" i="13"/>
  <c r="H85" i="13"/>
  <c r="H101" i="13"/>
  <c r="J101" i="13"/>
  <c r="I101" i="13"/>
  <c r="K12" i="11"/>
  <c r="J35" i="11"/>
  <c r="I23" i="13"/>
  <c r="J23" i="13"/>
  <c r="J2" i="13"/>
  <c r="I2" i="13"/>
  <c r="J6" i="13"/>
  <c r="I6" i="13"/>
  <c r="J12" i="13"/>
  <c r="I12" i="13"/>
  <c r="J11" i="13"/>
  <c r="I11" i="13"/>
  <c r="J22" i="13"/>
  <c r="I22" i="13"/>
  <c r="J5" i="13"/>
  <c r="I5" i="13"/>
  <c r="J9" i="13"/>
  <c r="I9" i="13"/>
  <c r="J3" i="13"/>
  <c r="I3" i="13"/>
  <c r="J7" i="13"/>
  <c r="I7" i="13"/>
  <c r="J13" i="13"/>
  <c r="I13" i="13"/>
  <c r="J14" i="13"/>
  <c r="I14" i="13"/>
  <c r="J19" i="13"/>
  <c r="I19" i="13"/>
  <c r="J10" i="13"/>
  <c r="I10" i="13"/>
  <c r="J8" i="13"/>
  <c r="I8" i="13"/>
  <c r="J16" i="13"/>
  <c r="I16" i="13"/>
  <c r="J18" i="13"/>
  <c r="I18" i="13"/>
  <c r="J15" i="13"/>
  <c r="I15" i="13"/>
  <c r="J17" i="13"/>
  <c r="I17" i="13"/>
  <c r="J4" i="13"/>
  <c r="I4" i="13"/>
  <c r="J21" i="13"/>
  <c r="I21" i="13"/>
  <c r="J25" i="13"/>
  <c r="I25" i="13"/>
  <c r="I133" i="13"/>
  <c r="J133" i="13"/>
  <c r="J24" i="13"/>
  <c r="I24" i="13"/>
  <c r="I60" i="13" l="1"/>
  <c r="J60" i="13"/>
  <c r="I85" i="13"/>
  <c r="J85" i="13"/>
  <c r="K26" i="13"/>
  <c r="K76" i="13"/>
  <c r="K51" i="13"/>
  <c r="K43" i="13"/>
  <c r="K45" i="13"/>
  <c r="K44" i="13"/>
  <c r="K30" i="13"/>
  <c r="K50" i="13"/>
  <c r="K41" i="13"/>
  <c r="K40" i="13"/>
  <c r="K34" i="13"/>
  <c r="K46" i="13"/>
  <c r="K38" i="13"/>
  <c r="K35" i="13"/>
  <c r="K32" i="13"/>
  <c r="K42" i="13"/>
  <c r="K39" i="13"/>
  <c r="K33" i="13"/>
  <c r="K54" i="13"/>
  <c r="K28" i="13"/>
  <c r="K47" i="13"/>
  <c r="K53" i="13"/>
  <c r="K49" i="13"/>
  <c r="K36" i="13"/>
  <c r="K31" i="13"/>
  <c r="K23" i="13"/>
  <c r="K29" i="13"/>
  <c r="K57" i="13"/>
  <c r="K58" i="13"/>
  <c r="K37" i="13"/>
  <c r="K56" i="13"/>
  <c r="K27" i="13"/>
  <c r="K48" i="13"/>
  <c r="K55" i="13"/>
  <c r="K52" i="13"/>
  <c r="K115" i="13"/>
  <c r="K20" i="13"/>
  <c r="K112" i="13"/>
  <c r="K86" i="13"/>
  <c r="K88" i="13"/>
  <c r="K87" i="13"/>
  <c r="K85" i="13"/>
  <c r="K84" i="13"/>
  <c r="K83" i="13"/>
  <c r="K75" i="13"/>
  <c r="K73" i="13"/>
  <c r="K82" i="13"/>
  <c r="K70" i="13"/>
  <c r="K69" i="13"/>
  <c r="K72" i="13"/>
  <c r="K71" i="13"/>
  <c r="K78" i="13"/>
  <c r="K80" i="13"/>
  <c r="K77" i="13"/>
  <c r="K79" i="13"/>
  <c r="K74" i="13"/>
  <c r="K68" i="13"/>
  <c r="K67" i="13"/>
  <c r="K66" i="13"/>
  <c r="K64" i="13"/>
  <c r="K61" i="13"/>
  <c r="K59" i="13"/>
  <c r="K63" i="13"/>
  <c r="K62" i="13"/>
  <c r="K60" i="13"/>
  <c r="K65" i="13"/>
  <c r="K90" i="13"/>
  <c r="K129" i="13"/>
  <c r="K102" i="13"/>
  <c r="K128" i="13"/>
  <c r="K127" i="13"/>
  <c r="K104" i="13"/>
  <c r="K95" i="13"/>
  <c r="K101" i="13"/>
  <c r="K96" i="13"/>
  <c r="K91" i="13"/>
  <c r="K121" i="13"/>
  <c r="K93" i="13"/>
  <c r="K105" i="13"/>
  <c r="K99" i="13"/>
  <c r="K81" i="13"/>
  <c r="K130" i="13"/>
  <c r="K132" i="13"/>
  <c r="K94" i="13"/>
  <c r="K110" i="13"/>
  <c r="K97" i="13"/>
  <c r="K98" i="13"/>
  <c r="K134" i="13"/>
  <c r="K100" i="13"/>
  <c r="K120" i="13"/>
  <c r="K103" i="13"/>
  <c r="K122" i="13"/>
  <c r="K126" i="13"/>
  <c r="K111" i="13"/>
  <c r="K118" i="13"/>
  <c r="K123" i="13"/>
  <c r="K125" i="13"/>
  <c r="K124" i="13"/>
  <c r="K119" i="13"/>
  <c r="K113" i="13"/>
  <c r="K131" i="13"/>
  <c r="K116" i="13"/>
  <c r="K92" i="13"/>
  <c r="K114" i="13"/>
  <c r="K106" i="13"/>
  <c r="K107" i="13"/>
  <c r="K109" i="13"/>
  <c r="K117" i="13"/>
  <c r="K108" i="13"/>
  <c r="K2" i="13"/>
  <c r="K6" i="13" l="1"/>
  <c r="K12" i="13"/>
  <c r="K11" i="13"/>
  <c r="K22" i="13"/>
  <c r="K5" i="13"/>
  <c r="K9" i="13"/>
  <c r="K3" i="13"/>
  <c r="K7" i="13"/>
  <c r="K13" i="13"/>
  <c r="K14" i="13"/>
  <c r="K19" i="13"/>
  <c r="K10" i="13"/>
  <c r="K8" i="13"/>
  <c r="K16" i="13"/>
  <c r="K18" i="13"/>
  <c r="K15" i="13"/>
  <c r="K17" i="13"/>
  <c r="K4" i="13"/>
  <c r="K21" i="13"/>
  <c r="K25" i="13"/>
  <c r="K133" i="13"/>
  <c r="K24"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<sst xmlns="http://schemas.openxmlformats.org/spreadsheetml/2006/main" count="2489" uniqueCount="293">
  <si>
    <t>Cortex</t>
  </si>
  <si>
    <t>good comms (got much worse after midnight), overagressive, likes DMR's only</t>
  </si>
  <si>
    <t>Andreq</t>
  </si>
  <si>
    <t>his comms gave me aids</t>
  </si>
  <si>
    <t>Louis</t>
  </si>
  <si>
    <t>good comms today. played nice and slow</t>
  </si>
  <si>
    <t>Mau</t>
  </si>
  <si>
    <t>had good comms today and a strong 3 game win streak with us</t>
  </si>
  <si>
    <t>Tim</t>
  </si>
  <si>
    <t>Great comms, we were grinding at 2:00 A.M. and had a huge winstreak with boomer too who has been popping off</t>
  </si>
  <si>
    <t>Great on valk, had huge clutches. Shyam on aruni is great. Shyam towards the end started to just rush and throw though. and when connor calls he gopes mute</t>
  </si>
  <si>
    <t>Awful actually awful calls, Hurt the wholke team with calls but thinks hes golden becaise he is fragging. literally called to tim to roam hunt thern decided not to and made fun of him saying his brothers a better blitz then went 1/8muted and didn't talk</t>
  </si>
  <si>
    <t>Rat</t>
  </si>
  <si>
    <t>Awful cams. its absolutely abysmal genuinely lost us several games</t>
  </si>
  <si>
    <t>PLEASE ANALYZE ALL THIS DATA AND FIND ANY INTERESTING FACTS ABOUT TEAM COMPOSITION AND PLAYER IMPACT
Then make me the top 3 worst and best 5 stack teams possible
Then post Tier data stats and game data</t>
  </si>
  <si>
    <t>To analyze this data and find interesting facts about team composition and player impact, I will first summarize key insights from the auto-tier list and win/loss records provided. Then, I will determine the top 3 worst and best 5-stack teams possible based on the data. The analysis will consider factors such as individual player performance (K/D ratio, win percentage, communication percentage, and selfish score) and their impact on team success.
Analysis Approach:
Player Performance Summary: Assess each player's individual performance metrics from the auto-tier list.
Team Impact: Look at the win/loss records to understand how certain combinations of players affect the outcomes of games.
Identify Patterns: Identify any patterns in team compositions that lead to high win rates or losses.
Best and Worst Teams: Based on the analysis, propose the best 5-stack teams for the highest win rate and the worst 5-stack teams for the lowest win rate.
Step 1: Player Performance Summary
High Performers: Players like Chris, Cortex, and Louis stand out due to their high K/D ratios and win percentages, suggesting they are impactful in games.
Communication and Team Play: Players with high communication percentages like Glonk may contribute significantly to team success beyond just their K/D ratio.
Selfish Scores: Players with higher selfish scores like Cortex and Louis, despite having good individual stats, may not always translate to team success if they don't play well with others.
Step 2: Team Impact and Patterns
Glonk's Teams: Glonk appears in many team compositions with a 100% win rate, suggesting a high impact on team success, possibly due to high communication skills.
Combination Patterns: Teams without Glonk or with lower-tier players have varied success rates, indicating the importance of balanced team composition that includes strong leadership and communication.
Step 3: Best and Worst 5-Stack Teams
Best Teams:
Glonk, Chris, Cortex, Ranger, Struggler: This team combines high K/D ratios with strong communication (Glonk's presence) and has shown 100% win rates in similar compositions.
Glonk, Tim, Cortex, Ranger, Louis: Another strong combination that leverages high individual performance with Glonk's leadership and communication.
Glonk, Chris, Boomer, Ranger, Lappland: Including a mix of tiers with Glonk and Chris for high performance and communication, plus Boomer and Lappland for balanced play.
Worst Teams:
Chris, Mauricio, Ranger, Boomer, Shyam: Combinations involving lower-tier players with Chris but without Glonk tend to have lower success rates, possibly due to less effective communication and teamwork.
Chris, Cortex, Tim, Louis, Struggler: Despite high individual stats, the lack of Glonk's leadership and potentially high selfish scores might reduce team synergy.
Chris, Boomer, Mauricio, Koyeetchi (Matt2), Mason: A mix of lower tiers and high tiers without the key communicators like Glonk could lead to less coordinated play.
To solidify these findings, I will calculate the average win percentages of the proposed best and worst teams based on the individual contributions and observed team dynamics. Let's proceed with the calculation.</t>
  </si>
  <si>
    <t>Approach:
Analyze Team Compositions: Review the win/loss records for each team to understand which combinations have been most and least successful.
Player Impact Assessment: Consider players' individual stats (K/D, Win%, Comm's %, Selfish Score) to gauge their potential impact on team success.
Identify Best and Worst Teams: Based on win rates and individual performances, identify the top 3 best and worst 5-stack teams.
Analyzing Team Compositions and Player Impact:
High Success Teams: Teams that have achieved a 100% win rate demonstrate effective synergy. Notably, combinations involving Chris, Glonk, and Cortex often appear in high-success scenarios, highlighting their impact.
Varied Success: Teams with mixed win rates (from 100% to 0%) offer insight into which player combinations might be less effective or face challenges in certain matchups.
Player Stats Overview:
Tier 1 Players (Chris, Glonk) have strong communication and decent K/D ratios, indicating their ability to contribute significantly to team success.
High Tier Players with issues in comms but good performance otherwise (e.g., Cortex) demonstrate the importance of balancing individual skill with team dynamics.
Lower Tier Players (e.g., iUseArch, Shyam) might struggle more significantly in contributing to team success due to major issues in key areas.
Proposed Best and Worst Teams:
Best Teams:
Chris, Glonk, Cortex, Ranger, Struggler: All have shown to contribute to 100% win rates in various compositions, indicating strong synergy and balanced skill sets.
Chris, Tim, Cortex, Ranger, Louis: This team combines high individual skill levels with effective teamwork, as demonstrated by their record.
Glonk, Chris, Boomer, Struggler, Lappland: A mix of communication skills, strategic play, and individual performance.
Worst Teams:
Chris, Glonk, Tim, - , -: Teams with incomplete rosters or those involving players with lower win rates and performance issues have shown to struggle.
Chris, Mauricio, Blade, Koyeetchi (Matt2), Shyam: Combining players with major issues in frags, comms, or both leads to lower success rates.
Chris, Boomer, Mauricio, Koyeetchi (Matt2), Mason: Despite some strong players, the overall balance leans towards lower performance and synergy.
Conclusion:
The best teams are characterized by a balance of high individual performance and effective communication, highlighting the importance of strategic team composition in achieving success. Conversely, the worst teams often include players with significant performance challenges, particularly in communication and teamwork, underscoring the need for balanced skills and synergy for optimal team performance.
This analysis is based on provided win/loss records and individual player stats, reflecting the importance of both individual skill and teamwork in competitive team compositions.</t>
  </si>
  <si>
    <t>Operator</t>
  </si>
  <si>
    <t>K/D Ratio</t>
  </si>
  <si>
    <t>Rounds Played</t>
  </si>
  <si>
    <t>RWL</t>
  </si>
  <si>
    <t>Time Alive</t>
  </si>
  <si>
    <t>Time Dead</t>
  </si>
  <si>
    <t>Headshot Acc.</t>
  </si>
  <si>
    <t>Score</t>
  </si>
  <si>
    <t>Gridlock</t>
  </si>
  <si>
    <t>Thatcher</t>
  </si>
  <si>
    <t>Lion</t>
  </si>
  <si>
    <t>Osa</t>
  </si>
  <si>
    <t>Buck</t>
  </si>
  <si>
    <t>Dokkaebi</t>
  </si>
  <si>
    <t>Montagne</t>
  </si>
  <si>
    <t>Zofia</t>
  </si>
  <si>
    <t>Fuze</t>
  </si>
  <si>
    <t>No Class</t>
  </si>
  <si>
    <t>Ying</t>
  </si>
  <si>
    <t>Finka</t>
  </si>
  <si>
    <t>Nomad</t>
  </si>
  <si>
    <t>Mute</t>
  </si>
  <si>
    <t>Valkyrie</t>
  </si>
  <si>
    <t>Jager</t>
  </si>
  <si>
    <t>Bandit</t>
  </si>
  <si>
    <t>Rook</t>
  </si>
  <si>
    <t>Frost</t>
  </si>
  <si>
    <t>Kapkan</t>
  </si>
  <si>
    <t>Thorn</t>
  </si>
  <si>
    <t>Aruni</t>
  </si>
  <si>
    <t>Kaid</t>
  </si>
  <si>
    <t>Tier</t>
  </si>
  <si>
    <t>Name</t>
  </si>
  <si>
    <t>Player</t>
  </si>
  <si>
    <t>Attack K/D</t>
  </si>
  <si>
    <t>Defense K/D</t>
  </si>
  <si>
    <t>Attack Wins</t>
  </si>
  <si>
    <t>Attack Losses</t>
  </si>
  <si>
    <t>Defense Wins</t>
  </si>
  <si>
    <t>Defense Losses</t>
  </si>
  <si>
    <t>Attack KOST</t>
  </si>
  <si>
    <t>Defense KOST</t>
  </si>
  <si>
    <t>Ranked Wins</t>
  </si>
  <si>
    <t>Ranked Losses</t>
  </si>
  <si>
    <t>Ranked Win%</t>
  </si>
  <si>
    <t>Attack Win%</t>
  </si>
  <si>
    <t>Defense Win%</t>
  </si>
  <si>
    <t>Wins in Stacks</t>
  </si>
  <si>
    <t>Losses in Stacks</t>
  </si>
  <si>
    <t>Total Games In Stacks</t>
  </si>
  <si>
    <t>Win% in Stack</t>
  </si>
  <si>
    <t>Comm's %</t>
  </si>
  <si>
    <t>Selfish  1-5</t>
  </si>
  <si>
    <t>+/- Average</t>
  </si>
  <si>
    <t>Matthew</t>
  </si>
  <si>
    <t>Glonk Combined</t>
  </si>
  <si>
    <t>Tier 1 -</t>
  </si>
  <si>
    <t>Lacking in possibly 1 category but minorly as to not be too negatively effective</t>
  </si>
  <si>
    <t>Win Rate above 50% with above 0.8 K/D and 60% comms</t>
  </si>
  <si>
    <t>Chris</t>
  </si>
  <si>
    <t>Chromius.TAMU</t>
  </si>
  <si>
    <t>Tier 2 -</t>
  </si>
  <si>
    <t>Lacking minorly in a few categories</t>
  </si>
  <si>
    <t>less than 0.8 K/D above than 60% Comms, selfish score 1,2 or 3</t>
  </si>
  <si>
    <t>Timythiccums.MB</t>
  </si>
  <si>
    <t>Tier 3 -</t>
  </si>
  <si>
    <t>Lacking in one category or enough in a few to lower effectiveness</t>
  </si>
  <si>
    <t>above 0.8 K/D less than 60% Comms, selfish score 1, 2 or 3</t>
  </si>
  <si>
    <t>Micheal</t>
  </si>
  <si>
    <t>Fallen.Rqnger</t>
  </si>
  <si>
    <t>Tier 4 -</t>
  </si>
  <si>
    <t>Lacking majorly in a category or issues in a few categories causing inconsistancy</t>
  </si>
  <si>
    <t>less than 0.8 K/D above than 50% Comms, 4 or 5 selfish score</t>
  </si>
  <si>
    <t>Ren</t>
  </si>
  <si>
    <t>PincheConcha</t>
  </si>
  <si>
    <t>Tier 5 -</t>
  </si>
  <si>
    <t>Major issues in more than one category of gameplay that negatively effects a team</t>
  </si>
  <si>
    <t>above 0.8 K/D less than 50% Comms, 4 or 5 selfish score</t>
  </si>
  <si>
    <t>Mauricio</t>
  </si>
  <si>
    <t>Galahad21588</t>
  </si>
  <si>
    <t>Tier 6 -</t>
  </si>
  <si>
    <t>Major issues in 3 categories to cause issues</t>
  </si>
  <si>
    <t>less than 0.7 K/D above than 50% Comms</t>
  </si>
  <si>
    <t>Asherzs</t>
  </si>
  <si>
    <t>Tier 7 -</t>
  </si>
  <si>
    <t>Major issues in a few categories but not all categories</t>
  </si>
  <si>
    <t>above a 0.7 K/D less than 50% Comms</t>
  </si>
  <si>
    <t>ThiccPie.OU</t>
  </si>
  <si>
    <t>Tier 8 -</t>
  </si>
  <si>
    <t>Severe issues in several categories that causes player to be not helpful or very rarely helpful</t>
  </si>
  <si>
    <t>less than 0.7 K/D less than 50% Comms, 4 or 5 selfish score, low win Rat_Squillae</t>
  </si>
  <si>
    <t>Karlsun</t>
  </si>
  <si>
    <t>Boomerjet123</t>
  </si>
  <si>
    <t>Gio</t>
  </si>
  <si>
    <t>Strugg1er.</t>
  </si>
  <si>
    <t>Alex</t>
  </si>
  <si>
    <t>Blade2420</t>
  </si>
  <si>
    <t>Mason</t>
  </si>
  <si>
    <t>Mason10_10</t>
  </si>
  <si>
    <t>I just started Rat_Squillaing comms by how good / how much people comm, feel free to edit</t>
  </si>
  <si>
    <t>Shyam</t>
  </si>
  <si>
    <t>Kermitt.MB</t>
  </si>
  <si>
    <t>Score =[@[K/D]]*100+[@[Win%]]*100+[@[Comm''s %]]*100</t>
  </si>
  <si>
    <t>Bob</t>
  </si>
  <si>
    <t>Dlehard.</t>
  </si>
  <si>
    <t>I also had to add more tiers this is a test page because not enough distinction</t>
  </si>
  <si>
    <t>Killmer.LAT</t>
  </si>
  <si>
    <t>Andrew</t>
  </si>
  <si>
    <t>Nobetterdough</t>
  </si>
  <si>
    <t>Avg A K/D</t>
  </si>
  <si>
    <t>Avg D K/D</t>
  </si>
  <si>
    <t>A KOST</t>
  </si>
  <si>
    <t>D KOST</t>
  </si>
  <si>
    <t>Avg Attack W%</t>
  </si>
  <si>
    <t>Avg Defense W%</t>
  </si>
  <si>
    <t>Avg Rank Win %</t>
  </si>
  <si>
    <t>Avg Stack Win%</t>
  </si>
  <si>
    <t>Avg Comm's %</t>
  </si>
  <si>
    <t>Avg Selfish  1-5</t>
  </si>
  <si>
    <t>Avg Score</t>
  </si>
  <si>
    <t>Connnor</t>
  </si>
  <si>
    <t>Coolrocket.TAMU</t>
  </si>
  <si>
    <t>Chris 2</t>
  </si>
  <si>
    <t>Fallen.Cortex</t>
  </si>
  <si>
    <t>Yutai</t>
  </si>
  <si>
    <t>NotLappland</t>
  </si>
  <si>
    <t>Mat 2</t>
  </si>
  <si>
    <t>Koyeetchi</t>
  </si>
  <si>
    <t>Trevor</t>
  </si>
  <si>
    <t>Trevor Combined</t>
  </si>
  <si>
    <t>Yusuf</t>
  </si>
  <si>
    <t>JoeHashish.TAMU</t>
  </si>
  <si>
    <t>IDK</t>
  </si>
  <si>
    <t>Strix.BBy</t>
  </si>
  <si>
    <t>Rat??</t>
  </si>
  <si>
    <t>Rat_Squilla</t>
  </si>
  <si>
    <t>Jacob</t>
  </si>
  <si>
    <t>Colonizer.BU</t>
  </si>
  <si>
    <t>Pathos-val</t>
  </si>
  <si>
    <t>Luke</t>
  </si>
  <si>
    <t>catsanddog123</t>
  </si>
  <si>
    <t>Polar</t>
  </si>
  <si>
    <t>Polar...-</t>
  </si>
  <si>
    <t>DO NOT EDIT BELOW TABLE Its the import table</t>
  </si>
  <si>
    <t>Glonk..</t>
  </si>
  <si>
    <t>Glonk.MB</t>
  </si>
  <si>
    <t>mason10_10</t>
  </si>
  <si>
    <t>lostarkwhale</t>
  </si>
  <si>
    <t>veists.</t>
  </si>
  <si>
    <t>Dupes</t>
  </si>
  <si>
    <t>Player 1</t>
  </si>
  <si>
    <t>Player 2</t>
  </si>
  <si>
    <t>Player 3</t>
  </si>
  <si>
    <t>Player 4</t>
  </si>
  <si>
    <t>Player 5</t>
  </si>
  <si>
    <t>Wins</t>
  </si>
  <si>
    <t>Losses</t>
  </si>
  <si>
    <t>Games Played</t>
  </si>
  <si>
    <t>W/L</t>
  </si>
  <si>
    <t>Team Effectivess Guess</t>
  </si>
  <si>
    <t>Notes</t>
  </si>
  <si>
    <t>Last Updated</t>
  </si>
  <si>
    <t>nobetterdough</t>
  </si>
  <si>
    <t/>
  </si>
  <si>
    <t>Honestly a pretty decent stack if everone is on their comm game and play together</t>
  </si>
  <si>
    <t>Matt</t>
  </si>
  <si>
    <t>3:27PM</t>
  </si>
  <si>
    <t>Notlappland</t>
  </si>
  <si>
    <t>Viests.</t>
  </si>
  <si>
    <t>Ronc.-</t>
  </si>
  <si>
    <t>m</t>
  </si>
  <si>
    <t>TexAg21</t>
  </si>
  <si>
    <t>LostArkWhale</t>
  </si>
  <si>
    <t>TheFifthSuit</t>
  </si>
  <si>
    <t>Rat and Lappland carried tf outta us</t>
  </si>
  <si>
    <t>Okay stack if you reign in Cortex by having him play with Fallen.Rqnger</t>
  </si>
  <si>
    <t xml:space="preserve">Galahad21588 </t>
  </si>
  <si>
    <t>Holy Carry</t>
  </si>
  <si>
    <t>Again goly carry chris 12-2  but honestyl we got really coordinated</t>
  </si>
  <si>
    <t>Bro I couldn't Carry</t>
  </si>
  <si>
    <t>Glonk</t>
  </si>
  <si>
    <t>FallenCortex</t>
  </si>
  <si>
    <t>Coolrocket</t>
  </si>
  <si>
    <t>JoeHashish</t>
  </si>
  <si>
    <t>Good Comms honestly probably best comm team</t>
  </si>
  <si>
    <t>Besides the no comms from trevor this went well, could be some luck tho</t>
  </si>
  <si>
    <t>The Fallen guys like weird strats that people dont know how to play against</t>
  </si>
  <si>
    <t>Timythiccums</t>
  </si>
  <si>
    <t>iUseArch</t>
  </si>
  <si>
    <t>Have a hard time communicating. Chris played out of game lead for 2 of our wins</t>
  </si>
  <si>
    <t>GlonkMB</t>
  </si>
  <si>
    <t>Awful team comp and comms, I Chromius.TAMU was the only one with kills first two rounds basicaly both maps. Too many agressive selfish plays. Andrew is the only good sport and clutched up pretty hard to save us</t>
  </si>
  <si>
    <t>Hi</t>
  </si>
  <si>
    <t>MrFish</t>
  </si>
  <si>
    <t>Penguy</t>
  </si>
  <si>
    <t>_</t>
  </si>
  <si>
    <t>Minimum</t>
  </si>
  <si>
    <t>Acceptable</t>
  </si>
  <si>
    <t>Darwin</t>
  </si>
  <si>
    <t>But Mau kept disconnecting</t>
  </si>
  <si>
    <t>Its just hard to have Shyam And Galahad21588 who are both so inconsistant. While the Elo is lowered in this group, Chromius.TAMU isn't consistant enough to carry in this elo, especially when there is few comms going around (which he is also a part of the issue)</t>
  </si>
  <si>
    <t>But Chromius disconnected so it was a 4v5 the whole way through</t>
  </si>
  <si>
    <t>Glonk lowkey sucked ass, Chris didn't pick up kills till round like 5/9 which didn't help</t>
  </si>
  <si>
    <t>F</t>
  </si>
  <si>
    <t>A</t>
  </si>
  <si>
    <t>Idk why this game went so poorly mauricio kept overagressing but it coulda been an easy win</t>
  </si>
  <si>
    <t>It's hard to tell but I think the big issue here is lack of comms for matthew and difficulty playing together as three (Chromius.TAMU doesn't play off ra ger well)</t>
  </si>
  <si>
    <t>Tier P1</t>
  </si>
  <si>
    <t>Tier P2</t>
  </si>
  <si>
    <t>Tier P3</t>
  </si>
  <si>
    <t>Tier P4</t>
  </si>
  <si>
    <t>Tier P5</t>
  </si>
  <si>
    <t>HiddenPlayer</t>
  </si>
  <si>
    <t>Win Equal</t>
  </si>
  <si>
    <t>Losses Equal</t>
  </si>
  <si>
    <t>AkusNightmare</t>
  </si>
  <si>
    <t>Jamato33</t>
  </si>
  <si>
    <t>Elyidian</t>
  </si>
  <si>
    <t>HostMal0ne</t>
  </si>
  <si>
    <t>Takeda</t>
  </si>
  <si>
    <t>Boomer has been lowering his sense and did well here</t>
  </si>
  <si>
    <t>less than 0.7 K/D less than 50% Comms, 4 or 5 selfish score, low win Rate</t>
  </si>
  <si>
    <t>Man this Ian guy went 6-1</t>
  </si>
  <si>
    <t>Akus</t>
  </si>
  <si>
    <t>Eli</t>
  </si>
  <si>
    <t>Total Games in Stacks</t>
  </si>
  <si>
    <t>Avg Games in stack</t>
  </si>
  <si>
    <t>Elly</t>
  </si>
  <si>
    <t>Scamped.</t>
  </si>
  <si>
    <t>EasterBallz--</t>
  </si>
  <si>
    <t>Ely's Husband</t>
  </si>
  <si>
    <t>Wh1pl4sh_117</t>
  </si>
  <si>
    <t>Ian</t>
  </si>
  <si>
    <t>hawaiianpunch56</t>
  </si>
  <si>
    <t>Blade and I dropped 11 and 10 kills we carried we broguht back a 1-3 chalet on attack to a 5-3</t>
  </si>
  <si>
    <t>Jed</t>
  </si>
  <si>
    <t>Solias</t>
  </si>
  <si>
    <t>Logan</t>
  </si>
  <si>
    <t>Wisesteyes</t>
  </si>
  <si>
    <t>Batman268</t>
  </si>
  <si>
    <t>Griff</t>
  </si>
  <si>
    <t>GrizzlyGrimmm</t>
  </si>
  <si>
    <t>zhusch</t>
  </si>
  <si>
    <t>SkillDatKillz.</t>
  </si>
  <si>
    <t>i hate how ely's friends play</t>
  </si>
  <si>
    <t>Skillz</t>
  </si>
  <si>
    <t>Fallen.rqnger</t>
  </si>
  <si>
    <t>Ely Friend</t>
  </si>
  <si>
    <t>Joehashish.TAMU</t>
  </si>
  <si>
    <t>Column1</t>
  </si>
  <si>
    <t>Stack has great comms</t>
  </si>
  <si>
    <t xml:space="preserve">Chromius and mauricio again carrying with some Ely and shem but Easter was awful and didnt comm. Worse gamesense then Eli </t>
  </si>
  <si>
    <t>solias</t>
  </si>
  <si>
    <t>Chromius and mauricio carrying with some Ely help</t>
  </si>
  <si>
    <t>BoomerJet123</t>
  </si>
  <si>
    <t>tEXAG21</t>
  </si>
  <si>
    <t>Jamato32</t>
  </si>
  <si>
    <t>GOAT, he most certainly is not. Solo Q-ing is not the vibe</t>
  </si>
  <si>
    <t>This might somehow be the worst stack ever I think its the 2 tier 8's</t>
  </si>
  <si>
    <t>wisesteyes.TAMU</t>
  </si>
  <si>
    <t>Ren went Nuclear Double Ace and we still didnt win sad but honestly Bob was pretty detrimental at times here</t>
  </si>
  <si>
    <t>Neither gave comms neither can frag both have high ping</t>
  </si>
  <si>
    <t>No comms on whiplash or jacob really and no serious fragging potential overall. Whiplash also pushes solo picked glaz on a 3-4 round and did really nothing</t>
  </si>
  <si>
    <t>Akusnightmare</t>
  </si>
  <si>
    <t>Glonk couldnt hit the broad side of a barn if you begged him to</t>
  </si>
  <si>
    <t>Full candor, Glonk lives up to that name</t>
  </si>
  <si>
    <t>Total</t>
  </si>
  <si>
    <t>pushups</t>
  </si>
  <si>
    <t>biceps</t>
  </si>
  <si>
    <t>situps</t>
  </si>
  <si>
    <t xml:space="preserve"> </t>
  </si>
  <si>
    <t xml:space="preserve">  </t>
  </si>
  <si>
    <t>deaths</t>
  </si>
  <si>
    <t>Done</t>
  </si>
  <si>
    <t>hi</t>
  </si>
  <si>
    <t>Glonkl.MB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</si>
</sst>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409]h:mm\ AM/PM;@"/>
    <numFmt numFmtId="166" formatCode="0.00000000"/>
  </numFmts>
  <fonts count="16">
    <font>
      <sz val="11"/>
      <color theme="1"/>
      <name val="Aptos Narrow"/>
      <family val="2"/>
      <scheme val="minor"/>
    </font>
    <font>
      <sz val="10"/>
      <color theme="1"/>
      <name val="Arial"/>
      <charset val="1"/>
    </font>
    <font>
      <b/>
      <sz val="11"/>
      <color rgb="FF000000"/>
      <name val="Calibri"/>
      <family val="2"/>
    </font>
    <font>
      <sz val="11"/>
      <color rgb="FF000000"/>
      <name val="Calibri"/>
      <family val="2"/>
    </font>
    <font>
      <b/>
      <sz val="10"/>
      <color theme="0"/>
      <name val="Arial"/>
      <charset val="1"/>
    </font>
    <font>
      <b/>
      <sz val="11"/>
      <color theme="1"/>
      <name val="Aptos Narrow"/>
      <family val="2"/>
      <scheme val="minor"/>
    </font>
    <font>
      <sz val="10"/>
      <color rgb="FFFF0000"/>
      <name val="Arial"/>
      <charset val="1"/>
    </font>
    <font>
      <sz val="10"/>
      <color rgb="FF000000"/>
      <name val="Arial"/>
      <charset val="1"/>
    </font>
    <font>
      <b/>
      <sz val="10"/>
      <color rgb="FFFF0000"/>
      <name val="Arial"/>
      <charset val="1"/>
    </font>
    <font>
      <b/>
      <sz val="10"/>
      <color rgb="FF000000"/>
      <name val="Arial"/>
      <charset val="1"/>
    </font>
    <font>
      <sz val="10"/>
      <color rgb="FFFF0000"/>
      <name val="Arial"/>
      <family val="2"/>
      <charset val="1"/>
    </font>
    <font>
      <sz val="10"/>
      <color rgb="FF000000"/>
      <name val="Arial"/>
      <family val="2"/>
      <charset val="1"/>
    </font>
    <font>
      <sz val="11"/>
      <color rgb="FF000000"/>
      <name val="Aptos Narrow"/>
      <charset val="1"/>
    </font>
    <font>
      <sz val="11"/>
      <color rgb="FF000000"/>
      <name val="Calibri"/>
    </font>
    <font>
      <sz val="11"/>
      <color rgb="FF000000"/>
      <name val="Consolas"/>
      <charset val="1"/>
    </font>
    <font>
      <u/>
      <sz val="11"/>
      <color theme="1"/>
      <name val="Aptos Narrow"/>
      <family val="2"/>
      <scheme val="minor"/>
    </font>
  </fonts>
  <fills count="22">
    <fill>
      <patternFill patternType="none"/>
    </fill>
    <fill>
      <patternFill patternType="gray125"/>
    </fill>
    <fill>
      <patternFill patternType="solid">
        <fgColor rgb="FFEA4335"/>
        <bgColor indexed="64"/>
      </patternFill>
    </fill>
    <fill>
      <patternFill patternType="solid">
        <fgColor rgb="FFFBBC04"/>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
      <patternFill patternType="solid">
        <fgColor rgb="FF7030A0"/>
        <bgColor indexed="64"/>
      </patternFill>
    </fill>
    <fill>
      <patternFill patternType="solid">
        <fgColor theme="9" tint="0.39997558519241921"/>
        <bgColor indexed="64"/>
      </patternFill>
    </fill>
    <fill>
      <patternFill patternType="solid">
        <fgColor rgb="FF00B050"/>
        <bgColor indexed="64"/>
      </patternFill>
    </fill>
    <fill>
      <patternFill patternType="solid">
        <fgColor theme="5"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E87331"/>
        <bgColor indexed="64"/>
      </patternFill>
    </fill>
    <fill>
      <patternFill patternType="solid">
        <fgColor rgb="FF7030A0"/>
        <bgColor rgb="FFC0E4F5"/>
      </patternFill>
    </fill>
    <fill>
      <patternFill patternType="solid">
        <fgColor rgb="FFC0E4F5"/>
        <bgColor rgb="FFC0E4F5"/>
      </patternFill>
    </fill>
    <fill>
      <patternFill patternType="solid">
        <fgColor rgb="FFF8696B"/>
        <bgColor rgb="FFC0E4F5"/>
      </patternFill>
    </fill>
    <fill>
      <patternFill patternType="solid">
        <fgColor rgb="FF63BE7B"/>
        <bgColor rgb="FFC0E4F5"/>
      </patternFill>
    </fill>
    <fill>
      <patternFill patternType="solid">
        <fgColor rgb="FFEA4335"/>
        <bgColor rgb="FFC0E4F5"/>
      </patternFill>
    </fill>
    <fill>
      <patternFill patternType="solid">
        <fgColor rgb="FFEA4335"/>
        <bgColor rgb="FF000000"/>
      </patternFill>
    </fill>
    <fill>
      <patternFill patternType="solid">
        <fgColor rgb="FF7E350E"/>
        <bgColor rgb="FF000000"/>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style="double">
        <color theme="4"/>
      </top>
      <bottom style="thin">
        <color theme="4" tint="0.39997558519241921"/>
      </bottom>
      <diagonal/>
    </border>
    <border>
      <left/>
      <right/>
      <top style="double">
        <color theme="4"/>
      </top>
      <bottom style="thin">
        <color theme="4" tint="0.39997558519241921"/>
      </bottom>
      <diagonal/>
    </border>
    <border>
      <left/>
      <right style="thin">
        <color theme="4" tint="0.39997558519241921"/>
      </right>
      <top style="double">
        <color theme="4"/>
      </top>
      <bottom style="thin">
        <color theme="4" tint="0.39997558519241921"/>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theme="4" tint="0.39997558519241921"/>
      </top>
      <bottom style="thin">
        <color theme="4" tint="0.39997558519241921"/>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style="thin">
        <color theme="4" tint="0.39997558519241921"/>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4" tint="0.39997558519241921"/>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s>
  <cellStyleXfs count="1">
    <xf numFmtId="0" fontId="0" fillId="0" borderId="0"/>
  </cellStyleXfs>
  <cellXfs count="214">
    <xf numFmtId="0" fontId="0" fillId="0" borderId="0" xfId="0"/>
    <xf numFmtId="0" fontId="1" fillId="0" borderId="0" xfId="0" applyFont="1" applyAlignment="1">
      <alignment readingOrder="1"/>
    </xf>
    <xf numFmtId="0" fontId="1" fillId="2" borderId="0" xfId="0" applyFont="1" applyFill="1" applyAlignment="1">
      <alignment readingOrder="1"/>
    </xf>
    <xf numFmtId="10" fontId="1" fillId="0" borderId="0" xfId="0" applyNumberFormat="1" applyFont="1" applyAlignment="1">
      <alignment readingOrder="1"/>
    </xf>
    <xf numFmtId="0" fontId="1" fillId="0" borderId="0" xfId="0" applyFont="1" applyAlignment="1">
      <alignment wrapText="1" readingOrder="1"/>
    </xf>
    <xf numFmtId="0" fontId="0" fillId="0" borderId="0" xfId="0" applyAlignment="1">
      <alignment wrapText="1"/>
    </xf>
    <xf numFmtId="0" fontId="2" fillId="0" borderId="1" xfId="0" applyFont="1" applyBorder="1"/>
    <xf numFmtId="0" fontId="2" fillId="0" borderId="2" xfId="0" applyFont="1" applyBorder="1"/>
    <xf numFmtId="0" fontId="3" fillId="0" borderId="0" xfId="0" applyFont="1"/>
    <xf numFmtId="164" fontId="0" fillId="0" borderId="0" xfId="0" applyNumberFormat="1"/>
    <xf numFmtId="165" fontId="0" fillId="0" borderId="0" xfId="0" applyNumberFormat="1"/>
    <xf numFmtId="16" fontId="0" fillId="0" borderId="0" xfId="0" applyNumberFormat="1"/>
    <xf numFmtId="2" fontId="1" fillId="0" borderId="0" xfId="0" applyNumberFormat="1" applyFont="1" applyAlignment="1">
      <alignment readingOrder="1"/>
    </xf>
    <xf numFmtId="0" fontId="1" fillId="4" borderId="0" xfId="0" applyFont="1" applyFill="1" applyAlignment="1">
      <alignment readingOrder="1"/>
    </xf>
    <xf numFmtId="0" fontId="1" fillId="5" borderId="0" xfId="0" applyFont="1" applyFill="1" applyAlignment="1">
      <alignment readingOrder="1"/>
    </xf>
    <xf numFmtId="0" fontId="1" fillId="6" borderId="0" xfId="0" applyFont="1" applyFill="1" applyAlignment="1">
      <alignment readingOrder="1"/>
    </xf>
    <xf numFmtId="0" fontId="1" fillId="7" borderId="0" xfId="0" applyFont="1" applyFill="1" applyAlignment="1">
      <alignment readingOrder="1"/>
    </xf>
    <xf numFmtId="0" fontId="1" fillId="8" borderId="0" xfId="0" applyFont="1" applyFill="1" applyAlignment="1">
      <alignment readingOrder="1"/>
    </xf>
    <xf numFmtId="0" fontId="1" fillId="9" borderId="0" xfId="0" applyFont="1" applyFill="1" applyAlignment="1">
      <alignment readingOrder="1"/>
    </xf>
    <xf numFmtId="0" fontId="1" fillId="10" borderId="0" xfId="0" applyFont="1" applyFill="1" applyAlignment="1">
      <alignment readingOrder="1"/>
    </xf>
    <xf numFmtId="2" fontId="1" fillId="0" borderId="0" xfId="0" applyNumberFormat="1" applyFont="1" applyAlignment="1">
      <alignment horizontal="center" vertical="center" readingOrder="1"/>
    </xf>
    <xf numFmtId="1" fontId="1" fillId="0" borderId="0" xfId="0" applyNumberFormat="1" applyFont="1" applyAlignment="1">
      <alignment horizontal="center" vertical="center" readingOrder="1"/>
    </xf>
    <xf numFmtId="1" fontId="0" fillId="0" borderId="0" xfId="0" applyNumberFormat="1" applyAlignment="1">
      <alignment horizontal="center" vertical="center"/>
    </xf>
    <xf numFmtId="0" fontId="4" fillId="11" borderId="3" xfId="0" applyFont="1" applyFill="1" applyBorder="1" applyAlignment="1">
      <alignment wrapText="1" readingOrder="1"/>
    </xf>
    <xf numFmtId="0" fontId="4" fillId="11" borderId="4" xfId="0" applyFont="1" applyFill="1" applyBorder="1" applyAlignment="1">
      <alignment wrapText="1" readingOrder="1"/>
    </xf>
    <xf numFmtId="166" fontId="1" fillId="0" borderId="0" xfId="0" applyNumberFormat="1" applyFont="1" applyAlignment="1">
      <alignment readingOrder="1"/>
    </xf>
    <xf numFmtId="165" fontId="0" fillId="0" borderId="0" xfId="0" applyNumberFormat="1" applyAlignment="1">
      <alignment horizontal="right"/>
    </xf>
    <xf numFmtId="0" fontId="4" fillId="11" borderId="5" xfId="0" applyFont="1" applyFill="1" applyBorder="1" applyAlignment="1">
      <alignment horizontal="left" wrapText="1" readingOrder="1"/>
    </xf>
    <xf numFmtId="0" fontId="4" fillId="11" borderId="6" xfId="0" applyFont="1" applyFill="1" applyBorder="1" applyAlignment="1">
      <alignment horizontal="left" wrapText="1" readingOrder="1"/>
    </xf>
    <xf numFmtId="1" fontId="5" fillId="0" borderId="7" xfId="0" applyNumberFormat="1" applyFont="1" applyBorder="1"/>
    <xf numFmtId="1" fontId="5" fillId="0" borderId="8" xfId="0" applyNumberFormat="1" applyFont="1" applyBorder="1"/>
    <xf numFmtId="10" fontId="0" fillId="0" borderId="9" xfId="0" applyNumberFormat="1" applyBorder="1" applyAlignment="1">
      <alignment readingOrder="1"/>
    </xf>
    <xf numFmtId="10" fontId="3" fillId="0" borderId="0" xfId="0" applyNumberFormat="1" applyFont="1"/>
    <xf numFmtId="0" fontId="0" fillId="0" borderId="0" xfId="0" applyAlignment="1">
      <alignment horizontal="center"/>
    </xf>
    <xf numFmtId="0" fontId="4" fillId="11" borderId="0" xfId="0" applyFont="1" applyFill="1" applyAlignment="1">
      <alignment horizontal="center" wrapText="1" readingOrder="1"/>
    </xf>
    <xf numFmtId="10" fontId="0" fillId="0" borderId="0" xfId="0" applyNumberFormat="1" applyAlignment="1">
      <alignment horizontal="center" readingOrder="1"/>
    </xf>
    <xf numFmtId="1" fontId="4" fillId="11" borderId="6" xfId="0" applyNumberFormat="1" applyFont="1" applyFill="1" applyBorder="1" applyAlignment="1">
      <alignment horizontal="center" wrapText="1" readingOrder="1"/>
    </xf>
    <xf numFmtId="0" fontId="4" fillId="11" borderId="6" xfId="0" applyFont="1" applyFill="1" applyBorder="1" applyAlignment="1">
      <alignment horizontal="center" wrapText="1" readingOrder="1"/>
    </xf>
    <xf numFmtId="0" fontId="0" fillId="0" borderId="8" xfId="0" applyBorder="1" applyAlignment="1">
      <alignment horizontal="center" readingOrder="1"/>
    </xf>
    <xf numFmtId="1" fontId="0" fillId="0" borderId="0" xfId="0" applyNumberFormat="1" applyAlignment="1">
      <alignment horizontal="center"/>
    </xf>
    <xf numFmtId="0" fontId="0" fillId="0" borderId="0" xfId="0" applyAlignment="1">
      <alignment vertical="center"/>
    </xf>
    <xf numFmtId="49" fontId="1" fillId="12" borderId="5" xfId="0" applyNumberFormat="1" applyFont="1" applyFill="1" applyBorder="1" applyAlignment="1">
      <alignment vertical="center" readingOrder="1"/>
    </xf>
    <xf numFmtId="49" fontId="1" fillId="12" borderId="6" xfId="0" applyNumberFormat="1" applyFont="1" applyFill="1" applyBorder="1" applyAlignment="1">
      <alignment vertical="center" readingOrder="1"/>
    </xf>
    <xf numFmtId="10" fontId="1" fillId="12" borderId="6" xfId="0" applyNumberFormat="1" applyFont="1" applyFill="1" applyBorder="1" applyAlignment="1">
      <alignment vertical="center" readingOrder="1"/>
    </xf>
    <xf numFmtId="10" fontId="1" fillId="12" borderId="0" xfId="0" applyNumberFormat="1" applyFont="1" applyFill="1" applyAlignment="1">
      <alignment vertical="center" readingOrder="1"/>
    </xf>
    <xf numFmtId="0" fontId="1" fillId="12" borderId="5" xfId="0" applyFont="1" applyFill="1" applyBorder="1" applyAlignment="1">
      <alignment vertical="center" readingOrder="1"/>
    </xf>
    <xf numFmtId="0" fontId="1" fillId="12" borderId="6" xfId="0" applyFont="1" applyFill="1" applyBorder="1" applyAlignment="1">
      <alignment vertical="center" readingOrder="1"/>
    </xf>
    <xf numFmtId="0" fontId="1" fillId="0" borderId="5" xfId="0" applyFont="1" applyBorder="1" applyAlignment="1">
      <alignment vertical="center" readingOrder="1"/>
    </xf>
    <xf numFmtId="0" fontId="1" fillId="0" borderId="6" xfId="0" applyFont="1" applyBorder="1" applyAlignment="1">
      <alignment vertical="center" readingOrder="1"/>
    </xf>
    <xf numFmtId="0" fontId="1" fillId="0" borderId="6" xfId="0" quotePrefix="1" applyFont="1" applyBorder="1" applyAlignment="1">
      <alignment vertical="center" readingOrder="1"/>
    </xf>
    <xf numFmtId="10" fontId="1" fillId="0" borderId="6" xfId="0" applyNumberFormat="1" applyFont="1" applyBorder="1" applyAlignment="1">
      <alignment vertical="center" readingOrder="1"/>
    </xf>
    <xf numFmtId="10" fontId="1" fillId="0" borderId="0" xfId="0" applyNumberFormat="1" applyFont="1" applyAlignment="1">
      <alignment vertical="center" readingOrder="1"/>
    </xf>
    <xf numFmtId="0" fontId="1" fillId="12" borderId="6" xfId="0" quotePrefix="1" applyFont="1" applyFill="1" applyBorder="1" applyAlignment="1">
      <alignment vertical="center" readingOrder="1"/>
    </xf>
    <xf numFmtId="0" fontId="1" fillId="12" borderId="0" xfId="0" quotePrefix="1" applyFont="1" applyFill="1" applyAlignment="1">
      <alignment vertical="center" readingOrder="1"/>
    </xf>
    <xf numFmtId="0" fontId="1" fillId="10" borderId="6" xfId="0" applyFont="1" applyFill="1" applyBorder="1" applyAlignment="1">
      <alignment vertical="center" readingOrder="1"/>
    </xf>
    <xf numFmtId="0" fontId="0" fillId="0" borderId="6" xfId="0" applyBorder="1" applyAlignment="1">
      <alignment vertical="center"/>
    </xf>
    <xf numFmtId="0" fontId="1" fillId="9" borderId="6" xfId="0" applyFont="1" applyFill="1" applyBorder="1" applyAlignment="1">
      <alignment vertical="center" readingOrder="1"/>
    </xf>
    <xf numFmtId="0" fontId="1" fillId="0" borderId="0" xfId="0" quotePrefix="1" applyFont="1" applyAlignment="1">
      <alignment vertical="center" readingOrder="1"/>
    </xf>
    <xf numFmtId="0" fontId="1" fillId="8" borderId="6" xfId="0" applyFont="1" applyFill="1" applyBorder="1" applyAlignment="1">
      <alignment vertical="center" readingOrder="1"/>
    </xf>
    <xf numFmtId="0" fontId="1" fillId="3" borderId="6" xfId="0" applyFont="1" applyFill="1" applyBorder="1" applyAlignment="1">
      <alignment vertical="center" readingOrder="1"/>
    </xf>
    <xf numFmtId="0" fontId="1" fillId="12" borderId="0" xfId="0" applyFont="1" applyFill="1" applyAlignment="1">
      <alignment vertical="center" readingOrder="1"/>
    </xf>
    <xf numFmtId="0" fontId="1" fillId="0" borderId="0" xfId="0" applyFont="1" applyAlignment="1">
      <alignment vertical="center" readingOrder="1"/>
    </xf>
    <xf numFmtId="0" fontId="0" fillId="12" borderId="5" xfId="0" applyFill="1" applyBorder="1" applyAlignment="1">
      <alignment vertical="center"/>
    </xf>
    <xf numFmtId="0" fontId="0" fillId="12" borderId="6" xfId="0" applyFill="1" applyBorder="1" applyAlignment="1">
      <alignment vertical="center"/>
    </xf>
    <xf numFmtId="0" fontId="0" fillId="12" borderId="0" xfId="0" applyFill="1" applyAlignment="1">
      <alignment vertical="center"/>
    </xf>
    <xf numFmtId="0" fontId="0" fillId="13" borderId="6" xfId="0" applyFill="1" applyBorder="1" applyAlignment="1">
      <alignment vertical="center"/>
    </xf>
    <xf numFmtId="0" fontId="4" fillId="11" borderId="0" xfId="0" applyFont="1" applyFill="1" applyAlignment="1">
      <alignment vertical="top" wrapText="1" readingOrder="1"/>
    </xf>
    <xf numFmtId="10" fontId="1" fillId="12" borderId="0" xfId="0" applyNumberFormat="1" applyFont="1" applyFill="1" applyAlignment="1">
      <alignment vertical="top" wrapText="1" readingOrder="1"/>
    </xf>
    <xf numFmtId="10" fontId="1" fillId="0" borderId="0" xfId="0" applyNumberFormat="1" applyFont="1" applyAlignment="1">
      <alignment vertical="top" wrapText="1" readingOrder="1"/>
    </xf>
    <xf numFmtId="10" fontId="0" fillId="0" borderId="0" xfId="0" applyNumberFormat="1" applyAlignment="1">
      <alignment vertical="top" wrapText="1" readingOrder="1"/>
    </xf>
    <xf numFmtId="0" fontId="0" fillId="0" borderId="0" xfId="0" applyAlignment="1">
      <alignment vertical="top" wrapText="1"/>
    </xf>
    <xf numFmtId="0" fontId="1" fillId="0" borderId="0" xfId="0" applyFont="1" applyAlignment="1">
      <alignment horizontal="left" vertical="top" wrapText="1" readingOrder="1"/>
    </xf>
    <xf numFmtId="0" fontId="1" fillId="10" borderId="0" xfId="0" applyFont="1" applyFill="1" applyAlignment="1">
      <alignment vertical="center" readingOrder="1"/>
    </xf>
    <xf numFmtId="10" fontId="0" fillId="0" borderId="0" xfId="0" applyNumberFormat="1"/>
    <xf numFmtId="0" fontId="1" fillId="0" borderId="0" xfId="0" applyFont="1" applyAlignment="1">
      <alignment horizontal="center" vertical="center" readingOrder="1"/>
    </xf>
    <xf numFmtId="9" fontId="1" fillId="0" borderId="0" xfId="0" applyNumberFormat="1" applyFont="1" applyAlignment="1">
      <alignment horizontal="right" readingOrder="1"/>
    </xf>
    <xf numFmtId="9" fontId="0" fillId="0" borderId="0" xfId="0" applyNumberFormat="1" applyAlignment="1">
      <alignment horizontal="right"/>
    </xf>
    <xf numFmtId="1" fontId="3" fillId="0" borderId="0" xfId="0" applyNumberFormat="1" applyFont="1"/>
    <xf numFmtId="0" fontId="2" fillId="0" borderId="11" xfId="0" applyFont="1" applyBorder="1"/>
    <xf numFmtId="0" fontId="2" fillId="0" borderId="12" xfId="0" applyFont="1" applyBorder="1"/>
    <xf numFmtId="0" fontId="6" fillId="0" borderId="0" xfId="0" applyFont="1"/>
    <xf numFmtId="0" fontId="7" fillId="0" borderId="6" xfId="0" quotePrefix="1" applyFont="1" applyBorder="1" applyAlignment="1">
      <alignment vertical="center" readingOrder="1"/>
    </xf>
    <xf numFmtId="0" fontId="3" fillId="0" borderId="6" xfId="0" quotePrefix="1" applyFont="1" applyBorder="1"/>
    <xf numFmtId="0" fontId="1" fillId="0" borderId="6" xfId="0" applyFont="1" applyBorder="1" applyAlignment="1">
      <alignment readingOrder="1"/>
    </xf>
    <xf numFmtId="0" fontId="3" fillId="0" borderId="0" xfId="0" quotePrefix="1" applyFont="1"/>
    <xf numFmtId="0" fontId="3" fillId="0" borderId="6" xfId="0" applyFont="1" applyBorder="1"/>
    <xf numFmtId="0" fontId="0" fillId="0" borderId="6" xfId="0" applyBorder="1"/>
    <xf numFmtId="0" fontId="8" fillId="12" borderId="6" xfId="0" applyFont="1" applyFill="1" applyBorder="1" applyAlignment="1">
      <alignment vertical="center" readingOrder="1"/>
    </xf>
    <xf numFmtId="0" fontId="8" fillId="0" borderId="6" xfId="0" quotePrefix="1" applyFont="1" applyBorder="1" applyAlignment="1">
      <alignment readingOrder="1"/>
    </xf>
    <xf numFmtId="0" fontId="9" fillId="0" borderId="0" xfId="0" quotePrefix="1" applyFont="1" applyAlignment="1">
      <alignment vertical="center" readingOrder="1"/>
    </xf>
    <xf numFmtId="0" fontId="8" fillId="0" borderId="0" xfId="0" applyFont="1" applyAlignment="1">
      <alignment vertical="center" readingOrder="1"/>
    </xf>
    <xf numFmtId="0" fontId="1" fillId="14" borderId="5" xfId="0" applyFont="1" applyFill="1" applyBorder="1" applyAlignment="1">
      <alignment vertical="center" readingOrder="1"/>
    </xf>
    <xf numFmtId="0" fontId="1" fillId="14" borderId="6" xfId="0" applyFont="1" applyFill="1" applyBorder="1" applyAlignment="1">
      <alignment vertical="center" readingOrder="1"/>
    </xf>
    <xf numFmtId="0" fontId="1" fillId="15" borderId="6" xfId="0" applyFont="1" applyFill="1" applyBorder="1" applyAlignment="1">
      <alignment vertical="center" readingOrder="1"/>
    </xf>
    <xf numFmtId="10" fontId="1" fillId="16" borderId="6" xfId="0" applyNumberFormat="1" applyFont="1" applyFill="1" applyBorder="1" applyAlignment="1">
      <alignment vertical="center" readingOrder="1"/>
    </xf>
    <xf numFmtId="10" fontId="1" fillId="16" borderId="0" xfId="0" applyNumberFormat="1" applyFont="1" applyFill="1" applyAlignment="1">
      <alignment vertical="center" readingOrder="1"/>
    </xf>
    <xf numFmtId="0" fontId="1" fillId="0" borderId="0" xfId="0" applyFont="1" applyAlignment="1">
      <alignment vertical="top" wrapText="1" readingOrder="1"/>
    </xf>
    <xf numFmtId="10" fontId="1" fillId="17" borderId="6" xfId="0" applyNumberFormat="1" applyFont="1" applyFill="1" applyBorder="1" applyAlignment="1">
      <alignment vertical="center" readingOrder="1"/>
    </xf>
    <xf numFmtId="10" fontId="1" fillId="17" borderId="0" xfId="0" applyNumberFormat="1" applyFont="1" applyFill="1" applyAlignment="1">
      <alignment vertical="center" readingOrder="1"/>
    </xf>
    <xf numFmtId="0" fontId="1" fillId="18" borderId="6" xfId="0" applyFont="1" applyFill="1" applyBorder="1" applyAlignment="1">
      <alignment vertical="center" readingOrder="1"/>
    </xf>
    <xf numFmtId="0" fontId="11" fillId="19" borderId="0" xfId="0" applyFont="1" applyFill="1" applyAlignment="1">
      <alignment vertical="center" readingOrder="1"/>
    </xf>
    <xf numFmtId="49" fontId="1" fillId="0" borderId="6" xfId="0" applyNumberFormat="1" applyFont="1" applyBorder="1" applyAlignment="1">
      <alignment vertical="center" readingOrder="1"/>
    </xf>
    <xf numFmtId="0" fontId="3" fillId="0" borderId="13" xfId="0" applyFont="1" applyBorder="1"/>
    <xf numFmtId="9" fontId="1" fillId="0" borderId="6" xfId="0" applyNumberFormat="1" applyFont="1" applyBorder="1" applyAlignment="1">
      <alignment vertical="center" readingOrder="1"/>
    </xf>
    <xf numFmtId="9" fontId="1" fillId="0" borderId="6" xfId="0" quotePrefix="1" applyNumberFormat="1" applyFont="1" applyBorder="1" applyAlignment="1">
      <alignment vertical="center" readingOrder="1"/>
    </xf>
    <xf numFmtId="9" fontId="4" fillId="11" borderId="0" xfId="0" applyNumberFormat="1" applyFont="1" applyFill="1" applyAlignment="1">
      <alignment horizontal="center" wrapText="1" readingOrder="1"/>
    </xf>
    <xf numFmtId="9" fontId="0" fillId="0" borderId="0" xfId="0" applyNumberFormat="1" applyAlignment="1">
      <alignment horizontal="center" readingOrder="1"/>
    </xf>
    <xf numFmtId="9" fontId="0" fillId="0" borderId="0" xfId="0" applyNumberFormat="1" applyAlignment="1">
      <alignment horizontal="center"/>
    </xf>
    <xf numFmtId="0" fontId="0" fillId="0" borderId="0" xfId="0" applyAlignment="1">
      <alignment vertical="center" wrapText="1"/>
    </xf>
    <xf numFmtId="0" fontId="0" fillId="0" borderId="0" xfId="0" applyAlignment="1">
      <alignment horizontal="left" wrapText="1"/>
    </xf>
    <xf numFmtId="0" fontId="1" fillId="9" borderId="0" xfId="0" applyFont="1" applyFill="1" applyAlignment="1">
      <alignment horizontal="left" readingOrder="1"/>
    </xf>
    <xf numFmtId="0" fontId="12" fillId="0" borderId="0" xfId="0" applyFont="1"/>
    <xf numFmtId="0" fontId="10" fillId="0" borderId="6" xfId="0" applyFont="1" applyBorder="1" applyAlignment="1">
      <alignment vertical="center" readingOrder="1"/>
    </xf>
    <xf numFmtId="0" fontId="0" fillId="21" borderId="0" xfId="0" applyFill="1" applyAlignment="1">
      <alignment vertical="center"/>
    </xf>
    <xf numFmtId="0" fontId="13" fillId="0" borderId="0" xfId="0" applyFont="1"/>
    <xf numFmtId="49" fontId="1" fillId="0" borderId="5" xfId="0" applyNumberFormat="1" applyFont="1" applyBorder="1" applyAlignment="1">
      <alignment vertical="center" readingOrder="1"/>
    </xf>
    <xf numFmtId="10" fontId="1" fillId="21" borderId="0" xfId="0" applyNumberFormat="1" applyFont="1" applyFill="1" applyAlignment="1">
      <alignment vertical="top" wrapText="1" readingOrder="1"/>
    </xf>
    <xf numFmtId="49" fontId="1" fillId="12" borderId="0" xfId="0" applyNumberFormat="1" applyFont="1" applyFill="1" applyAlignment="1">
      <alignment vertical="center" readingOrder="1"/>
    </xf>
    <xf numFmtId="0" fontId="8" fillId="12" borderId="0" xfId="0" applyFont="1" applyFill="1" applyAlignment="1">
      <alignment vertical="center" readingOrder="1"/>
    </xf>
    <xf numFmtId="0" fontId="1" fillId="9" borderId="0" xfId="0" applyFont="1" applyFill="1" applyAlignment="1">
      <alignment vertical="center" readingOrder="1"/>
    </xf>
    <xf numFmtId="0" fontId="7" fillId="0" borderId="0" xfId="0" quotePrefix="1" applyFont="1" applyAlignment="1">
      <alignment vertical="center" readingOrder="1"/>
    </xf>
    <xf numFmtId="0" fontId="1" fillId="7" borderId="6" xfId="0" applyFont="1" applyFill="1" applyBorder="1" applyAlignment="1">
      <alignment vertical="center" readingOrder="1"/>
    </xf>
    <xf numFmtId="0" fontId="1" fillId="20" borderId="0" xfId="0" applyFont="1" applyFill="1" applyAlignment="1">
      <alignment vertical="center" readingOrder="1"/>
    </xf>
    <xf numFmtId="49" fontId="0" fillId="12" borderId="5" xfId="0" applyNumberFormat="1" applyFill="1" applyBorder="1" applyAlignment="1">
      <alignment vertical="center"/>
    </xf>
    <xf numFmtId="49" fontId="0" fillId="12" borderId="6" xfId="0" applyNumberFormat="1" applyFill="1" applyBorder="1" applyAlignment="1">
      <alignment vertical="center"/>
    </xf>
    <xf numFmtId="49" fontId="1" fillId="12" borderId="6" xfId="0" quotePrefix="1" applyNumberFormat="1" applyFont="1" applyFill="1" applyBorder="1" applyAlignment="1">
      <alignment vertical="center" readingOrder="1"/>
    </xf>
    <xf numFmtId="49" fontId="1" fillId="0" borderId="6" xfId="0" quotePrefix="1" applyNumberFormat="1" applyFont="1" applyBorder="1" applyAlignment="1">
      <alignment vertical="center" readingOrder="1"/>
    </xf>
    <xf numFmtId="49" fontId="1" fillId="10" borderId="6" xfId="0" applyNumberFormat="1" applyFont="1" applyFill="1" applyBorder="1" applyAlignment="1">
      <alignment vertical="center" readingOrder="1"/>
    </xf>
    <xf numFmtId="49" fontId="1" fillId="12" borderId="0" xfId="0" quotePrefix="1" applyNumberFormat="1" applyFont="1" applyFill="1" applyAlignment="1">
      <alignment vertical="center" readingOrder="1"/>
    </xf>
    <xf numFmtId="49" fontId="1" fillId="0" borderId="0" xfId="0" quotePrefix="1" applyNumberFormat="1" applyFont="1" applyAlignment="1">
      <alignment vertical="center" readingOrder="1"/>
    </xf>
    <xf numFmtId="49" fontId="0" fillId="0" borderId="6" xfId="0" applyNumberFormat="1" applyBorder="1" applyAlignment="1">
      <alignment vertical="center"/>
    </xf>
    <xf numFmtId="49" fontId="7" fillId="0" borderId="6" xfId="0" quotePrefix="1" applyNumberFormat="1" applyFont="1" applyBorder="1" applyAlignment="1">
      <alignment vertical="center" readingOrder="1"/>
    </xf>
    <xf numFmtId="49" fontId="1" fillId="0" borderId="0" xfId="0" applyNumberFormat="1" applyFont="1" applyAlignment="1">
      <alignment vertical="center" readingOrder="1"/>
    </xf>
    <xf numFmtId="49" fontId="13" fillId="0" borderId="6" xfId="0" quotePrefix="1" applyNumberFormat="1" applyFont="1" applyBorder="1" applyAlignment="1">
      <alignment vertical="center"/>
    </xf>
    <xf numFmtId="49" fontId="1" fillId="8" borderId="6" xfId="0" applyNumberFormat="1" applyFont="1" applyFill="1" applyBorder="1" applyAlignment="1">
      <alignment vertical="center" readingOrder="1"/>
    </xf>
    <xf numFmtId="49" fontId="0" fillId="12" borderId="0" xfId="0" applyNumberFormat="1" applyFill="1" applyAlignment="1">
      <alignment vertical="center"/>
    </xf>
    <xf numFmtId="49" fontId="1" fillId="9" borderId="6" xfId="0" applyNumberFormat="1" applyFont="1" applyFill="1" applyBorder="1" applyAlignment="1">
      <alignment vertical="center" readingOrder="1"/>
    </xf>
    <xf numFmtId="49" fontId="1" fillId="14" borderId="5" xfId="0" applyNumberFormat="1" applyFont="1" applyFill="1" applyBorder="1" applyAlignment="1">
      <alignment vertical="center" readingOrder="1"/>
    </xf>
    <xf numFmtId="49" fontId="1" fillId="18" borderId="6" xfId="0" applyNumberFormat="1" applyFont="1" applyFill="1" applyBorder="1" applyAlignment="1">
      <alignment vertical="center" readingOrder="1"/>
    </xf>
    <xf numFmtId="49" fontId="1" fillId="14" borderId="6" xfId="0" applyNumberFormat="1" applyFont="1" applyFill="1" applyBorder="1" applyAlignment="1">
      <alignment vertical="center" readingOrder="1"/>
    </xf>
    <xf numFmtId="49" fontId="11" fillId="19" borderId="0" xfId="0" applyNumberFormat="1" applyFont="1" applyFill="1" applyAlignment="1">
      <alignment vertical="center" readingOrder="1"/>
    </xf>
    <xf numFmtId="49" fontId="8" fillId="0" borderId="6" xfId="0" quotePrefix="1" applyNumberFormat="1" applyFont="1" applyBorder="1" applyAlignment="1">
      <alignment readingOrder="1"/>
    </xf>
    <xf numFmtId="49" fontId="1" fillId="15" borderId="6" xfId="0" applyNumberFormat="1" applyFont="1" applyFill="1" applyBorder="1" applyAlignment="1">
      <alignment vertical="center" readingOrder="1"/>
    </xf>
    <xf numFmtId="49" fontId="10" fillId="0" borderId="6" xfId="0" applyNumberFormat="1" applyFont="1" applyBorder="1" applyAlignment="1">
      <alignment vertical="center" readingOrder="1"/>
    </xf>
    <xf numFmtId="49" fontId="1" fillId="3" borderId="6" xfId="0" applyNumberFormat="1" applyFont="1" applyFill="1" applyBorder="1" applyAlignment="1">
      <alignment vertical="center" readingOrder="1"/>
    </xf>
    <xf numFmtId="49" fontId="8" fillId="0" borderId="6" xfId="0" applyNumberFormat="1" applyFont="1" applyBorder="1" applyAlignment="1">
      <alignment vertical="center" readingOrder="1"/>
    </xf>
    <xf numFmtId="49" fontId="1" fillId="7" borderId="6" xfId="0" applyNumberFormat="1" applyFont="1" applyFill="1" applyBorder="1" applyAlignment="1">
      <alignment vertical="center" readingOrder="1"/>
    </xf>
    <xf numFmtId="49" fontId="8" fillId="12" borderId="6" xfId="0" applyNumberFormat="1" applyFont="1" applyFill="1" applyBorder="1" applyAlignment="1">
      <alignment vertical="center" readingOrder="1"/>
    </xf>
    <xf numFmtId="0" fontId="14" fillId="0" borderId="0" xfId="0" applyFont="1"/>
    <xf numFmtId="0" fontId="15" fillId="0" borderId="0" xfId="0" applyFont="1"/>
    <xf numFmtId="1" fontId="5" fillId="0" borderId="0" xfId="0" applyNumberFormat="1" applyFont="1"/>
    <xf numFmtId="0" fontId="1" fillId="0" borderId="14" xfId="0" applyFont="1" applyBorder="1" applyAlignment="1">
      <alignment readingOrder="1"/>
    </xf>
    <xf numFmtId="0" fontId="1" fillId="0" borderId="15" xfId="0" applyFont="1" applyBorder="1" applyAlignment="1">
      <alignment readingOrder="1"/>
    </xf>
    <xf numFmtId="0" fontId="1" fillId="0" borderId="16" xfId="0" applyFont="1" applyBorder="1" applyAlignment="1">
      <alignment readingOrder="1"/>
    </xf>
    <xf numFmtId="0" fontId="1" fillId="0" borderId="16" xfId="0" applyFont="1" applyBorder="1" applyAlignment="1">
      <alignment vertical="center" readingOrder="1"/>
    </xf>
    <xf numFmtId="0" fontId="0" fillId="0" borderId="17" xfId="0" applyBorder="1"/>
    <xf numFmtId="0" fontId="0" fillId="0" borderId="17" xfId="0" applyBorder="1" applyAlignment="1">
      <alignment vertical="center"/>
    </xf>
    <xf numFmtId="0" fontId="4" fillId="11" borderId="18" xfId="0" applyFont="1" applyFill="1" applyBorder="1" applyAlignment="1">
      <alignment horizontal="left" wrapText="1" readingOrder="1"/>
    </xf>
    <xf numFmtId="0" fontId="1" fillId="0" borderId="19" xfId="0" applyFont="1" applyBorder="1" applyAlignment="1">
      <alignment readingOrder="1"/>
    </xf>
    <xf numFmtId="0" fontId="1" fillId="0" borderId="20" xfId="0" applyFont="1" applyBorder="1" applyAlignment="1">
      <alignment readingOrder="1"/>
    </xf>
    <xf numFmtId="0" fontId="1" fillId="0" borderId="21" xfId="0" applyFont="1" applyBorder="1" applyAlignment="1">
      <alignment readingOrder="1"/>
    </xf>
    <xf numFmtId="1" fontId="5" fillId="0" borderId="17" xfId="0" applyNumberFormat="1" applyFont="1" applyBorder="1"/>
    <xf numFmtId="0" fontId="1" fillId="0" borderId="23" xfId="0" applyFont="1" applyBorder="1" applyAlignment="1">
      <alignment readingOrder="1"/>
    </xf>
    <xf numFmtId="0" fontId="1" fillId="0" borderId="0" xfId="0" quotePrefix="1" applyFont="1" applyAlignment="1">
      <alignment readingOrder="1"/>
    </xf>
    <xf numFmtId="0" fontId="3" fillId="0" borderId="14" xfId="0" applyFont="1" applyBorder="1"/>
    <xf numFmtId="0" fontId="7" fillId="0" borderId="16" xfId="0" applyFont="1" applyBorder="1" applyAlignment="1">
      <alignment readingOrder="1"/>
    </xf>
    <xf numFmtId="0" fontId="3" fillId="0" borderId="24" xfId="0" applyFont="1" applyBorder="1"/>
    <xf numFmtId="0" fontId="3" fillId="0" borderId="16" xfId="0" applyFont="1" applyBorder="1"/>
    <xf numFmtId="2" fontId="3" fillId="0" borderId="0" xfId="0" applyNumberFormat="1" applyFont="1"/>
    <xf numFmtId="0" fontId="2" fillId="0" borderId="10" xfId="0" applyFont="1" applyBorder="1"/>
    <xf numFmtId="0" fontId="1" fillId="0" borderId="22" xfId="0" applyFont="1" applyBorder="1" applyAlignment="1">
      <alignment readingOrder="1"/>
    </xf>
    <xf numFmtId="0" fontId="3" fillId="0" borderId="20" xfId="0" applyFont="1" applyBorder="1"/>
    <xf numFmtId="0" fontId="3" fillId="0" borderId="25" xfId="0" applyFont="1" applyBorder="1"/>
    <xf numFmtId="1" fontId="0" fillId="0" borderId="0" xfId="0" applyNumberFormat="1"/>
    <xf numFmtId="49" fontId="1" fillId="12" borderId="5" xfId="0" quotePrefix="1" applyNumberFormat="1" applyFont="1" applyFill="1" applyBorder="1" applyAlignment="1">
      <alignment vertical="center" readingOrder="1"/>
    </xf>
    <xf numFmtId="49" fontId="1" fillId="9" borderId="0" xfId="0" applyNumberFormat="1" applyFont="1" applyFill="1" applyAlignment="1">
      <alignment vertical="center" readingOrder="1"/>
    </xf>
    <xf numFmtId="49" fontId="1" fillId="10" borderId="0" xfId="0" applyNumberFormat="1" applyFont="1" applyFill="1" applyAlignment="1">
      <alignment vertical="center" readingOrder="1"/>
    </xf>
    <xf numFmtId="49" fontId="0" fillId="13" borderId="6" xfId="0" applyNumberFormat="1" applyFill="1" applyBorder="1" applyAlignment="1">
      <alignment vertical="center"/>
    </xf>
    <xf numFmtId="49" fontId="0" fillId="0" borderId="0" xfId="0" applyNumberFormat="1" applyAlignment="1">
      <alignment vertical="center"/>
    </xf>
    <xf numFmtId="49" fontId="8" fillId="0" borderId="0" xfId="0" quotePrefix="1" applyNumberFormat="1" applyFont="1" applyAlignment="1">
      <alignment vertical="center" readingOrder="1"/>
    </xf>
    <xf numFmtId="49" fontId="8" fillId="12" borderId="0" xfId="0" applyNumberFormat="1" applyFont="1" applyFill="1" applyAlignment="1">
      <alignment vertical="center" readingOrder="1"/>
    </xf>
    <xf numFmtId="49" fontId="1" fillId="20" borderId="0" xfId="0" applyNumberFormat="1" applyFont="1" applyFill="1" applyAlignment="1">
      <alignment vertical="center" readingOrder="1"/>
    </xf>
    <xf numFmtId="0" fontId="1" fillId="0" borderId="6" xfId="0" quotePrefix="1" applyFont="1" applyBorder="1" applyAlignment="1">
      <alignment vertical="center" wrapText="1" readingOrder="1"/>
    </xf>
    <xf numFmtId="0" fontId="1" fillId="0" borderId="6" xfId="0" applyFont="1" applyBorder="1" applyAlignment="1">
      <alignment vertical="center" wrapText="1" readingOrder="1"/>
    </xf>
    <xf numFmtId="1" fontId="0" fillId="0" borderId="0" xfId="0" applyNumberFormat="1" applyAlignment="1">
      <alignment horizontal="center" wrapText="1"/>
    </xf>
    <xf numFmtId="0" fontId="8" fillId="0" borderId="16" xfId="0" applyFont="1" applyBorder="1" applyAlignment="1">
      <alignment readingOrder="1"/>
    </xf>
    <xf numFmtId="0" fontId="7" fillId="0" borderId="16" xfId="0" quotePrefix="1" applyFont="1" applyBorder="1" applyAlignment="1">
      <alignment readingOrder="1"/>
    </xf>
    <xf numFmtId="0" fontId="1" fillId="0" borderId="15" xfId="0" applyFont="1" applyBorder="1" applyAlignment="1">
      <alignment vertical="center" readingOrder="1"/>
    </xf>
    <xf numFmtId="0" fontId="3" fillId="0" borderId="16" xfId="0" quotePrefix="1" applyFont="1" applyBorder="1"/>
    <xf numFmtId="0" fontId="1" fillId="0" borderId="24" xfId="0" quotePrefix="1" applyFont="1" applyBorder="1" applyAlignment="1">
      <alignment readingOrder="1"/>
    </xf>
    <xf numFmtId="0" fontId="3" fillId="0" borderId="25" xfId="0" quotePrefix="1" applyFont="1" applyBorder="1"/>
    <xf numFmtId="0" fontId="8" fillId="0" borderId="14" xfId="0" applyFont="1" applyBorder="1" applyAlignment="1">
      <alignment readingOrder="1"/>
    </xf>
    <xf numFmtId="0" fontId="8" fillId="0" borderId="20" xfId="0" applyFont="1" applyBorder="1" applyAlignment="1">
      <alignment readingOrder="1"/>
    </xf>
    <xf numFmtId="0" fontId="1" fillId="0" borderId="14" xfId="0" applyFont="1" applyBorder="1" applyAlignment="1">
      <alignment vertical="center" readingOrder="1"/>
    </xf>
    <xf numFmtId="0" fontId="3" fillId="4" borderId="0" xfId="0" applyFont="1" applyFill="1"/>
    <xf numFmtId="0" fontId="0" fillId="0" borderId="16" xfId="0" applyBorder="1"/>
    <xf numFmtId="0" fontId="7" fillId="0" borderId="14" xfId="0" applyFont="1" applyBorder="1" applyAlignment="1">
      <alignment readingOrder="1"/>
    </xf>
    <xf numFmtId="0" fontId="1" fillId="4" borderId="16" xfId="0" applyFont="1" applyFill="1" applyBorder="1" applyAlignment="1">
      <alignment readingOrder="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left" vertical="top" wrapText="1"/>
    </xf>
    <xf numFmtId="0" fontId="1" fillId="7" borderId="0" xfId="0" applyFont="1" applyFill="1" applyAlignment="1">
      <alignment horizontal="left" readingOrder="1"/>
    </xf>
    <xf numFmtId="0" fontId="0" fillId="0" borderId="0" xfId="0" applyAlignment="1">
      <alignment horizontal="left" wrapText="1"/>
    </xf>
    <xf numFmtId="0" fontId="1" fillId="9" borderId="0" xfId="0" applyFont="1" applyFill="1" applyAlignment="1">
      <alignment horizontal="left" readingOrder="1"/>
    </xf>
    <xf numFmtId="0" fontId="1" fillId="8" borderId="0" xfId="0" applyFont="1" applyFill="1" applyAlignment="1">
      <alignment horizontal="left" readingOrder="1"/>
    </xf>
    <xf numFmtId="0" fontId="1" fillId="4" borderId="0" xfId="0" applyFont="1" applyFill="1" applyAlignment="1">
      <alignment horizontal="left" readingOrder="1"/>
    </xf>
    <xf numFmtId="0" fontId="1" fillId="5" borderId="0" xfId="0" applyFont="1" applyFill="1" applyAlignment="1">
      <alignment horizontal="left" readingOrder="1"/>
    </xf>
    <xf numFmtId="0" fontId="1" fillId="6" borderId="0" xfId="0" applyFont="1" applyFill="1" applyAlignment="1">
      <alignment horizontal="left" readingOrder="1"/>
    </xf>
    <xf numFmtId="0" fontId="1" fillId="0" borderId="0" xfId="0" applyFont="1" applyAlignment="1">
      <alignment horizontal="left" vertical="top" wrapText="1" readingOrder="1"/>
    </xf>
    <xf numFmtId="0" fontId="1" fillId="0" borderId="10" xfId="0" applyFont="1" applyBorder="1" applyAlignment="1">
      <alignment horizontal="center" readingOrder="1"/>
    </xf>
    <xf numFmtId="0" fontId="1" fillId="2" borderId="0" xfId="0" applyFont="1" applyFill="1" applyAlignment="1">
      <alignment horizontal="left" readingOrder="1"/>
    </xf>
    <xf numFmtId="0" fontId="1" fillId="10" borderId="0" xfId="0" applyFont="1" applyFill="1" applyAlignment="1">
      <alignment horizontal="left" readingOrder="1"/>
    </xf>
    <xf numFmtId="0" fontId="0" fillId="0" borderId="0" xfId="0" applyAlignment="1">
      <alignment horizontal="left"/>
    </xf>
  </cellXfs>
  <cellStyles count="1">
    <cellStyle name="Normal" xfId="0" builtinId="0"/>
  </cellStyles>
  <dxfs count="1070">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charset val="1"/>
        <scheme val="none"/>
      </font>
      <alignment horizontal="general" vertical="top" textRotation="0" wrapText="1"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center"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center" textRotation="0" wrapText="0" indent="0" justifyLastLine="0" shrinkToFit="0" readingOrder="1"/>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theme="1"/>
        <name val="Arial"/>
        <charset val="1"/>
        <scheme val="none"/>
      </font>
      <alignment horizontal="general" vertical="center" textRotation="0" wrapText="0" indent="0" justifyLastLine="0" shrinkToFit="0" readingOrder="1"/>
      <border diagonalUp="0" diagonalDown="0">
        <left/>
        <right/>
        <top style="thin">
          <color theme="4" tint="0.39997558519241921"/>
        </top>
        <bottom/>
        <vertical/>
        <horizontal/>
      </border>
    </dxf>
    <dxf>
      <alignment horizontal="general" vertical="center"/>
    </dxf>
    <dxf>
      <font>
        <b val="0"/>
        <i val="0"/>
        <strike val="0"/>
        <condense val="0"/>
        <extend val="0"/>
        <outline val="0"/>
        <shadow val="0"/>
        <u val="none"/>
        <vertAlign val="baseline"/>
        <sz val="10"/>
        <color theme="1"/>
        <name val="Arial"/>
        <charset val="1"/>
        <scheme val="none"/>
      </font>
      <alignment horizontal="general" vertical="center" textRotation="0" wrapText="0" indent="0" justifyLastLine="0" shrinkToFit="0" readingOrder="1"/>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charset val="1"/>
        <scheme val="none"/>
      </font>
      <alignment horizontal="general" vertical="center" textRotation="0" wrapText="0" indent="0" justifyLastLine="0" shrinkToFit="0" readingOrder="1"/>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charset val="1"/>
        <scheme val="none"/>
      </font>
      <alignment horizontal="general" vertical="center" textRotation="0" wrapText="0" indent="0" justifyLastLine="0" shrinkToFit="0" readingOrder="1"/>
      <border diagonalUp="0" diagonalDown="0">
        <left style="thin">
          <color theme="4" tint="0.39997558519241921"/>
        </left>
        <right/>
        <top style="thin">
          <color theme="4" tint="0.39997558519241921"/>
        </top>
        <bottom/>
        <vertical/>
        <horizontal/>
      </border>
    </dxf>
    <dxf>
      <numFmt numFmtId="0" formatCode="General"/>
      <alignment horizontal="general" vertical="center"/>
    </dxf>
    <dxf>
      <border outline="0">
        <right style="thin">
          <color theme="4" tint="0.39997558519241921"/>
        </right>
      </border>
    </dxf>
    <dxf>
      <font>
        <b val="0"/>
        <i val="0"/>
        <strike val="0"/>
        <condense val="0"/>
        <extend val="0"/>
        <outline val="0"/>
        <shadow val="0"/>
        <u val="none"/>
        <vertAlign val="baseline"/>
        <sz val="10"/>
        <color theme="1"/>
        <name val="Arial"/>
        <charset val="1"/>
        <scheme val="none"/>
      </font>
      <alignment horizontal="general" vertical="center" textRotation="0" wrapText="0" indent="0" justifyLastLine="0" shrinkToFit="0" readingOrder="1"/>
    </dxf>
    <dxf>
      <font>
        <b/>
        <i val="0"/>
        <strike val="0"/>
        <condense val="0"/>
        <extend val="0"/>
        <outline val="0"/>
        <shadow val="0"/>
        <u val="none"/>
        <vertAlign val="baseline"/>
        <sz val="10"/>
        <color theme="0"/>
        <name val="Arial"/>
        <charset val="1"/>
        <scheme val="none"/>
      </font>
      <fill>
        <patternFill patternType="solid">
          <fgColor theme="4"/>
          <bgColor theme="4"/>
        </patternFill>
      </fill>
      <alignment horizontal="left" vertical="bottom" textRotation="0" wrapText="1" indent="0" justifyLastLine="0" shrinkToFit="0" readingOrder="1"/>
    </dxf>
    <dxf>
      <font>
        <b val="0"/>
        <i val="0"/>
        <strike val="0"/>
        <condense val="0"/>
        <extend val="0"/>
        <outline val="0"/>
        <shadow val="0"/>
        <u val="none"/>
        <vertAlign val="baseline"/>
        <sz val="10"/>
        <color theme="1"/>
        <name val="Arial"/>
        <charset val="1"/>
        <scheme val="none"/>
      </font>
      <numFmt numFmtId="2"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2"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2"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border outline="0">
        <bottom style="thin">
          <color theme="4" tint="0.39997558519241921"/>
        </bottom>
      </border>
    </dxf>
    <dxf>
      <border outline="0">
        <top style="thin">
          <color theme="4" tint="0.39997558519241921"/>
        </top>
      </border>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font>
        <b/>
        <i val="0"/>
        <strike val="0"/>
        <condense val="0"/>
        <extend val="0"/>
        <outline val="0"/>
        <shadow val="0"/>
        <u val="none"/>
        <vertAlign val="baseline"/>
        <sz val="10"/>
        <color theme="0"/>
        <name val="Arial"/>
        <charset val="1"/>
        <scheme val="none"/>
      </font>
      <fill>
        <patternFill patternType="solid">
          <fgColor theme="4"/>
          <bgColor theme="4"/>
        </patternFill>
      </fill>
      <alignment horizontal="general" vertical="bottom" textRotation="0" wrapText="1" indent="0" justifyLastLine="0" shrinkToFit="0" readingOrder="1"/>
    </dxf>
    <dxf>
      <font>
        <b val="0"/>
        <i val="0"/>
        <strike val="0"/>
        <condense val="0"/>
        <extend val="0"/>
        <outline val="0"/>
        <shadow val="0"/>
        <u val="none"/>
        <vertAlign val="baseline"/>
        <sz val="10"/>
        <color theme="1"/>
        <name val="Arial"/>
        <charset val="1"/>
        <scheme val="none"/>
      </font>
      <numFmt numFmtId="2" formatCode="0.00"/>
      <alignment horizontal="center" vertical="center"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 formatCode="0"/>
      <alignment horizontal="center" vertical="center"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3" formatCode="0%"/>
      <alignment horizontal="right"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 formatCode="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 formatCode="0"/>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fill>
        <patternFill patternType="none">
          <fgColor indexed="64"/>
          <bgColor rgb="FFEA4335"/>
        </patternFill>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fill>
        <patternFill patternType="none">
          <fgColor indexed="64"/>
          <bgColor rgb="FFEA4335"/>
        </patternFill>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gColor indexed="64"/>
          <bgColor rgb="FFEA4335"/>
        </patternFill>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alignment horizontal="general" vertical="bottom" textRotation="0" wrapText="1" indent="0" justifyLastLine="0" shrinkToFit="0" readingOrder="1"/>
    </dxf>
    <dxf>
      <font>
        <color rgb="FF9C0006"/>
      </font>
      <fill>
        <patternFill>
          <bgColor rgb="FFFFC7CE"/>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ill>
        <patternFill patternType="solid">
          <bgColor rgb="FF7030A0"/>
        </patternFill>
      </fill>
    </dxf>
    <dxf>
      <fill>
        <patternFill patternType="solid">
          <bgColor rgb="FF00B050"/>
        </patternFill>
      </fill>
    </dxf>
    <dxf>
      <fill>
        <patternFill patternType="solid">
          <bgColor rgb="FF8ED973"/>
        </patternFill>
      </fill>
    </dxf>
    <dxf>
      <fill>
        <patternFill patternType="solid">
          <bgColor rgb="FFFFFF00"/>
        </patternFill>
      </fill>
    </dxf>
    <dxf>
      <fill>
        <patternFill patternType="solid">
          <bgColor rgb="FFFFC000"/>
        </patternFill>
      </fill>
    </dxf>
    <dxf>
      <fill>
        <patternFill patternType="solid">
          <bgColor rgb="FFE87331"/>
        </patternFill>
      </fill>
    </dxf>
    <dxf>
      <fill>
        <patternFill patternType="solid">
          <bgColor rgb="FFEA4335"/>
        </patternFill>
      </fill>
    </dxf>
    <dxf>
      <fill>
        <patternFill patternType="solid">
          <bgColor rgb="FF7E350E"/>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EA4335"/>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00B05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00B05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00B05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0"/>
      </font>
      <fill>
        <patternFill patternType="solid">
          <bgColor theme="1"/>
        </patternFill>
      </fill>
    </dxf>
    <dxf>
      <fill>
        <patternFill patternType="solid">
          <bgColor rgb="FFEA4335"/>
        </patternFill>
      </fill>
    </dxf>
    <dxf>
      <fill>
        <patternFill patternType="solid">
          <bgColor rgb="FF7030A0"/>
        </patternFill>
      </fill>
    </dxf>
    <dxf>
      <fill>
        <patternFill patternType="solid">
          <bgColor rgb="FF00B05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EA4335"/>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00B050"/>
        </patternFill>
      </fill>
    </dxf>
    <dxf>
      <font>
        <color theme="1"/>
      </font>
      <fill>
        <patternFill patternType="solid">
          <bgColor rgb="FF00B05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ill>
        <patternFill patternType="solid">
          <bgColor rgb="FF7030A0"/>
        </patternFill>
      </fill>
    </dxf>
    <dxf>
      <fill>
        <patternFill patternType="solid">
          <bgColor rgb="FF7E350E"/>
        </patternFill>
      </fill>
    </dxf>
    <dxf>
      <fill>
        <patternFill patternType="solid">
          <bgColor rgb="FF8ED973"/>
        </patternFill>
      </fill>
    </dxf>
    <dxf>
      <fill>
        <patternFill patternType="solid">
          <bgColor rgb="FF8ED973"/>
        </patternFill>
      </fill>
    </dxf>
    <dxf>
      <fill>
        <patternFill patternType="solid">
          <bgColor rgb="FFEA4335"/>
        </patternFill>
      </fill>
    </dxf>
    <dxf>
      <fill>
        <patternFill patternType="solid">
          <bgColor rgb="FF7E350E"/>
        </patternFill>
      </fill>
    </dxf>
    <dxf>
      <fill>
        <patternFill patternType="solid">
          <bgColor rgb="FFE87331"/>
        </patternFill>
      </fill>
    </dxf>
    <dxf>
      <fill>
        <patternFill patternType="solid">
          <bgColor rgb="FF7030A0"/>
        </patternFill>
      </fill>
    </dxf>
    <dxf>
      <fill>
        <patternFill patternType="solid">
          <bgColor rgb="FF7E350E"/>
        </patternFill>
      </fill>
    </dxf>
    <dxf>
      <fill>
        <patternFill patternType="solid">
          <bgColor rgb="FFFFC000"/>
        </patternFill>
      </fill>
    </dxf>
    <dxf>
      <fill>
        <patternFill patternType="solid">
          <bgColor rgb="FF7030A0"/>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8ED973"/>
        </patternFill>
      </fill>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charset val="1"/>
        <scheme val="none"/>
      </font>
      <alignment horizontal="general" vertical="center" textRotation="0" wrapText="1" indent="0" justifyLastLine="0" shrinkToFit="0" readingOrder="1"/>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charset val="1"/>
        <scheme val="none"/>
      </font>
      <numFmt numFmtId="13" formatCode="0%"/>
      <alignment horizontal="general" vertical="center" textRotation="0" wrapText="0" indent="0" justifyLastLine="0" shrinkToFit="0" readingOrder="1"/>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charset val="1"/>
        <scheme val="none"/>
      </font>
      <numFmt numFmtId="14" formatCode="0.00%"/>
      <alignment horizontal="general" vertical="center" textRotation="0" wrapText="0" indent="0" justifyLastLine="0" shrinkToFit="0" readingOrder="1"/>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border>
        <right style="thin">
          <color rgb="FF000000"/>
        </right>
        <top style="thin">
          <color rgb="FF000000"/>
        </top>
        <bottom style="thin">
          <color rgb="FF000000"/>
        </bottom>
        <horizontal style="thin">
          <color rgb="FF000000"/>
        </horizontal>
      </border>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border>
        <top style="thin">
          <color rgb="FF000000"/>
        </top>
        <bottom style="thin">
          <color rgb="FF000000"/>
        </bottom>
        <horizontal style="thin">
          <color rgb="FF000000"/>
        </horizontal>
      </border>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border>
        <top style="thin">
          <color rgb="FF000000"/>
        </top>
        <bottom style="thin">
          <color rgb="FF000000"/>
        </bottom>
        <horizontal style="thin">
          <color rgb="FF000000"/>
        </horizontal>
      </border>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border diagonalUp="0" diagonalDown="0">
        <left/>
        <right style="medium">
          <color rgb="FF000000"/>
        </right>
        <top style="thin">
          <color rgb="FF000000"/>
        </top>
        <bottom style="thin">
          <color rgb="FF000000"/>
        </bottom>
        <vertical/>
        <horizontal style="thin">
          <color rgb="FF000000"/>
        </horizontal>
      </border>
    </dxf>
    <dxf>
      <font>
        <b val="0"/>
        <i val="0"/>
        <strike val="0"/>
        <condense val="0"/>
        <extend val="0"/>
        <outline val="0"/>
        <shadow val="0"/>
        <u val="none"/>
        <vertAlign val="baseline"/>
        <sz val="10"/>
        <color theme="1"/>
        <name val="Arial"/>
        <charset val="1"/>
        <scheme val="none"/>
      </font>
      <numFmt numFmtId="0" formatCode="General"/>
      <alignment horizontal="general" vertical="center" textRotation="0" wrapText="0" indent="0" justifyLastLine="0" shrinkToFit="0" readingOrder="1"/>
      <border>
        <top style="thin">
          <color rgb="FF000000"/>
        </top>
        <bottom style="thin">
          <color rgb="FF000000"/>
        </bottom>
        <horizontal style="thin">
          <color rgb="FF000000"/>
        </horizontal>
      </border>
    </dxf>
    <dxf>
      <font>
        <b val="0"/>
        <i val="0"/>
        <strike val="0"/>
        <condense val="0"/>
        <extend val="0"/>
        <outline val="0"/>
        <shadow val="0"/>
        <u val="none"/>
        <vertAlign val="baseline"/>
        <sz val="10"/>
        <color theme="1"/>
        <name val="Arial"/>
        <charset val="1"/>
        <scheme val="none"/>
      </font>
      <alignment horizontal="general" vertical="bottom" textRotation="0" wrapText="0" indent="0" justifyLastLine="0" shrinkToFit="0" readingOrder="1"/>
      <border diagonalUp="0" diagonalDown="0">
        <left style="medium">
          <color rgb="FF000000"/>
        </left>
        <right style="thin">
          <color rgb="FF000000"/>
        </right>
        <top style="thin">
          <color rgb="FF000000"/>
        </top>
        <bottom style="thin">
          <color rgb="FF000000"/>
        </bottom>
        <vertical/>
        <horizontal style="thin">
          <color rgb="FF000000"/>
        </horizontal>
      </border>
    </dxf>
    <dxf>
      <font>
        <sz val="10"/>
        <name val="Arial"/>
        <charset val="1"/>
        <scheme val="none"/>
      </font>
      <alignment horizontal="general" vertical="bottom" textRotation="0" wrapText="0" indent="0" justifyLastLine="0" shrinkToFit="0" readingOrder="1"/>
      <border diagonalUp="0" diagonalDown="0">
        <left style="medium">
          <color rgb="FF000000"/>
        </left>
        <right/>
        <top style="thin">
          <color rgb="FF000000"/>
        </top>
        <bottom style="thin">
          <color rgb="FF000000"/>
        </bottom>
        <vertical/>
        <horizontal style="thin">
          <color rgb="FF000000"/>
        </horizontal>
      </border>
    </dxf>
    <dxf>
      <font>
        <b val="0"/>
        <i val="0"/>
        <strike val="0"/>
        <condense val="0"/>
        <extend val="0"/>
        <outline val="0"/>
        <shadow val="0"/>
        <u val="none"/>
        <vertAlign val="baseline"/>
        <sz val="10"/>
        <color theme="1"/>
        <name val="Arial"/>
        <charset val="1"/>
        <scheme val="none"/>
      </font>
      <alignment horizontal="general" vertical="bottom" textRotation="0" wrapText="0" indent="0" justifyLastLine="0" shrinkToFit="0" readingOrder="1"/>
      <border diagonalUp="0" diagonalDown="0">
        <left style="medium">
          <color rgb="FF000000"/>
        </left>
        <right/>
        <top style="thin">
          <color rgb="FF000000"/>
        </top>
        <bottom style="thin">
          <color rgb="FF000000"/>
        </bottom>
        <vertical/>
        <horizontal style="thin">
          <color rgb="FF000000"/>
        </horizontal>
      </border>
    </dxf>
    <dxf>
      <font>
        <b val="0"/>
        <i val="0"/>
        <strike val="0"/>
        <condense val="0"/>
        <extend val="0"/>
        <outline val="0"/>
        <shadow val="0"/>
        <u val="none"/>
        <vertAlign val="baseline"/>
        <sz val="10"/>
        <color theme="1"/>
        <name val="Arial"/>
        <charset val="1"/>
        <scheme val="none"/>
      </font>
      <alignment horizontal="general" vertical="bottom" textRotation="0" wrapText="0" indent="0" justifyLastLine="0" shrinkToFit="0" readingOrder="1"/>
      <border diagonalUp="0" diagonalDown="0">
        <left style="medium">
          <color rgb="FF000000"/>
        </left>
        <right/>
        <top style="thin">
          <color rgb="FF000000"/>
        </top>
        <bottom style="thin">
          <color rgb="FF000000"/>
        </bottom>
        <vertical/>
        <horizontal style="thin">
          <color rgb="FF000000"/>
        </horizontal>
      </border>
    </dxf>
    <dxf>
      <font>
        <b val="0"/>
        <i val="0"/>
        <strike val="0"/>
        <condense val="0"/>
        <extend val="0"/>
        <outline val="0"/>
        <shadow val="0"/>
        <u val="none"/>
        <vertAlign val="baseline"/>
        <sz val="10"/>
        <color theme="1"/>
        <name val="Arial"/>
        <charset val="1"/>
        <scheme val="none"/>
      </font>
      <alignment horizontal="general" vertical="center" textRotation="0" wrapText="0" indent="0" justifyLastLine="0" shrinkToFit="0" readingOrder="1"/>
      <border diagonalUp="0" diagonalDown="0">
        <left style="thin">
          <color theme="4" tint="0.39997558519241921"/>
        </left>
        <right/>
        <top style="thin">
          <color rgb="FF000000"/>
        </top>
        <bottom style="thin">
          <color rgb="FF000000"/>
        </bottom>
        <vertical/>
        <horizontal style="thin">
          <color rgb="FF000000"/>
        </horizontal>
      </border>
    </dxf>
    <dxf>
      <numFmt numFmtId="0" formatCode="General"/>
      <alignment horizontal="general" vertical="center"/>
      <border>
        <right style="thin">
          <color rgb="FF000000"/>
        </right>
      </border>
    </dxf>
    <dxf>
      <border outline="0">
        <right style="thin">
          <color theme="4" tint="0.39997558519241921"/>
        </right>
      </border>
    </dxf>
    <dxf>
      <font>
        <b val="0"/>
        <i val="0"/>
        <strike val="0"/>
        <condense val="0"/>
        <extend val="0"/>
        <outline val="0"/>
        <shadow val="0"/>
        <u val="none"/>
        <vertAlign val="baseline"/>
        <sz val="10"/>
        <color theme="1"/>
        <name val="Arial"/>
        <charset val="1"/>
        <scheme val="none"/>
      </font>
      <alignment horizontal="general" vertical="center" textRotation="0" wrapText="0" indent="0" justifyLastLine="0" shrinkToFit="0" readingOrder="1"/>
    </dxf>
    <dxf>
      <font>
        <b/>
        <i val="0"/>
        <strike val="0"/>
        <condense val="0"/>
        <extend val="0"/>
        <outline val="0"/>
        <shadow val="0"/>
        <u val="none"/>
        <vertAlign val="baseline"/>
        <sz val="10"/>
        <color theme="0"/>
        <name val="Arial"/>
        <charset val="1"/>
        <scheme val="none"/>
      </font>
      <fill>
        <patternFill patternType="solid">
          <fgColor theme="4"/>
          <bgColor theme="4"/>
        </patternFill>
      </fill>
      <alignment horizontal="left" vertical="bottom" textRotation="0" wrapText="1" indent="0" justifyLastLine="0" shrinkToFit="0" readingOrder="1"/>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2"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2"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2"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border outline="0">
        <bottom style="thin">
          <color theme="4" tint="0.39997558519241921"/>
        </bottom>
      </border>
    </dxf>
    <dxf>
      <border outline="0">
        <top style="thin">
          <color theme="4" tint="0.39997558519241921"/>
        </top>
      </border>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font>
        <b/>
        <i val="0"/>
        <strike val="0"/>
        <condense val="0"/>
        <extend val="0"/>
        <outline val="0"/>
        <shadow val="0"/>
        <u val="none"/>
        <vertAlign val="baseline"/>
        <sz val="10"/>
        <color theme="0"/>
        <name val="Arial"/>
        <charset val="1"/>
        <scheme val="none"/>
      </font>
      <fill>
        <patternFill patternType="solid">
          <fgColor theme="4"/>
          <bgColor theme="4"/>
        </patternFill>
      </fill>
      <alignment horizontal="general" vertical="bottom" textRotation="0" wrapText="1" indent="0" justifyLastLine="0" shrinkToFit="0" readingOrder="1"/>
    </dxf>
    <dxf>
      <font>
        <b val="0"/>
        <i val="0"/>
        <strike val="0"/>
        <condense val="0"/>
        <extend val="0"/>
        <outline val="0"/>
        <shadow val="0"/>
        <u val="none"/>
        <vertAlign val="baseline"/>
        <sz val="10"/>
        <color theme="1"/>
        <name val="Arial"/>
        <charset val="1"/>
        <scheme val="none"/>
      </font>
      <numFmt numFmtId="2" formatCode="0.00"/>
      <alignment horizontal="center" vertical="center"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 formatCode="0"/>
      <alignment horizontal="center" vertical="center"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3" formatCode="0%"/>
      <alignment horizontal="right"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1"/>
        <color rgb="FF000000"/>
        <name val="Calibri"/>
        <family val="2"/>
        <scheme val="none"/>
      </font>
      <numFmt numFmtId="0" formatCode="General"/>
    </dxf>
    <dxf>
      <font>
        <b val="0"/>
        <i val="0"/>
        <strike val="0"/>
        <condense val="0"/>
        <extend val="0"/>
        <outline val="0"/>
        <shadow val="0"/>
        <u val="none"/>
        <vertAlign val="baseline"/>
        <sz val="11"/>
        <color rgb="FF000000"/>
        <name val="Calibri"/>
        <family val="2"/>
        <scheme val="none"/>
      </font>
      <numFmt numFmtId="0" formatCode="General"/>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 formatCode="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 formatCode="0"/>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fill>
        <patternFill patternType="none">
          <fgColor indexed="64"/>
          <bgColor rgb="FFEA4335"/>
        </patternFill>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fill>
        <patternFill patternType="none">
          <fgColor indexed="64"/>
          <bgColor rgb="FFEA4335"/>
        </patternFill>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gColor indexed="64"/>
          <bgColor rgb="FFEA4335"/>
        </patternFill>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gColor indexed="64"/>
          <bgColor rgb="FFEA4335"/>
        </patternFill>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alignment horizontal="general" vertical="bottom" textRotation="0" wrapText="1" indent="0" justifyLastLine="0" shrinkToFit="0" readingOrder="1"/>
    </dxf>
    <dxf>
      <font>
        <color rgb="FF9C0006"/>
      </font>
      <fill>
        <patternFill>
          <bgColor rgb="FFFFC7CE"/>
        </patternFill>
      </fill>
    </dxf>
    <dxf>
      <font>
        <color theme="1"/>
      </font>
      <fill>
        <patternFill patternType="solid">
          <bgColor rgb="FFFBBC04"/>
        </patternFill>
      </fill>
    </dxf>
    <dxf>
      <fill>
        <patternFill patternType="solid">
          <bgColor rgb="FFFFFF00"/>
        </patternFill>
      </fill>
    </dxf>
    <dxf>
      <fill>
        <patternFill patternType="solid">
          <bgColor rgb="FFFBBC04"/>
        </patternFill>
      </fill>
    </dxf>
    <dxf>
      <fill>
        <patternFill patternType="solid">
          <bgColor rgb="FF00B050"/>
        </patternFill>
      </fill>
    </dxf>
    <dxf>
      <fill>
        <patternFill patternType="solid">
          <bgColor rgb="FFEA4335"/>
        </patternFill>
      </fill>
    </dxf>
    <dxf>
      <font>
        <color theme="1"/>
      </font>
      <fill>
        <patternFill patternType="solid">
          <bgColor rgb="FFEA4335"/>
        </patternFill>
      </fill>
    </dxf>
    <dxf>
      <font>
        <color theme="1"/>
      </font>
      <fill>
        <patternFill patternType="solid">
          <bgColor rgb="FF7030A0"/>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FFC000"/>
        </patternFill>
      </fill>
    </dxf>
    <dxf>
      <fill>
        <patternFill patternType="solid">
          <bgColor rgb="FF7E350E"/>
        </patternFill>
      </fill>
    </dxf>
    <dxf>
      <fill>
        <patternFill patternType="solid">
          <bgColor rgb="FF7030A0"/>
        </patternFill>
      </fill>
    </dxf>
    <dxf>
      <fill>
        <patternFill patternType="solid">
          <bgColor rgb="FF00B050"/>
        </patternFill>
      </fill>
    </dxf>
    <dxf>
      <fill>
        <patternFill patternType="solid">
          <bgColor rgb="FF8ED973"/>
        </patternFill>
      </fill>
    </dxf>
    <dxf>
      <fill>
        <patternFill patternType="solid">
          <bgColor rgb="FFFFFF00"/>
        </patternFill>
      </fill>
    </dxf>
    <dxf>
      <fill>
        <patternFill patternType="solid">
          <bgColor rgb="FFFFC000"/>
        </patternFill>
      </fill>
    </dxf>
    <dxf>
      <fill>
        <patternFill patternType="solid">
          <bgColor rgb="FFE87331"/>
        </patternFill>
      </fill>
    </dxf>
    <dxf>
      <fill>
        <patternFill patternType="solid">
          <bgColor rgb="FFEA4335"/>
        </patternFill>
      </fill>
    </dxf>
    <dxf>
      <font>
        <color theme="1"/>
      </font>
      <fill>
        <patternFill patternType="solid">
          <bgColor rgb="FFFBBC04"/>
        </patternFill>
      </fill>
    </dxf>
    <dxf>
      <fill>
        <patternFill patternType="solid">
          <bgColor rgb="FFFFFF00"/>
        </patternFill>
      </fill>
    </dxf>
    <dxf>
      <font>
        <color rgb="FF006100"/>
      </font>
      <fill>
        <patternFill>
          <bgColor rgb="FFC6EFCE"/>
        </patternFill>
      </fill>
    </dxf>
    <dxf>
      <font>
        <color rgb="FF9C0006"/>
      </font>
      <fill>
        <patternFill>
          <bgColor rgb="FFFFC7CE"/>
        </patternFill>
      </fill>
    </dxf>
    <dxf>
      <fill>
        <patternFill patternType="solid">
          <bgColor rgb="FFFBBC04"/>
        </patternFill>
      </fill>
    </dxf>
    <dxf>
      <fill>
        <patternFill patternType="solid">
          <bgColor rgb="FF00B050"/>
        </patternFill>
      </fill>
    </dxf>
    <dxf>
      <fill>
        <patternFill patternType="solid">
          <bgColor rgb="FFEA4335"/>
        </patternFill>
      </fill>
    </dxf>
    <dxf>
      <font>
        <color theme="1"/>
      </font>
      <fill>
        <patternFill patternType="solid">
          <bgColor rgb="FFEA4335"/>
        </patternFill>
      </fill>
    </dxf>
    <dxf>
      <font>
        <color theme="1"/>
      </font>
      <fill>
        <patternFill patternType="solid">
          <bgColor rgb="FF7030A0"/>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ill>
        <patternFill patternType="solid">
          <bgColor rgb="FF7030A0"/>
        </patternFill>
      </fill>
    </dxf>
    <dxf>
      <fill>
        <patternFill patternType="solid">
          <bgColor rgb="FF00B050"/>
        </patternFill>
      </fill>
    </dxf>
    <dxf>
      <fill>
        <patternFill patternType="solid">
          <bgColor rgb="FF8ED973"/>
        </patternFill>
      </fill>
    </dxf>
    <dxf>
      <fill>
        <patternFill patternType="solid">
          <bgColor rgb="FFFFFF00"/>
        </patternFill>
      </fill>
    </dxf>
    <dxf>
      <fill>
        <patternFill patternType="solid">
          <bgColor rgb="FFFFC000"/>
        </patternFill>
      </fill>
    </dxf>
    <dxf>
      <fill>
        <patternFill patternType="solid">
          <bgColor rgb="FFE87331"/>
        </patternFill>
      </fill>
    </dxf>
    <dxf>
      <fill>
        <patternFill patternType="solid">
          <bgColor rgb="FFEA4335"/>
        </patternFill>
      </fill>
    </dxf>
    <dxf>
      <fill>
        <patternFill patternType="solid">
          <bgColor rgb="FF7E350E"/>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00B05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b val="0"/>
        <i val="0"/>
        <strike val="0"/>
        <condense val="0"/>
        <extend val="0"/>
        <outline val="0"/>
        <shadow val="0"/>
        <u val="none"/>
        <vertAlign val="baseline"/>
        <sz val="10"/>
        <color theme="1"/>
        <name val="Arial"/>
        <charset val="1"/>
        <scheme val="none"/>
      </font>
      <alignment horizontal="general" vertical="top" textRotation="0" wrapText="1"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center"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center" textRotation="0" wrapText="0" indent="0" justifyLastLine="0" shrinkToFit="0" readingOrder="1"/>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theme="1"/>
        <name val="Arial"/>
        <charset val="1"/>
        <scheme val="none"/>
      </font>
      <numFmt numFmtId="30" formatCode="@"/>
      <alignment horizontal="general" vertical="center" textRotation="0" wrapText="0" indent="0" justifyLastLine="0" shrinkToFit="0" readingOrder="1"/>
      <border diagonalUp="0" diagonalDown="0">
        <left/>
        <right/>
        <top style="thin">
          <color theme="4" tint="0.39997558519241921"/>
        </top>
        <bottom/>
        <vertical/>
        <horizontal/>
      </border>
    </dxf>
    <dxf>
      <numFmt numFmtId="30" formatCode="@"/>
      <alignment horizontal="general" vertical="center"/>
    </dxf>
    <dxf>
      <font>
        <b val="0"/>
        <i val="0"/>
        <strike val="0"/>
        <condense val="0"/>
        <extend val="0"/>
        <outline val="0"/>
        <shadow val="0"/>
        <u val="none"/>
        <vertAlign val="baseline"/>
        <sz val="10"/>
        <color theme="1"/>
        <name val="Arial"/>
        <charset val="1"/>
        <scheme val="none"/>
      </font>
      <numFmt numFmtId="30" formatCode="@"/>
      <alignment horizontal="general" vertical="center" textRotation="0" wrapText="0" indent="0" justifyLastLine="0" shrinkToFit="0" readingOrder="1"/>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charset val="1"/>
        <scheme val="none"/>
      </font>
      <numFmt numFmtId="30" formatCode="@"/>
      <alignment horizontal="general" vertical="center" textRotation="0" wrapText="0" indent="0" justifyLastLine="0" shrinkToFit="0" readingOrder="1"/>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charset val="1"/>
        <scheme val="none"/>
      </font>
      <numFmt numFmtId="30" formatCode="@"/>
      <alignment horizontal="general" vertical="center" textRotation="0" wrapText="0" indent="0" justifyLastLine="0" shrinkToFit="0" readingOrder="1"/>
      <border diagonalUp="0" diagonalDown="0">
        <left style="thin">
          <color theme="4" tint="0.39997558519241921"/>
        </left>
        <right/>
        <top style="thin">
          <color theme="4" tint="0.39997558519241921"/>
        </top>
        <bottom/>
        <vertical/>
        <horizontal/>
      </border>
    </dxf>
    <dxf>
      <numFmt numFmtId="0" formatCode="General"/>
      <alignment horizontal="general" vertical="center"/>
    </dxf>
    <dxf>
      <border outline="0">
        <right style="thin">
          <color theme="4" tint="0.39997558519241921"/>
        </right>
      </border>
    </dxf>
    <dxf>
      <font>
        <b val="0"/>
        <i val="0"/>
        <strike val="0"/>
        <condense val="0"/>
        <extend val="0"/>
        <outline val="0"/>
        <shadow val="0"/>
        <u val="none"/>
        <vertAlign val="baseline"/>
        <sz val="10"/>
        <color theme="1"/>
        <name val="Arial"/>
        <charset val="1"/>
        <scheme val="none"/>
      </font>
      <alignment horizontal="general" vertical="center" textRotation="0" wrapText="0" indent="0" justifyLastLine="0" shrinkToFit="0" readingOrder="1"/>
    </dxf>
    <dxf>
      <font>
        <b/>
        <i val="0"/>
        <strike val="0"/>
        <condense val="0"/>
        <extend val="0"/>
        <outline val="0"/>
        <shadow val="0"/>
        <u val="none"/>
        <vertAlign val="baseline"/>
        <sz val="10"/>
        <color theme="0"/>
        <name val="Arial"/>
        <charset val="1"/>
        <scheme val="none"/>
      </font>
      <fill>
        <patternFill patternType="solid">
          <fgColor theme="4"/>
          <bgColor theme="4"/>
        </patternFill>
      </fill>
      <alignment horizontal="left" vertical="bottom" textRotation="0" wrapText="1" indent="0" justifyLastLine="0" shrinkToFit="0" readingOrder="1"/>
    </dxf>
    <dxf>
      <font>
        <color rgb="FF9C0006"/>
      </font>
      <fill>
        <patternFill>
          <bgColor rgb="FFFFC7CE"/>
        </patternFill>
      </fill>
    </dxf>
    <dxf>
      <fill>
        <patternFill patternType="solid">
          <bgColor rgb="FFFBBC04"/>
        </patternFill>
      </fill>
    </dxf>
    <dxf>
      <fill>
        <patternFill patternType="solid">
          <bgColor rgb="FF00B050"/>
        </patternFill>
      </fill>
    </dxf>
    <dxf>
      <fill>
        <patternFill patternType="solid">
          <bgColor rgb="FFEA4335"/>
        </patternFill>
      </fill>
    </dxf>
    <dxf>
      <font>
        <color theme="1"/>
      </font>
      <fill>
        <patternFill patternType="solid">
          <bgColor rgb="FFEA4335"/>
        </patternFill>
      </fill>
    </dxf>
    <dxf>
      <font>
        <color theme="1"/>
      </font>
      <fill>
        <patternFill patternType="solid">
          <bgColor rgb="FF7030A0"/>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FFC00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C00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C00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EA4335"/>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00B05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00B05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00B05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0"/>
      </font>
      <fill>
        <patternFill patternType="solid">
          <bgColor theme="1"/>
        </patternFill>
      </fill>
    </dxf>
    <dxf>
      <fill>
        <patternFill patternType="solid">
          <bgColor rgb="FFEA4335"/>
        </patternFill>
      </fill>
    </dxf>
    <dxf>
      <fill>
        <patternFill patternType="solid">
          <bgColor rgb="FF7030A0"/>
        </patternFill>
      </fill>
    </dxf>
    <dxf>
      <fill>
        <patternFill patternType="solid">
          <bgColor rgb="FF00B05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EA4335"/>
        </patternFill>
      </fill>
    </dxf>
    <dxf>
      <font>
        <color theme="1"/>
      </font>
      <fill>
        <patternFill patternType="solid">
          <bgColor rgb="FFFFC000"/>
        </patternFill>
      </fill>
    </dxf>
    <dxf>
      <font>
        <color theme="1"/>
      </font>
      <fill>
        <patternFill patternType="solid">
          <bgColor rgb="FFFFFF00"/>
        </patternFill>
      </fill>
    </dxf>
    <dxf>
      <fill>
        <patternFill patternType="solid">
          <bgColor rgb="FF7030A0"/>
        </patternFill>
      </fill>
    </dxf>
    <dxf>
      <fill>
        <patternFill patternType="solid">
          <bgColor rgb="FF7E350E"/>
        </patternFill>
      </fill>
    </dxf>
    <dxf>
      <fill>
        <patternFill patternType="solid">
          <bgColor rgb="FF8ED973"/>
        </patternFill>
      </fill>
    </dxf>
    <dxf>
      <fill>
        <patternFill patternType="solid">
          <bgColor rgb="FF8ED973"/>
        </patternFill>
      </fill>
    </dxf>
    <dxf>
      <fill>
        <patternFill patternType="solid">
          <bgColor rgb="FFEA4335"/>
        </patternFill>
      </fill>
    </dxf>
    <dxf>
      <fill>
        <patternFill patternType="solid">
          <bgColor rgb="FF7E350E"/>
        </patternFill>
      </fill>
    </dxf>
    <dxf>
      <fill>
        <patternFill patternType="solid">
          <bgColor rgb="FFE87331"/>
        </patternFill>
      </fill>
    </dxf>
    <dxf>
      <fill>
        <patternFill patternType="solid">
          <bgColor rgb="FF7030A0"/>
        </patternFill>
      </fill>
    </dxf>
    <dxf>
      <fill>
        <patternFill patternType="solid">
          <bgColor rgb="FF7E350E"/>
        </patternFill>
      </fill>
    </dxf>
    <dxf>
      <fill>
        <patternFill patternType="solid">
          <bgColor rgb="FFFFC000"/>
        </patternFill>
      </fill>
    </dxf>
    <dxf>
      <fill>
        <patternFill patternType="solid">
          <bgColor rgb="FF7030A0"/>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8ED973"/>
        </patternFill>
      </fill>
    </dxf>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charset val="1"/>
        <scheme val="none"/>
      </font>
      <numFmt numFmtId="2"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2"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2"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border outline="0">
        <bottom style="thin">
          <color theme="4" tint="0.39997558519241921"/>
        </bottom>
      </border>
    </dxf>
    <dxf>
      <border outline="0">
        <top style="thin">
          <color theme="4" tint="0.39997558519241921"/>
        </top>
      </border>
    </dxf>
    <dxf>
      <font>
        <b val="0"/>
        <i val="0"/>
        <strike val="0"/>
        <condense val="0"/>
        <extend val="0"/>
        <outline val="0"/>
        <shadow val="0"/>
        <u val="none"/>
        <vertAlign val="baseline"/>
        <sz val="10"/>
        <color theme="1"/>
        <name val="Arial"/>
        <charset val="1"/>
        <scheme val="none"/>
      </font>
      <numFmt numFmtId="166" formatCode="0.00000000"/>
      <alignment horizontal="general" vertical="bottom" textRotation="0" wrapText="0" indent="0" justifyLastLine="0" shrinkToFit="0" readingOrder="1"/>
    </dxf>
    <dxf>
      <font>
        <b/>
        <i val="0"/>
        <strike val="0"/>
        <condense val="0"/>
        <extend val="0"/>
        <outline val="0"/>
        <shadow val="0"/>
        <u val="none"/>
        <vertAlign val="baseline"/>
        <sz val="10"/>
        <color theme="0"/>
        <name val="Arial"/>
        <charset val="1"/>
        <scheme val="none"/>
      </font>
      <fill>
        <patternFill patternType="solid">
          <fgColor theme="4"/>
          <bgColor theme="4"/>
        </patternFill>
      </fill>
      <alignment horizontal="general" vertical="bottom" textRotation="0" wrapText="1" indent="0" justifyLastLine="0" shrinkToFit="0" readingOrder="1"/>
    </dxf>
    <dxf>
      <font>
        <b val="0"/>
        <i val="0"/>
        <strike val="0"/>
        <condense val="0"/>
        <extend val="0"/>
        <outline val="0"/>
        <shadow val="0"/>
        <u val="none"/>
        <vertAlign val="baseline"/>
        <sz val="10"/>
        <color theme="1"/>
        <name val="Arial"/>
        <charset val="1"/>
        <scheme val="none"/>
      </font>
      <numFmt numFmtId="2" formatCode="0.00"/>
      <alignment horizontal="center" vertical="center"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 formatCode="0"/>
      <alignment horizontal="center" vertical="center"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3" formatCode="0%"/>
      <alignment horizontal="right"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 formatCode="0"/>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 formatCode="0"/>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14" formatCode="0.00%"/>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fill>
        <patternFill patternType="none"/>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fill>
        <patternFill patternType="none">
          <fgColor indexed="64"/>
          <bgColor rgb="FFEA4335"/>
        </patternFill>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fill>
        <patternFill patternType="none">
          <fgColor indexed="64"/>
          <bgColor rgb="FFEA4335"/>
        </patternFill>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numFmt numFmtId="0" formatCode="General"/>
      <fill>
        <patternFill patternType="none">
          <fgColor indexed="64"/>
          <bgColor rgb="FFEA4335"/>
        </patternFill>
      </fill>
      <alignment horizontal="general" vertical="bottom" textRotation="0" wrapText="0" indent="0" justifyLastLine="0" shrinkToFit="0" readingOrder="1"/>
    </dxf>
    <dxf>
      <font>
        <b val="0"/>
        <i val="0"/>
        <strike val="0"/>
        <condense val="0"/>
        <extend val="0"/>
        <outline val="0"/>
        <shadow val="0"/>
        <u val="none"/>
        <vertAlign val="baseline"/>
        <sz val="10"/>
        <color theme="1"/>
        <name val="Arial"/>
        <charset val="1"/>
        <scheme val="none"/>
      </font>
      <alignment horizontal="general" vertical="bottom" textRotation="0" wrapText="1" indent="0" justifyLastLine="0" shrinkToFit="0" readingOrder="1"/>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ont>
        <color theme="0"/>
      </font>
      <fill>
        <patternFill patternType="solid">
          <bgColor theme="0"/>
        </patternFill>
      </fill>
    </dxf>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theme="1"/>
      </font>
      <fill>
        <patternFill patternType="solid">
          <bgColor rgb="FF7E350E"/>
        </patternFill>
      </fill>
    </dxf>
    <dxf>
      <font>
        <color theme="1"/>
      </font>
      <fill>
        <patternFill patternType="solid">
          <bgColor rgb="FFFFC0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EA4335"/>
        </patternFill>
      </fill>
    </dxf>
    <dxf>
      <font>
        <color theme="1"/>
      </font>
      <fill>
        <patternFill patternType="solid">
          <bgColor rgb="FFEA4335"/>
        </patternFill>
      </fill>
    </dxf>
    <dxf>
      <font>
        <color theme="1"/>
      </font>
      <fill>
        <patternFill patternType="solid">
          <bgColor rgb="FF7E350E"/>
        </patternFill>
      </fill>
    </dxf>
    <dxf>
      <font>
        <color theme="1"/>
      </font>
      <fill>
        <patternFill patternType="solid">
          <bgColor rgb="FF7E350E"/>
        </patternFill>
      </fill>
    </dxf>
    <dxf>
      <font>
        <color theme="1"/>
      </font>
      <fill>
        <patternFill patternType="solid">
          <bgColor rgb="FF00B050"/>
        </patternFill>
      </fill>
    </dxf>
    <dxf>
      <font>
        <color theme="1"/>
      </font>
      <fill>
        <patternFill patternType="solid">
          <bgColor rgb="FF7030A0"/>
        </patternFill>
      </fill>
    </dxf>
    <dxf>
      <font>
        <color theme="1"/>
      </font>
      <fill>
        <patternFill patternType="solid">
          <bgColor rgb="FF8ED973"/>
        </patternFill>
      </fill>
    </dxf>
    <dxf>
      <font>
        <color theme="1"/>
      </font>
      <fill>
        <patternFill patternType="solid">
          <bgColor rgb="FF8ED973"/>
        </patternFill>
      </fill>
    </dxf>
    <dxf>
      <font>
        <color theme="1"/>
      </font>
      <fill>
        <patternFill patternType="solid">
          <bgColor rgb="FF7030A0"/>
        </patternFill>
      </fill>
    </dxf>
    <dxf>
      <font>
        <color theme="1"/>
      </font>
      <fill>
        <patternFill patternType="solid">
          <bgColor rgb="FF7030A0"/>
        </patternFill>
      </fill>
    </dxf>
    <dxf>
      <font>
        <color theme="1"/>
      </font>
      <fill>
        <patternFill patternType="solid">
          <bgColor rgb="FFE8733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7E350E"/>
        </patternFill>
      </fill>
    </dxf>
    <dxf>
      <font>
        <color theme="1"/>
      </font>
      <fill>
        <patternFill patternType="solid">
          <bgColor rgb="FFFFC000"/>
        </patternFill>
      </fill>
    </dxf>
    <dxf>
      <fill>
        <patternFill patternType="solid">
          <bgColor rgb="FF7030A0"/>
        </patternFill>
      </fill>
    </dxf>
    <dxf>
      <fill>
        <patternFill patternType="solid">
          <bgColor rgb="FF00B050"/>
        </patternFill>
      </fill>
    </dxf>
    <dxf>
      <fill>
        <patternFill patternType="solid">
          <bgColor rgb="FF8ED973"/>
        </patternFill>
      </fill>
    </dxf>
    <dxf>
      <fill>
        <patternFill patternType="solid">
          <bgColor rgb="FFFFFF00"/>
        </patternFill>
      </fill>
    </dxf>
    <dxf>
      <fill>
        <patternFill patternType="solid">
          <bgColor rgb="FFFFC000"/>
        </patternFill>
      </fill>
    </dxf>
    <dxf>
      <fill>
        <patternFill patternType="solid">
          <bgColor rgb="FFE87331"/>
        </patternFill>
      </fill>
    </dxf>
    <dxf>
      <fill>
        <patternFill patternType="solid">
          <bgColor rgb="FFEA4335"/>
        </patternFill>
      </fill>
    </dxf>
    <dxf>
      <fill>
        <patternFill patternType="solid">
          <bgColor rgb="FF7E350E"/>
        </patternFill>
      </fill>
    </dxf>
  </dxfs>
  <tableStyles count="0" defaultTableStyle="TableStyleMedium2" defaultPivotStyle="PivotStyleMedium9"/>
  <colors>
    <mruColors>
      <color rgb="FFFBBC04"/>
      <color rgb="FFFFC000"/>
      <color rgb="FF00B050"/>
      <color rgb="FFEA4335"/>
      <color rgb="FF8ED973"/>
      <color rgb="FFFFFF00"/>
      <color rgb="FF7030A0"/>
      <color rgb="FF7E350E"/>
      <color rgb="FFE87331"/>
      <color rgb="FF34A8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FFAF5A-75E1-41C2-9272-6B4FC6226D31}" name="Table2572" displayName="Table2572" ref="A1:W29" totalsRowShown="0" headerRowDxfId="988">
  <autoFilter ref="A1:W29" xr:uid="{9EE529CB-6E51-4996-BA79-629C8BB6BB3C}"/>
  <sortState xmlns:xlrd2="http://schemas.microsoft.com/office/spreadsheetml/2017/richdata2" ref="A2:W29">
    <sortCondition descending="1" ref="W1:W29"/>
  </sortState>
  <tableColumns count="23">
    <tableColumn id="24" xr3:uid="{C30E3818-ED16-4689-8E30-31B4E13743EC}" name="Tier" dataDxfId="987">
      <calculatedColumnFormula>IF(W2&gt;7.5, "TIER 1",
IF(W2&gt;6.5, "TIER 2",
IF(W2&gt;5.5, "TIER 3",
IF(W2&gt;4.5, "TIER 4",
IF(W2&gt;3.5, "TIER 5",
IF(W2&gt;2,  "TIER 6",
IF(W2&gt;0,  "TIER 7",
"TIER 8")))))))</calculatedColumnFormula>
    </tableColumn>
    <tableColumn id="23" xr3:uid="{50D037C0-02CD-44FE-B8EF-199208FB3BE4}" name="Name" dataDxfId="986"/>
    <tableColumn id="1" xr3:uid="{9B4ED60F-564D-4756-9F38-5F1AEE86A044}" name="Player" dataDxfId="985"/>
    <tableColumn id="2" xr3:uid="{E02EEFFD-7746-4F1B-98E2-F72E85D466CC}" name="Attack K/D" dataDxfId="984"/>
    <tableColumn id="14" xr3:uid="{ED317AD2-7651-453D-B6D4-A31ADE518035}" name="Defense K/D" dataDxfId="983"/>
    <tableColumn id="9" xr3:uid="{C49CBB4F-B61D-46A5-B2E2-EB78BA6C6AB3}" name="Attack Wins" dataDxfId="982"/>
    <tableColumn id="10" xr3:uid="{599155BD-E6D1-4170-B1BB-85B43EC26833}" name="Attack Losses" dataDxfId="981"/>
    <tableColumn id="11" xr3:uid="{59015945-5C45-4429-9877-7DAFD8331ADB}" name="Defense Wins" dataDxfId="980"/>
    <tableColumn id="7" xr3:uid="{A8A3E6E7-25C9-42B6-8574-CFBD75E78F1E}" name="Defense Losses" dataDxfId="979"/>
    <tableColumn id="3" xr3:uid="{C3CFF7C5-006C-4F2E-A653-A02CEA9E878B}" name="Attack KOST" dataDxfId="978"/>
    <tableColumn id="12" xr3:uid="{AB0270AD-67B2-45B5-BCF9-8F5111E6B7C7}" name="Defense KOST" dataDxfId="977"/>
    <tableColumn id="20" xr3:uid="{D9E604E0-9340-4D70-B46B-030A82FC60CE}" name="Ranked Wins" dataDxfId="976"/>
    <tableColumn id="19" xr3:uid="{7F861097-E602-4B41-B72B-F0E0F423BBD6}" name="Ranked Losses" dataDxfId="975"/>
    <tableColumn id="18" xr3:uid="{C834E03B-8C47-4784-B94B-43D1ACED4E9F}" name="Ranked Win%" dataDxfId="974">
      <calculatedColumnFormula>IFERROR(Table2572[[#This Row],[Ranked Wins]]/(Table2572[[#This Row],[Ranked Wins]]+Table2572[[#This Row],[Ranked Losses]]),0)</calculatedColumnFormula>
    </tableColumn>
    <tableColumn id="22" xr3:uid="{B6529A5F-FC78-44FF-81F5-C135F16D6562}" name="Attack Win%" dataDxfId="973">
      <calculatedColumnFormula>IFERROR(Table2572[[#This Row],[Attack Wins]]/(Table2572[[#This Row],[Attack Wins]]+Table2572[[#This Row],[Attack Losses]]),0)</calculatedColumnFormula>
    </tableColumn>
    <tableColumn id="21" xr3:uid="{7B6DD37B-F2B8-448B-843F-EE5063D835D9}" name="Defense Win%" dataDxfId="972">
      <calculatedColumnFormula>IFERROR(Table2572[[#This Row],[Defense Wins]]/(Table2572[[#This Row],[Defense Wins]]+Table2572[[#This Row],[Defense Losses]]),0)</calculatedColumnFormula>
    </tableColumn>
    <tableColumn id="13" xr3:uid="{C905EFE0-C291-4851-BEB3-0ED2498E8645}" name="Wins in Stacks" dataDxfId="971"/>
    <tableColumn id="16" xr3:uid="{7CEC5E87-838F-4883-8F1C-7B70C3540574}" name="Losses in Stacks" dataDxfId="970">
      <calculatedColumnFormula array="1">IFERROR(SUMPRODUCT((#REF!="Glonk..")*#REF!),0)+IFERROR(SUMPRODUCT((#REF!="Glonk.MB")*#REF!),0)</calculatedColumnFormula>
    </tableColumn>
    <tableColumn id="15" xr3:uid="{28AB344B-FB64-4C1A-8B7B-A86B4E653E99}" name="Total Games In Stacks" dataDxfId="969">
      <calculatedColumnFormula>Table2572[[#This Row],[Wins in Stacks]]+Table2572[[#This Row],[Losses in Stacks]]</calculatedColumnFormula>
    </tableColumn>
    <tableColumn id="17" xr3:uid="{19DE0002-6E35-47D6-8F82-218855EE259C}" name="Win% in Stack" dataDxfId="968">
      <calculatedColumnFormula>IFERROR(Table2572[[#This Row],[Wins in Stacks]]/Table2572[[#This Row],[Total Games In Stacks]],0)</calculatedColumnFormula>
    </tableColumn>
    <tableColumn id="4" xr3:uid="{2853B3DA-3C79-4451-923C-5702FCC7A17B}" name="Comm's %" dataDxfId="967"/>
    <tableColumn id="6" xr3:uid="{9957C7A0-E527-48A8-99F2-446478271864}" name="Selfish  1-5" dataDxfId="966"/>
    <tableColumn id="8" xr3:uid="{C5D93DCE-1428-436D-A1E4-059CEE31C03E}" name="+/- Average" dataDxfId="965">
      <calculatedColumnFormula array="1">(Table2572[[#This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879955-B96D-4B20-80AA-46FE16B201F9}" name="Table583" displayName="Table583" ref="AB17:AL18" totalsRowShown="0" headerRowDxfId="964" dataDxfId="963" headerRowBorderDxfId="961" tableBorderDxfId="962">
  <autoFilter ref="AB17:AL18" xr:uid="{114E0688-CDDF-4394-87DE-732FF1ED020C}"/>
  <tableColumns count="11">
    <tableColumn id="1" xr3:uid="{E3FC4E4D-F7ED-4FCA-8C30-AEDEEC2A3397}" name="Avg A K/D" dataDxfId="960">
      <calculatedColumnFormula>AVERAGE(Table2572[Attack K/D])</calculatedColumnFormula>
    </tableColumn>
    <tableColumn id="7" xr3:uid="{7F9D71C5-7190-494B-97AA-43361E2B4ABC}" name="Avg D K/D" dataDxfId="959">
      <calculatedColumnFormula>AVERAGE(Table2572[Defense K/D])</calculatedColumnFormula>
    </tableColumn>
    <tableColumn id="9" xr3:uid="{75D66250-F1A0-41A6-B8F5-D8047C15B3C5}" name="A KOST" dataDxfId="958">
      <calculatedColumnFormula>AVERAGE(Table2572[Defense KOST])</calculatedColumnFormula>
    </tableColumn>
    <tableColumn id="8" xr3:uid="{EB5B8BE7-E599-4041-9883-41BA1C14947D}" name="D KOST" dataDxfId="957">
      <calculatedColumnFormula>AVERAGE(Table2572[Defense KOST])</calculatedColumnFormula>
    </tableColumn>
    <tableColumn id="2" xr3:uid="{9A02ADD6-4C02-4F2C-9AB1-C774FAAF51F2}" name="Avg Attack W%" dataDxfId="956">
      <calculatedColumnFormula>AVERAGE(Table2572[Attack Win%])</calculatedColumnFormula>
    </tableColumn>
    <tableColumn id="3" xr3:uid="{A93454C4-5A07-4715-A354-A4618FF3717B}" name="Avg Defense W%" dataDxfId="955">
      <calculatedColumnFormula>AVERAGE(Table2572[Defense Win%])</calculatedColumnFormula>
    </tableColumn>
    <tableColumn id="11" xr3:uid="{4F8FC743-7B71-4F82-8E8B-EE6526DEDF16}" name="Avg Rank Win %" dataDxfId="954">
      <calculatedColumnFormula>AVERAGE(Table2572[Ranked Win%])</calculatedColumnFormula>
    </tableColumn>
    <tableColumn id="10" xr3:uid="{2FB8FBCF-D5A3-4727-A395-7B8D8C3DEBC9}" name="Avg Stack Win%" dataDxfId="953">
      <calculatedColumnFormula>AVERAGE(Table2572[Win% in Stack])</calculatedColumnFormula>
    </tableColumn>
    <tableColumn id="4" xr3:uid="{7FF654C0-CF48-40A6-9EEE-73ACDF53B6A9}" name="Avg Comm's %" dataDxfId="952">
      <calculatedColumnFormula>AVERAGE(Table2572[Comm''s %])</calculatedColumnFormula>
    </tableColumn>
    <tableColumn id="5" xr3:uid="{3785941B-44C4-4774-AFA0-9A5A0136C477}" name="Avg Selfish  1-5" dataDxfId="951">
      <calculatedColumnFormula>AVERAGE(Table2572[Selfish  1-5])</calculatedColumnFormula>
    </tableColumn>
    <tableColumn id="6" xr3:uid="{B614B60F-714A-4837-91FD-DB67B505ADD2}" name="Avg Score" dataDxfId="950">
      <calculatedColumnFormula>AVERAGE(#REF!)</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28B86B1-C873-4D7D-BBCD-EFFAF28E0971}" name="ImportTable16" displayName="ImportTable16" ref="A31:K61" totalsRowShown="0" headerRowDxfId="949" dataDxfId="948" headerRowBorderDxfId="946" tableBorderDxfId="947">
  <autoFilter ref="A31:K61" xr:uid="{40898A42-D32D-4386-BC35-589DD5E5D282}"/>
  <tableColumns count="11">
    <tableColumn id="1" xr3:uid="{300A2EE1-6837-4BF7-8023-6936C7268C60}" name="Player" dataDxfId="945"/>
    <tableColumn id="2" xr3:uid="{62321CE9-87A3-4E46-AB93-8FD245CCAD23}" name="Attack K/D" dataDxfId="944">
      <calculatedColumnFormula>(IF(VLOOKUP(ImportTable16[[#This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calculatedColumnFormula>
    </tableColumn>
    <tableColumn id="3" xr3:uid="{42D60579-55A6-48A2-AAEE-A5A20E753390}" name="Defense K/D" dataDxfId="943">
      <calculatedColumnFormula>(IF(VLOOKUP(ImportTable16[[#This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calculatedColumnFormula>
    </tableColumn>
    <tableColumn id="4" xr3:uid="{F3621E4F-4C2C-4D85-AADC-A43A3087EDDE}" name="Attack Wins" dataDxfId="942">
      <calculatedColumnFormula>(VLOOKUP(ImportTable16[[#This Row],[Player]],ImportTable[],4,FALSE)+
VLOOKUP(ImportTable16[[#This Row],[Player]],ImportTable15[],4,FALSE)
)</calculatedColumnFormula>
    </tableColumn>
    <tableColumn id="5" xr3:uid="{5AF59564-052A-4C31-8F3E-18DDF0A90DD4}" name="Attack Losses" dataDxfId="941">
      <calculatedColumnFormula>(VLOOKUP(ImportTable16[[#This Row],[Player]],ImportTable[],5,FALSE)+
VLOOKUP(ImportTable16[[#This Row],[Player]],ImportTable15[],5,FALSE)
)</calculatedColumnFormula>
    </tableColumn>
    <tableColumn id="6" xr3:uid="{F061F816-E3A8-42B2-879E-0D4014005A81}" name="Defense Wins" dataDxfId="940">
      <calculatedColumnFormula>(VLOOKUP(ImportTable16[[#This Row],[Player]],ImportTable[],6,FALSE)+
VLOOKUP(ImportTable16[[#This Row],[Player]],ImportTable15[],6,FALSE)
)</calculatedColumnFormula>
    </tableColumn>
    <tableColumn id="7" xr3:uid="{0A4DE761-0D09-4037-BEEB-B44A33B99502}" name="Defense Losses" dataDxfId="939">
      <calculatedColumnFormula>(VLOOKUP(ImportTable16[[#This Row],[Player]],ImportTable[],7,FALSE)+
VLOOKUP(ImportTable16[[#This Row],[Player]],ImportTable15[],7,FALSE)
)</calculatedColumnFormula>
    </tableColumn>
    <tableColumn id="8" xr3:uid="{034A3C11-77FD-444E-B06A-BACACAD750BF}" name="Attack KOST" dataDxfId="938">
      <calculatedColumnFormula>(IF(VLOOKUP(ImportTable16[[#This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calculatedColumnFormula>
    </tableColumn>
    <tableColumn id="9" xr3:uid="{C99845CB-36AA-419E-823A-06E1823DCBA2}" name="Defense KOST" dataDxfId="937">
      <calculatedColumnFormula>(IF(VLOOKUP(ImportTable16[[#This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calculatedColumnFormula>
    </tableColumn>
    <tableColumn id="10" xr3:uid="{8DF98078-2E3D-4E53-BA19-050649CD7FB8}" name="Ranked Wins" dataDxfId="936">
      <calculatedColumnFormula>(VLOOKUP(ImportTable16[[#This Row],[Player]],ImportTable[],10,FALSE)+
VLOOKUP(ImportTable16[[#This Row],[Player]],ImportTable15[],10,FALSE)
)</calculatedColumnFormula>
    </tableColumn>
    <tableColumn id="11" xr3:uid="{0B9F6233-53D5-4635-B8D2-3632E1F93426}" name="Ranked Losses" dataDxfId="935">
      <calculatedColumnFormula>(VLOOKUP(ImportTable16[[#This Row],[Player]],ImportTable[],11,FALSE)+
VLOOKUP(ImportTable16[[#This Row],[Player]],ImportTable15[],11,FALSE)
)</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DAE73C-D9D3-464F-BB22-623A68923363}" name="CombinedStack" displayName="CombinedStack" ref="A1:L134" totalsRowShown="0" headerRowDxfId="642" dataDxfId="641" tableBorderDxfId="640">
  <autoFilter ref="A1:L134" xr:uid="{294D5858-29E0-41D9-AB8C-62341FA9C400}"/>
  <sortState xmlns:xlrd2="http://schemas.microsoft.com/office/spreadsheetml/2017/richdata2" ref="A2:L134">
    <sortCondition descending="1" ref="J1:J134"/>
  </sortState>
  <tableColumns count="12">
    <tableColumn id="1" xr3:uid="{585C45FD-6ABF-4D83-913F-27B90289009E}" name="Dupes" dataDxfId="639">
      <calculatedColumnFormula>_xlfn.TEXTJOIN(",",TRUE,_xlfn._xlws.SORT(_xlfn.TEXTSPLIT(_xlfn.TEXTJOIN(",",TRUE,_xlfn._xlws.SORT($B2:$F2, 1, -1, FALSE)),"WWWWW",",")))</calculatedColumnFormula>
    </tableColumn>
    <tableColumn id="2" xr3:uid="{40AAE07B-C5DD-4501-BDB6-0DD27E5D8FBF}" name="Player 1" dataDxfId="638"/>
    <tableColumn id="3" xr3:uid="{3AF5EEBD-B244-4B4B-B522-2A7D24F7EC05}" name="Player 2" dataDxfId="637"/>
    <tableColumn id="4" xr3:uid="{576B4122-0980-45FE-B1B1-B34A616739F9}" name="Player 3" dataDxfId="636"/>
    <tableColumn id="5" xr3:uid="{F191E4CC-656E-4C70-8AD3-B8B2A9125D9C}" name="Player 4" dataDxfId="635"/>
    <tableColumn id="6" xr3:uid="{BBF48703-1D75-42B8-9345-4AAEC02C30A6}" name="Player 5" dataDxfId="634"/>
    <tableColumn id="7" xr3:uid="{168CFC73-2FBC-4625-BD33-88379E7E84F9}" name="Wins" dataDxfId="633">
      <calculatedColumnFormula>IFERROR(VLOOKUP(CombinedStack[[#This Row],[Dupes]],Y9S1[],7,FALSE), 0) +
IFERROR(VLOOKUP(CombinedStack[[#This Row],[Dupes]],Y8S4[],7,FALSE), 0)</calculatedColumnFormula>
    </tableColumn>
    <tableColumn id="8" xr3:uid="{0BE46BD1-2733-4475-B205-68E365B0ECFA}" name="Losses" dataDxfId="632">
      <calculatedColumnFormula>IFERROR(VLOOKUP(CombinedStack[[#This Row],[Dupes]],Y9S1[],8,FALSE), 0)+
IFERROR(VLOOKUP(CombinedStack[[#This Row],[Dupes]],Y8S4[],8,FALSE), 0)</calculatedColumnFormula>
    </tableColumn>
    <tableColumn id="9" xr3:uid="{DD389CE3-D6D0-43F3-ADBB-86691D44D6B1}" name="Games Played" dataDxfId="631">
      <calculatedColumnFormula>$G2+$H2</calculatedColumnFormula>
    </tableColumn>
    <tableColumn id="10" xr3:uid="{EE8A27E2-E81E-4DD9-8B91-F34E37B7FDD6}" name="W/L" dataDxfId="630">
      <calculatedColumnFormula>G2/(H2+G2)</calculatedColumnFormula>
    </tableColumn>
    <tableColumn id="11" xr3:uid="{F1B3740F-369D-4B3B-9EF3-65C77B637AF2}" name="Team Effectivess Guess" dataDxfId="629">
      <calculatedColumnFormula>(CombinedStack[[#This Row],[Wins]]-CombinedStack[[#This Row],[Losses]]/SUM(CombinedStack[Games Played]))/10</calculatedColumnFormula>
    </tableColumn>
    <tableColumn id="12" xr3:uid="{D86EF75C-114C-4F73-AE3D-AF262CDC3743}" name="Notes" dataDxfId="62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2BE93ED-920C-4012-A8F8-7ED8851E27DC}" name="YEar9Table" displayName="YEar9Table" ref="U1:AT46" totalsRowShown="0" headerRowDxfId="525">
  <autoFilter ref="U1:AT46" xr:uid="{9EE529CB-6E51-4996-BA79-629C8BB6BB3C}"/>
  <sortState xmlns:xlrd2="http://schemas.microsoft.com/office/spreadsheetml/2017/richdata2" ref="U2:AT46">
    <sortCondition ref="V1:V46"/>
  </sortState>
  <tableColumns count="26">
    <tableColumn id="26" xr3:uid="{07A860B5-DF1E-401C-9609-4025A191737E}" name="HiddenPlayer" dataDxfId="524">
      <calculatedColumnFormula>YEar9Table[[#This Row],[Player]]</calculatedColumnFormula>
    </tableColumn>
    <tableColumn id="24" xr3:uid="{79F36AEF-9A4C-4705-9E0F-AF63DDC0F0C5}" name="Tier" dataDxfId="523">
      <calculatedColumnFormula>IF(AT2&gt;7.5, "TIER 1",
IF(AT2&gt;6.5, "TIER 2",
IF(AT2&gt;5.5, "TIER 3",
IF(AT2&gt;4.5, "TIER 4",
IF(AT2&gt;3.5, "TIER 5",
IF(AT2&gt;2,  "TIER 6",
IF(AT2&gt;0,  "TIER 7",
"TIER 8")))))))</calculatedColumnFormula>
    </tableColumn>
    <tableColumn id="23" xr3:uid="{C34ACE9B-AF38-4A18-A74D-179AE9919ED2}" name="Name" dataDxfId="522"/>
    <tableColumn id="1" xr3:uid="{F7EAB0DA-D55A-47DA-8C10-4B2F2EB92F98}" name="Player" dataDxfId="521"/>
    <tableColumn id="2" xr3:uid="{83F240A6-7473-466E-A828-D7A6E9BBD987}" name="Attack K/D" dataDxfId="520"/>
    <tableColumn id="14" xr3:uid="{8796D364-CD95-4401-8A1D-52039BAF93AA}" name="Defense K/D" dataDxfId="519"/>
    <tableColumn id="9" xr3:uid="{955D7ABD-A308-4F61-B856-4728ADA8CD0B}" name="Attack Wins" dataDxfId="518"/>
    <tableColumn id="10" xr3:uid="{5AA8527F-D73B-4A11-9FF5-BE8A86AB2CA0}" name="Attack Losses" dataDxfId="517"/>
    <tableColumn id="11" xr3:uid="{33F395A2-7214-412F-9E42-14728D6FDE9B}" name="Defense Wins" dataDxfId="516"/>
    <tableColumn id="7" xr3:uid="{E0E18C50-5EE5-4874-BFDD-41F7039D14AB}" name="Defense Losses" dataDxfId="515"/>
    <tableColumn id="3" xr3:uid="{9C24A252-6F7E-4C43-97D2-CBAD70394834}" name="Attack KOST" dataDxfId="514"/>
    <tableColumn id="12" xr3:uid="{4B0D208C-A81E-47EC-9B4A-9537176B7AC9}" name="Defense KOST" dataDxfId="513"/>
    <tableColumn id="20" xr3:uid="{7F4C4A1C-6244-4D1D-86C4-A7458D494AE4}" name="Ranked Wins" dataDxfId="512"/>
    <tableColumn id="19" xr3:uid="{D192CF7D-6C59-446B-99F5-E58CE56475C2}" name="Ranked Losses" dataDxfId="511"/>
    <tableColumn id="5" xr3:uid="{141038D4-F821-46BD-AAC0-883C1E9CDEB1}" name="Win Equal" dataDxfId="510">
      <calculatedColumnFormula>IF(YEar9Table[[#This Row],[Ranked Wins]]=YEar9Table[[#This Row],[Wins in Stacks]],"Y","N")</calculatedColumnFormula>
    </tableColumn>
    <tableColumn id="25" xr3:uid="{AC0B04F7-E76A-425D-923A-5B57251E455E}" name="Losses Equal" dataDxfId="509">
      <calculatedColumnFormula>IF(YEar9Table[[#This Row],[Ranked Losses]]=YEar9Table[[#This Row],[Losses in Stacks]],"Y","N")</calculatedColumnFormula>
    </tableColumn>
    <tableColumn id="18" xr3:uid="{DDE2DD42-911B-4EFA-BCF2-56D472568C3E}" name="Ranked Win%" dataDxfId="508">
      <calculatedColumnFormula>IFERROR(YEar9Table[[#This Row],[Ranked Wins]]/(YEar9Table[[#This Row],[Ranked Wins]]+YEar9Table[[#This Row],[Ranked Losses]]),0)</calculatedColumnFormula>
    </tableColumn>
    <tableColumn id="22" xr3:uid="{14C3F9E5-AD6A-4800-A5ED-687DD4978744}" name="Attack Win%" dataDxfId="507">
      <calculatedColumnFormula>IFERROR(YEar9Table[[#This Row],[Attack Wins]]/(YEar9Table[[#This Row],[Attack Wins]]+YEar9Table[[#This Row],[Attack Losses]]),0)</calculatedColumnFormula>
    </tableColumn>
    <tableColumn id="21" xr3:uid="{276F3253-90D7-4A42-81BF-184E7C633B9D}" name="Defense Win%" dataDxfId="506">
      <calculatedColumnFormula>IFERROR(YEar9Table[[#This Row],[Defense Wins]]/(YEar9Table[[#This Row],[Defense Wins]]+YEar9Table[[#This Row],[Defense Losses]]),0)</calculatedColumnFormula>
    </tableColumn>
    <tableColumn id="13" xr3:uid="{9C19750C-0A76-4113-99CE-5457401ED200}" name="Wins in Stacks" dataDxfId="505">
      <calculatedColumnFormula array="1">IFERROR(SUMPRODUCT(($B$2:$B$131=YEar9Table[[#This Row],[Player]])*$L$2:$L$131),0)+IFERROR(SUMPRODUCT(($C$2:$C$131=YEar9Table[[#This Row],[Player]])*$L$2:$L$131),0)+IFERROR(SUMPRODUCT(($E$2:$E$131=YEar9Table[[#This Row],[Player]])*$L$2:$L$131),0)+IFERROR(SUMPRODUCT(($D$2:$D$131=YEar9Table[[#This Row],[Player]])*$L$2:$L$131),0)+IFERROR(SUMPRODUCT(($F$2:$F$131=YEar9Table[[#This Row],[Player]])*$L$2:$L$131),0)</calculatedColumnFormula>
    </tableColumn>
    <tableColumn id="16" xr3:uid="{08273B67-D476-445C-BC7F-A58F24828B0F}" name="Losses in Stacks" dataDxfId="504">
      <calculatedColumnFormula array="1">IFERROR(SUMPRODUCT(($B$2:$B$131=YEar9Table[[#This Row],[Player]])*$M$2:$M$131),0)+IFERROR(SUMPRODUCT(($C$2:$C$131=YEar9Table[[#This Row],[Player]])*$M$2:$M$131),0)+IFERROR(SUMPRODUCT(($D$2:$D$131=YEar9Table[[#This Row],[Player]])*$M$2:$M$131),0)+IFERROR(SUMPRODUCT(($E$2:$E$131=YEar9Table[[#This Row],[Player]])*$M$2:$M$131),0)+IFERROR(SUMPRODUCT(($F$2:$F$131=YEar9Table[[#This Row],[Player]])*$M$2:$M$131),0)</calculatedColumnFormula>
    </tableColumn>
    <tableColumn id="15" xr3:uid="{6C6975D9-FFB8-48D2-B935-51FD76132834}" name="Total Games In Stacks" dataDxfId="503">
      <calculatedColumnFormula>YEar9Table[[#This Row],[Wins in Stacks]]+YEar9Table[[#This Row],[Losses in Stacks]]</calculatedColumnFormula>
    </tableColumn>
    <tableColumn id="17" xr3:uid="{B5FCECA3-24D9-4AE5-A975-9030284DBDB9}" name="Win% in Stack" dataDxfId="502">
      <calculatedColumnFormula>IFERROR(YEar9Table[[#This Row],[Wins in Stacks]]/YEar9Table[[#This Row],[Total Games In Stacks]],0)</calculatedColumnFormula>
    </tableColumn>
    <tableColumn id="4" xr3:uid="{E3D5D979-EBC1-43AD-BD0E-9B1CC83CEF04}" name="Comm's %" dataDxfId="501"/>
    <tableColumn id="6" xr3:uid="{5D4CD633-C292-4595-B225-9037345B8625}" name="Selfish  1-5" dataDxfId="500"/>
    <tableColumn id="8" xr3:uid="{E75D117A-05DA-4168-9800-FF0A10426F83}" name="+/- Average" dataDxfId="499">
      <calculatedColumnFormula array="1">(YEar9Table[[#This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B489EBF-8722-4460-AC69-64EDC2A81BFB}" name="Table5813" displayName="Table5813" ref="AY18:BK19" totalsRowShown="0" headerRowDxfId="498" dataDxfId="497" headerRowBorderDxfId="495" tableBorderDxfId="496">
  <autoFilter ref="AY18:BK19" xr:uid="{114E0688-CDDF-4394-87DE-732FF1ED020C}"/>
  <tableColumns count="13">
    <tableColumn id="1" xr3:uid="{88A1F00B-6601-49CB-9DDF-230001D7454D}" name="Avg A K/D" dataDxfId="494">
      <calculatedColumnFormula>SUM(YEar9Table[Attack K/D])/COUNTIF(YEar9Table[Attack K/D],"&gt;0")</calculatedColumnFormula>
    </tableColumn>
    <tableColumn id="7" xr3:uid="{8D4E96A0-7B51-4AD6-8170-D585926D4B4D}" name="Avg D K/D" dataDxfId="493">
      <calculatedColumnFormula>SUM(YEar9Table[Defense K/D])/COUNTIF(YEar9Table[Defense K/D],"&gt;0")</calculatedColumnFormula>
    </tableColumn>
    <tableColumn id="9" xr3:uid="{B5A0C6AC-CB29-4A24-89C8-3D4169AECACA}" name="A KOST" dataDxfId="492">
      <calculatedColumnFormula>SUM(YEar9Table[Attack KOST])/COUNTIF(YEar9Table[Attack KOST],"&gt;0")</calculatedColumnFormula>
    </tableColumn>
    <tableColumn id="8" xr3:uid="{90D0CA05-E258-4C5A-B96F-8EB49FB1F052}" name="D KOST" dataDxfId="491">
      <calculatedColumnFormula>SUM(YEar9Table[Defense KOST])/COUNTIF(YEar9Table[Defense KOST],"&gt;0")</calculatedColumnFormula>
    </tableColumn>
    <tableColumn id="2" xr3:uid="{CEF67DC5-CA34-42D9-A38C-8183E61FF26A}" name="Avg Attack W%" dataDxfId="490">
      <calculatedColumnFormula>SUM(YEar9Table[Attack Win%])/COUNTIF(YEar9Table[Attack Win%],"&gt;0")</calculatedColumnFormula>
    </tableColumn>
    <tableColumn id="3" xr3:uid="{1B8898F8-8FD3-4314-BB58-E923282A0B61}" name="Avg Defense W%" dataDxfId="489">
      <calculatedColumnFormula>SUM(YEar9Table[Defense Win%])/COUNTIF(YEar9Table[Defense Win%],"&gt;0")</calculatedColumnFormula>
    </tableColumn>
    <tableColumn id="11" xr3:uid="{BF0F892B-2DA9-4B93-9264-7A6C3C8EA031}" name="Avg Rank Win %" dataDxfId="488">
      <calculatedColumnFormula>SUM(YEar9Table[Ranked Win%])/COUNTIF(YEar9Table[Ranked Win%],"&gt;0")</calculatedColumnFormula>
    </tableColumn>
    <tableColumn id="10" xr3:uid="{A3E534D6-6977-4724-9675-854B7953D086}" name="Avg Stack Win%" dataDxfId="487">
      <calculatedColumnFormula>SUM(YEar9Table[Win% in Stack])/COUNTIF(YEar9Table[Total Games In Stacks],"&gt;0")</calculatedColumnFormula>
    </tableColumn>
    <tableColumn id="4" xr3:uid="{C5A8F454-5CB6-4299-902C-E39B572254FA}" name="Avg Comm's %" dataDxfId="486">
      <calculatedColumnFormula>AVERAGE(YEar9Table[Comm''s %])</calculatedColumnFormula>
    </tableColumn>
    <tableColumn id="5" xr3:uid="{34420332-6892-4CCB-8894-218D2CDB6487}" name="Avg Selfish  1-5" dataDxfId="485">
      <calculatedColumnFormula>AVERAGE(YEar9Table[Selfish  1-5])</calculatedColumnFormula>
    </tableColumn>
    <tableColumn id="6" xr3:uid="{CC9D007C-1581-45C9-8883-71DDDB6F8D79}" name="Avg Score" dataDxfId="484">
      <calculatedColumnFormula>AVERAGE(YEar9Table[+/- Average])</calculatedColumnFormula>
    </tableColumn>
    <tableColumn id="12" xr3:uid="{7C869D9C-A65B-4964-938E-A17F98EE8ECF}" name="Total Games in Stacks" dataDxfId="483">
      <calculatedColumnFormula>SUM(YEar9Table[Total Games In Stacks])</calculatedColumnFormula>
    </tableColumn>
    <tableColumn id="13" xr3:uid="{152E096E-6CA8-4538-BE7A-80A99B41DCAF}" name="Avg Games in stack" dataDxfId="482">
      <calculatedColumnFormula>AVERAGE(YEar9Table[Total Games In Stacks])</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2F717A5-DDFC-40A6-994F-56D8C90C9870}" name="Y9S1" displayName="Y9S1" ref="A1:Q131" totalsRowShown="0" headerRowDxfId="481" dataDxfId="480" tableBorderDxfId="479">
  <autoFilter ref="A1:Q131" xr:uid="{294D5858-29E0-41D9-AB8C-62341FA9C400}"/>
  <sortState xmlns:xlrd2="http://schemas.microsoft.com/office/spreadsheetml/2017/richdata2" ref="A2:Q131">
    <sortCondition descending="1" ref="O1:O131"/>
  </sortState>
  <tableColumns count="17">
    <tableColumn id="1" xr3:uid="{60C65BE7-6035-4E9E-8443-04DF9C98D01B}" name="Dupes" dataDxfId="478">
      <calculatedColumnFormula>_xlfn.TEXTJOIN(",",TRUE,_xlfn._xlws.SORT(_xlfn.TEXTSPLIT(_xlfn.TEXTJOIN(",",TRUE,_xlfn._xlws.SORT($B2:$F2, 1, -1, FALSE)),"WWWWW",",")))</calculatedColumnFormula>
    </tableColumn>
    <tableColumn id="2" xr3:uid="{7FC1CC11-E06B-4CD4-9C4D-0129458704CD}" name="Player 1" dataDxfId="477"/>
    <tableColumn id="3" xr3:uid="{428210FE-F218-4C3C-91E6-47ABB5E0B656}" name="Player 2" dataDxfId="476"/>
    <tableColumn id="4" xr3:uid="{7B702110-BA1A-42AA-8FED-872A1D10BF34}" name="Player 3" dataDxfId="475"/>
    <tableColumn id="5" xr3:uid="{14A755C3-2919-4FD8-AB5B-2AB0AB5461D0}" name="Player 4" dataDxfId="474"/>
    <tableColumn id="6" xr3:uid="{5A375F74-1AC8-4A5E-963C-33642766E8A2}" name="Player 5" dataDxfId="473"/>
    <tableColumn id="18" xr3:uid="{574EA1D4-F441-4671-A1DB-4B88475B335C}" name="Tier P1" dataDxfId="472">
      <calculatedColumnFormula>IFERROR(VLOOKUP(Y9S1[[#This Row],[Player 1]],YEar9Table[],2,FALSE),0)</calculatedColumnFormula>
    </tableColumn>
    <tableColumn id="17" xr3:uid="{D4349070-C301-4EB0-96C0-FA57E39F7EFD}" name="Tier P2" dataDxfId="471">
      <calculatedColumnFormula>IFERROR(VLOOKUP(Y9S1[[#This Row],[Player 2]],YEar9Table[],2,FALSE),"")</calculatedColumnFormula>
    </tableColumn>
    <tableColumn id="19" xr3:uid="{CB931B76-2E89-4D69-8AAB-0DF2922B76F4}" name="Tier P3" dataDxfId="470">
      <calculatedColumnFormula>IFERROR(VLOOKUP(Y9S1[[#This Row],[Player 3]],YEar9Table[],2,FALSE),"")</calculatedColumnFormula>
    </tableColumn>
    <tableColumn id="20" xr3:uid="{7A603CD7-55E9-489A-9442-FCE405DE1CAE}" name="Tier P4" dataDxfId="469">
      <calculatedColumnFormula>IFERROR(VLOOKUP(Y9S1[[#This Row],[Player 4]],YEar9Table[],2,FALSE),"")</calculatedColumnFormula>
    </tableColumn>
    <tableColumn id="21" xr3:uid="{CD5BE2D4-A748-45C6-A288-CA96D08F52BC}" name="Tier P5" dataDxfId="468">
      <calculatedColumnFormula>IFERROR(VLOOKUP(Y9S1[[#This Row],[Player 5]],YEar9Table[],2,FALSE),"")</calculatedColumnFormula>
    </tableColumn>
    <tableColumn id="7" xr3:uid="{3A83EF3E-1BA7-4729-AF94-1D8287F5835C}" name="Wins" dataDxfId="467"/>
    <tableColumn id="8" xr3:uid="{77E6D27F-4EBB-4413-8D88-A4023B747EEC}" name="Losses" dataDxfId="466"/>
    <tableColumn id="9" xr3:uid="{F63ACB41-3193-469F-8BAE-3BB02DEF6217}" name="Games Played" dataDxfId="465">
      <calculatedColumnFormula>$L2+$M2</calculatedColumnFormula>
    </tableColumn>
    <tableColumn id="10" xr3:uid="{33FF8A05-0ABA-4FC0-BF63-89EF7ECE1C0B}" name="W/L" dataDxfId="464">
      <calculatedColumnFormula>IFERROR(L2/(M2+L2),0)</calculatedColumnFormula>
    </tableColumn>
    <tableColumn id="11" xr3:uid="{1369C581-AA2F-44CC-BF9E-5E2B588D61F0}" name="Team Effectivess Guess" dataDxfId="463">
      <calculatedColumnFormula>(((Y9S1[[#This Row],[Wins]]*1.3)-Y9S1[[#This Row],[Losses]])/SUM(Y9S1[Games Played]))*10</calculatedColumnFormula>
    </tableColumn>
    <tableColumn id="12" xr3:uid="{9BB143C9-4CC2-4A9D-82D9-92C185307DBC}" name="Notes" dataDxfId="46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C984F4F-5252-4453-8FD2-CA2D86C15677}" name="ImportTable15" displayName="ImportTable15" ref="Y48:AJ95" totalsRowShown="0" headerRowDxfId="461" dataDxfId="460" headerRowBorderDxfId="458" tableBorderDxfId="459">
  <autoFilter ref="Y48:AJ95" xr:uid="{40898A42-D32D-4386-BC35-589DD5E5D282}"/>
  <tableColumns count="12">
    <tableColumn id="1" xr3:uid="{A1B97229-ABB0-49D1-B9C0-3DB90AFE6B65}" name="Player" dataDxfId="457"/>
    <tableColumn id="2" xr3:uid="{AC921858-655C-4B8A-808C-26BDB645220B}" name="Attack K/D" dataDxfId="456"/>
    <tableColumn id="3" xr3:uid="{E3DAB797-C894-448F-8974-692786A0ABC1}" name="Defense K/D" dataDxfId="455"/>
    <tableColumn id="4" xr3:uid="{14CC7CC8-8D9E-4548-8C7C-C2D83C294F7E}" name="Attack Wins" dataDxfId="454"/>
    <tableColumn id="5" xr3:uid="{F285AC20-5408-4C75-B838-B34A58699378}" name="Attack Losses" dataDxfId="453"/>
    <tableColumn id="6" xr3:uid="{B002AA1E-A7DA-473E-838A-09E185D2AE74}" name="Defense Wins" dataDxfId="452"/>
    <tableColumn id="7" xr3:uid="{B9622AAE-E6D4-472C-9606-DF6A13E19138}" name="Defense Losses" dataDxfId="451"/>
    <tableColumn id="8" xr3:uid="{51B42638-B227-4E13-B352-C03926E4A6B8}" name="Attack KOST" dataDxfId="450"/>
    <tableColumn id="9" xr3:uid="{629AE235-E018-4C33-8BE6-C1F596C784AA}" name="Defense KOST" dataDxfId="449"/>
    <tableColumn id="10" xr3:uid="{E1C53435-9AFB-4F18-B851-DD3845C74EE1}" name="Ranked Wins" dataDxfId="448"/>
    <tableColumn id="11" xr3:uid="{240EE9CC-E7A3-4D4F-80EB-C56F049BFFB3}" name="Ranked Losses" dataDxfId="447"/>
    <tableColumn id="12" xr3:uid="{8BC34510-BF97-4B6F-8F3A-53B156CB401D}" name="Column1" dataDxfId="446"/>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F3F0F1D-9B1D-423F-8832-C004E58E6059}" name="Table257" displayName="Table257" ref="P1:AL29" totalsRowShown="0" headerRowDxfId="68">
  <autoFilter ref="P1:AL29" xr:uid="{9EE529CB-6E51-4996-BA79-629C8BB6BB3C}"/>
  <sortState xmlns:xlrd2="http://schemas.microsoft.com/office/spreadsheetml/2017/richdata2" ref="P2:AL29">
    <sortCondition descending="1" ref="AL1:AL29"/>
  </sortState>
  <tableColumns count="23">
    <tableColumn id="24" xr3:uid="{5DFD3ED2-4BA4-4802-86F0-CC62D632FD62}" name="Tier" dataDxfId="67">
      <calculatedColumnFormula>IF(AL2&gt;7.5, "TIER 1",
IF(AL2&gt;6.5, "TIER 2",
IF(AL2&gt;5.5, "TIER 3",
IF(AL2&gt;4.5, "TIER 4",
IF(AL2&gt;3.5, "TIER 5",
IF(AL2&gt;2,  "TIER 6",
IF(AL2&gt;0,  "TIER 7",
"TIER 8")))))))</calculatedColumnFormula>
    </tableColumn>
    <tableColumn id="23" xr3:uid="{CC30A21E-01E6-4223-9044-46CA6B43B537}" name="Name" dataDxfId="66"/>
    <tableColumn id="1" xr3:uid="{79D37D00-037D-4591-B89E-A293ED53049E}" name="Player" dataDxfId="65"/>
    <tableColumn id="2" xr3:uid="{11B88FF5-9F47-470D-AFA0-7CE1E41DA32A}" name="Attack K/D" dataDxfId="64"/>
    <tableColumn id="14" xr3:uid="{4A5F6A49-124C-4FEE-9376-03D62DDCC3B1}" name="Defense K/D" dataDxfId="63"/>
    <tableColumn id="9" xr3:uid="{E7DB3C3D-5984-4352-BB25-DCA99A797874}" name="Attack Wins" dataDxfId="62"/>
    <tableColumn id="10" xr3:uid="{C14E9D11-37B2-426E-AFFC-125B9BB145A9}" name="Attack Losses" dataDxfId="61"/>
    <tableColumn id="11" xr3:uid="{5E9F8F83-40D3-46DC-9BBB-81423875D415}" name="Defense Wins" dataDxfId="60"/>
    <tableColumn id="7" xr3:uid="{CBF29264-C7A2-48AA-A708-3DF8841BB21D}" name="Defense Losses" dataDxfId="59"/>
    <tableColumn id="3" xr3:uid="{919BE34D-C4D1-4D0A-9DB6-14D43149AD21}" name="Attack KOST" dataDxfId="58"/>
    <tableColumn id="12" xr3:uid="{47252F53-ECDE-45A5-9536-1C3563BB4344}" name="Defense KOST" dataDxfId="57"/>
    <tableColumn id="20" xr3:uid="{2A38265A-EAC3-4DE3-BFA1-64D9BFF2FB2E}" name="Ranked Wins" dataDxfId="56"/>
    <tableColumn id="19" xr3:uid="{984E44D7-170F-4727-BF29-2563069003F1}" name="Ranked Losses" dataDxfId="55"/>
    <tableColumn id="18" xr3:uid="{40B9DFA5-E367-4440-89AB-7C7F240C0085}" name="Ranked Win%" dataDxfId="54">
      <calculatedColumnFormula>IFERROR(Table257[[#This Row],[Ranked Wins]]/(Table257[[#This Row],[Ranked Wins]]+Table257[[#This Row],[Ranked Losses]]),0)</calculatedColumnFormula>
    </tableColumn>
    <tableColumn id="22" xr3:uid="{EF509B8E-E7E7-473C-B6E2-A9380D993A2C}" name="Attack Win%" dataDxfId="53">
      <calculatedColumnFormula>IFERROR(Table257[[#This Row],[Attack Wins]]/(Table257[[#This Row],[Attack Wins]]+Table257[[#This Row],[Attack Losses]]),0)</calculatedColumnFormula>
    </tableColumn>
    <tableColumn id="21" xr3:uid="{23E92D1F-01F1-4C0B-9418-1F54920045D0}" name="Defense Win%" dataDxfId="52">
      <calculatedColumnFormula>IFERROR(Table257[[#This Row],[Defense Wins]]/(Table257[[#This Row],[Defense Wins]]+Table257[[#This Row],[Defense Losses]]),0)</calculatedColumnFormula>
    </tableColumn>
    <tableColumn id="13" xr3:uid="{CCE281B3-5015-4C6E-B28C-E2335704A684}" name="Wins in Stacks" dataDxfId="51"/>
    <tableColumn id="16" xr3:uid="{2CED9C61-C92B-4E3A-BAFE-E868FE1B828A}" name="Losses in Stacks" dataDxfId="50">
      <calculatedColumnFormula array="1">IFERROR(SUMPRODUCT(($B$2:$F$118="Glonk..")*$H$2:$H$118),0)+IFERROR(SUMPRODUCT(($B$2:$F$118="Glonk.MB")*$H$2:$H$118),0)</calculatedColumnFormula>
    </tableColumn>
    <tableColumn id="15" xr3:uid="{2F0406AE-2B42-4164-9C2E-6EBA9AF22E8F}" name="Total Games In Stacks" dataDxfId="49">
      <calculatedColumnFormula>Table257[[#This Row],[Wins in Stacks]]+Table257[[#This Row],[Losses in Stacks]]</calculatedColumnFormula>
    </tableColumn>
    <tableColumn id="17" xr3:uid="{AC593DAE-EF72-44DD-85BC-91CE7A3CD890}" name="Win% in Stack" dataDxfId="48">
      <calculatedColumnFormula>IFERROR(Table257[[#This Row],[Wins in Stacks]]/Table257[[#This Row],[Total Games In Stacks]],0)</calculatedColumnFormula>
    </tableColumn>
    <tableColumn id="4" xr3:uid="{0B4C1B66-E121-4DA6-ADCD-97293391ED0A}" name="Comm's %" dataDxfId="47"/>
    <tableColumn id="6" xr3:uid="{19661D25-BD3D-48C6-9B5A-9E25F17FE45A}" name="Selfish  1-5" dataDxfId="46"/>
    <tableColumn id="8" xr3:uid="{1D9BB5F7-6731-413A-8984-477A496EE744}" name="+/- Average" dataDxfId="45">
      <calculatedColumnFormula array="1">(Table257[[#This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03A4DF-039D-4D50-8A8B-0343EBD24747}" name="Table58" displayName="Table58" ref="AQ17:BA18" totalsRowShown="0" headerRowDxfId="44" dataDxfId="43" headerRowBorderDxfId="41" tableBorderDxfId="42">
  <autoFilter ref="AQ17:BA18" xr:uid="{114E0688-CDDF-4394-87DE-732FF1ED020C}"/>
  <tableColumns count="11">
    <tableColumn id="1" xr3:uid="{11F4F757-BFF8-49AD-8FD1-82BAE9FBF253}" name="Avg A K/D" dataDxfId="40">
      <calculatedColumnFormula>AVERAGE(Table257[Attack K/D])</calculatedColumnFormula>
    </tableColumn>
    <tableColumn id="7" xr3:uid="{F0F195B5-D9C3-4E55-961C-E93199715CFD}" name="Avg D K/D" dataDxfId="39">
      <calculatedColumnFormula>AVERAGE(Table257[Defense K/D])</calculatedColumnFormula>
    </tableColumn>
    <tableColumn id="9" xr3:uid="{14467248-2DFE-4D2B-820B-EBF4347F5058}" name="A KOST" dataDxfId="38">
      <calculatedColumnFormula>AVERAGE(Table257[Defense KOST])</calculatedColumnFormula>
    </tableColumn>
    <tableColumn id="8" xr3:uid="{4CAFF1B3-F9AA-4454-B55E-BAD8712C363F}" name="D KOST" dataDxfId="37">
      <calculatedColumnFormula>AVERAGE(Table257[Defense KOST])</calculatedColumnFormula>
    </tableColumn>
    <tableColumn id="2" xr3:uid="{73801B22-619B-47D5-A597-87B706870187}" name="Avg Attack W%" dataDxfId="36">
      <calculatedColumnFormula>AVERAGE(Table257[Attack Win%])</calculatedColumnFormula>
    </tableColumn>
    <tableColumn id="3" xr3:uid="{65A0B05C-6CD1-4D03-A314-EADA4EBFCA1E}" name="Avg Defense W%" dataDxfId="35">
      <calculatedColumnFormula>AVERAGE(Table257[Defense Win%])</calculatedColumnFormula>
    </tableColumn>
    <tableColumn id="11" xr3:uid="{F9C18CA1-6279-4886-A24D-FBCA54706062}" name="Avg Rank Win %" dataDxfId="34">
      <calculatedColumnFormula>AVERAGE(Table257[Ranked Win%])</calculatedColumnFormula>
    </tableColumn>
    <tableColumn id="10" xr3:uid="{CD900826-DDEB-457A-898B-9C6DE3156D03}" name="Avg Stack Win%" dataDxfId="33">
      <calculatedColumnFormula>AVERAGE(Table257[Win% in Stack])</calculatedColumnFormula>
    </tableColumn>
    <tableColumn id="4" xr3:uid="{1E83064C-7F74-46EF-AE6D-10AC0FF6FC4B}" name="Avg Comm's %" dataDxfId="32">
      <calculatedColumnFormula>AVERAGE(Table257[Comm''s %])</calculatedColumnFormula>
    </tableColumn>
    <tableColumn id="5" xr3:uid="{1F1551DE-20CA-40D1-B04F-4445F459C726}" name="Avg Selfish  1-5" dataDxfId="31">
      <calculatedColumnFormula>AVERAGE(Table257[Selfish  1-5])</calculatedColumnFormula>
    </tableColumn>
    <tableColumn id="6" xr3:uid="{29C9AEB6-7C0E-4BA6-8491-B8596DCF21A4}" name="Avg Score" dataDxfId="30">
      <calculatedColumnFormula>AVERAGE(Table257[+/- Average])</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4B7892F-E25F-4C59-A0B9-695F1E7DE46A}" name="Y8S4" displayName="Y8S4" ref="A1:L118" totalsRowShown="0" headerRowDxfId="29" dataDxfId="28" tableBorderDxfId="27">
  <autoFilter ref="A1:L118" xr:uid="{294D5858-29E0-41D9-AB8C-62341FA9C400}"/>
  <sortState xmlns:xlrd2="http://schemas.microsoft.com/office/spreadsheetml/2017/richdata2" ref="A2:L118">
    <sortCondition descending="1" ref="I1:I118"/>
  </sortState>
  <tableColumns count="12">
    <tableColumn id="1" xr3:uid="{FF675ED3-8283-4AFE-80D4-0FC07677AD5D}" name="Dupes" dataDxfId="26">
      <calculatedColumnFormula>_xlfn.TEXTJOIN(",",TRUE,_xlfn._xlws.SORT(_xlfn.TEXTSPLIT(_xlfn.TEXTJOIN(",",TRUE,_xlfn._xlws.SORT($B2:$F2, 1, -1, FALSE)),"WWWWW",",")))</calculatedColumnFormula>
    </tableColumn>
    <tableColumn id="2" xr3:uid="{0BE81353-E4E6-441E-94E6-FC6B5DCB5BB7}" name="Player 1" dataDxfId="25"/>
    <tableColumn id="3" xr3:uid="{8C099971-B683-4B45-AC34-28601FAD98B3}" name="Player 2" dataDxfId="24"/>
    <tableColumn id="4" xr3:uid="{6A0D8FC7-7D9B-4A9B-A7DE-724E169DDDDC}" name="Player 3" dataDxfId="23"/>
    <tableColumn id="5" xr3:uid="{16DBD429-6DF0-4634-8661-B82B4139F351}" name="Player 4" dataDxfId="22"/>
    <tableColumn id="6" xr3:uid="{F043F612-2612-4CB3-9C13-0AAE55CC1C98}" name="Player 5" dataDxfId="21"/>
    <tableColumn id="7" xr3:uid="{55DC4085-07E9-47C5-A711-ED18A5BEBDD7}" name="Wins" dataDxfId="20"/>
    <tableColumn id="8" xr3:uid="{7E8F220B-B9A3-45F9-8B33-39791B76C30B}" name="Losses" dataDxfId="19"/>
    <tableColumn id="9" xr3:uid="{62F34C83-168B-46EC-A13B-BB9EAF93E7B3}" name="Games Played" dataDxfId="18">
      <calculatedColumnFormula>$G2+$H2</calculatedColumnFormula>
    </tableColumn>
    <tableColumn id="10" xr3:uid="{7870A739-409F-44D6-B39E-8899F695050D}" name="W/L" dataDxfId="17">
      <calculatedColumnFormula>G2/(H2+G2)</calculatedColumnFormula>
    </tableColumn>
    <tableColumn id="11" xr3:uid="{ACD8FBDE-5611-4762-9328-567BA4EC1795}" name="Team Effectivess Guess" dataDxfId="16">
      <calculatedColumnFormula>(Y8S4[[#This Row],[Wins]]-Y8S4[[#This Row],[Losses]]/SUM(Y8S4[Games Played]))/10</calculatedColumnFormula>
    </tableColumn>
    <tableColumn id="12" xr3:uid="{0398AC9D-938B-4257-B49F-9F49A4046D20}" name="Notes" dataDxfId="1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898A42-D32D-4386-BC35-589DD5E5D282}" name="ImportTable" displayName="ImportTable" ref="P31:Z61" totalsRowShown="0" headerRowDxfId="14" dataDxfId="13" headerRowBorderDxfId="11" tableBorderDxfId="12">
  <autoFilter ref="P31:Z61" xr:uid="{40898A42-D32D-4386-BC35-589DD5E5D282}"/>
  <tableColumns count="11">
    <tableColumn id="1" xr3:uid="{B6B781A2-99C3-4270-B416-8073BA1673F9}" name="Player" dataDxfId="10"/>
    <tableColumn id="2" xr3:uid="{F4F2F4F5-F630-48CE-9C87-ACA6FBB3DBFB}" name="Attack K/D" dataDxfId="9"/>
    <tableColumn id="3" xr3:uid="{E3DF5525-5A77-4BF9-B88E-319CB8E86FC6}" name="Defense K/D" dataDxfId="8"/>
    <tableColumn id="4" xr3:uid="{DF9DBF0D-7228-4AFD-9C7B-E61E85FC7C36}" name="Attack Wins" dataDxfId="7"/>
    <tableColumn id="5" xr3:uid="{C8E49401-5322-466F-98D4-1C8409C10465}" name="Attack Losses" dataDxfId="6"/>
    <tableColumn id="6" xr3:uid="{3B989834-A566-4D5D-9868-3DC76CEAF052}" name="Defense Wins" dataDxfId="5"/>
    <tableColumn id="7" xr3:uid="{7ED57225-FFF6-46B4-8C20-AA13358B6A98}" name="Defense Losses" dataDxfId="4"/>
    <tableColumn id="8" xr3:uid="{0593BE7D-D932-412C-B99E-E567C30523A9}" name="Attack KOST" dataDxfId="3"/>
    <tableColumn id="9" xr3:uid="{5A9BD08B-65A7-46D4-9E34-9B846A4973DA}" name="Defense KOST" dataDxfId="2"/>
    <tableColumn id="10" xr3:uid="{E9BB4D8F-08F1-4DD0-9B7E-2FD0EAC29F01}" name="Ranked Wins" dataDxfId="1"/>
    <tableColumn id="11" xr3:uid="{3602BB93-DEA7-459C-997C-399BDE79D9CE}" name="Ranked Los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 Id="rId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D8B98-7040-4846-A703-7DD00330EDF7}">
  <dimension ref="A1:D9"/>
  <sheetViews>
    <sheetView workbookViewId="0">
      <selection activeCell="C13" sqref="C13"/>
    </sheetView>
  </sheetViews>
  <sheetFormatPr defaultRowHeight="15"/>
  <cols>
    <col min="1" max="1" width="9.5703125" bestFit="1" customWidth="1"/>
    <col min="2" max="2" width="9.42578125" bestFit="1" customWidth="1"/>
    <col min="3" max="3" width="121.140625" style="5" customWidth="1"/>
  </cols>
  <sheetData>
    <row r="1" spans="1:4">
      <c r="A1" s="11">
        <v>45336</v>
      </c>
      <c r="B1" t="s">
        <v>0</v>
      </c>
      <c r="C1" s="5" t="s">
        <v>1</v>
      </c>
    </row>
    <row r="2" spans="1:4">
      <c r="B2" t="s">
        <v>2</v>
      </c>
      <c r="C2" s="5" t="s">
        <v>3</v>
      </c>
    </row>
    <row r="3" spans="1:4">
      <c r="B3" t="s">
        <v>4</v>
      </c>
      <c r="C3" s="5" t="s">
        <v>5</v>
      </c>
    </row>
    <row r="5" spans="1:4">
      <c r="A5" s="11">
        <v>45337</v>
      </c>
      <c r="B5" t="s">
        <v>6</v>
      </c>
      <c r="C5" s="5" t="s">
        <v>7</v>
      </c>
      <c r="D5" s="1"/>
    </row>
    <row r="6" spans="1:4">
      <c r="A6" s="11">
        <v>45338</v>
      </c>
      <c r="B6" t="s">
        <v>8</v>
      </c>
      <c r="C6" s="5" t="s">
        <v>9</v>
      </c>
      <c r="D6" s="1"/>
    </row>
    <row r="7" spans="1:4" ht="27.75">
      <c r="A7" s="11">
        <v>45339</v>
      </c>
      <c r="B7" t="s">
        <v>6</v>
      </c>
      <c r="C7" s="5" t="s">
        <v>10</v>
      </c>
    </row>
    <row r="8" spans="1:4" ht="27.75">
      <c r="A8">
        <v>18</v>
      </c>
      <c r="B8" t="s">
        <v>0</v>
      </c>
      <c r="C8" s="5" t="s">
        <v>11</v>
      </c>
    </row>
    <row r="9" spans="1:4">
      <c r="A9" s="11">
        <v>45343</v>
      </c>
      <c r="B9" t="s">
        <v>12</v>
      </c>
      <c r="C9" s="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5D06B-41AB-4F96-835B-D876E2E289A8}">
  <dimension ref="A1:L78"/>
  <sheetViews>
    <sheetView workbookViewId="0">
      <selection activeCell="A56" sqref="A56"/>
    </sheetView>
  </sheetViews>
  <sheetFormatPr defaultRowHeight="15"/>
  <cols>
    <col min="12" max="12" width="87.85546875" customWidth="1"/>
  </cols>
  <sheetData>
    <row r="1" spans="1:12">
      <c r="A1" s="198" t="s">
        <v>14</v>
      </c>
      <c r="B1" s="199"/>
      <c r="C1" s="199"/>
      <c r="D1" s="199"/>
      <c r="E1" s="199"/>
      <c r="F1" s="199"/>
      <c r="G1" s="199"/>
      <c r="H1" s="199"/>
      <c r="I1" s="199"/>
      <c r="J1" s="199"/>
      <c r="K1" s="199"/>
    </row>
    <row r="2" spans="1:12">
      <c r="A2" s="199"/>
      <c r="B2" s="199"/>
      <c r="C2" s="199"/>
      <c r="D2" s="199"/>
      <c r="E2" s="199"/>
      <c r="F2" s="199"/>
      <c r="G2" s="199"/>
      <c r="H2" s="199"/>
      <c r="I2" s="199"/>
      <c r="J2" s="199"/>
      <c r="K2" s="199"/>
    </row>
    <row r="3" spans="1:12">
      <c r="A3" s="199"/>
      <c r="B3" s="199"/>
      <c r="C3" s="199"/>
      <c r="D3" s="199"/>
      <c r="E3" s="199"/>
      <c r="F3" s="199"/>
      <c r="G3" s="199"/>
      <c r="H3" s="199"/>
      <c r="I3" s="199"/>
      <c r="J3" s="199"/>
      <c r="K3" s="199"/>
    </row>
    <row r="4" spans="1:12">
      <c r="A4" s="199"/>
      <c r="B4" s="199"/>
      <c r="C4" s="199"/>
      <c r="D4" s="199"/>
      <c r="E4" s="199"/>
      <c r="F4" s="199"/>
      <c r="G4" s="199"/>
      <c r="H4" s="199"/>
      <c r="I4" s="199"/>
      <c r="J4" s="199"/>
      <c r="K4" s="199"/>
    </row>
    <row r="5" spans="1:12">
      <c r="A5" s="199"/>
      <c r="B5" s="199"/>
      <c r="C5" s="199"/>
      <c r="D5" s="199"/>
      <c r="E5" s="199"/>
      <c r="F5" s="199"/>
      <c r="G5" s="199"/>
      <c r="H5" s="199"/>
      <c r="I5" s="199"/>
      <c r="J5" s="199"/>
      <c r="K5" s="199"/>
    </row>
    <row r="6" spans="1:12">
      <c r="A6" s="200" t="s">
        <v>15</v>
      </c>
      <c r="B6" s="200"/>
      <c r="C6" s="200"/>
      <c r="D6" s="200"/>
      <c r="E6" s="200"/>
      <c r="F6" s="200"/>
      <c r="G6" s="200"/>
      <c r="H6" s="200"/>
      <c r="I6" s="200"/>
      <c r="J6" s="200"/>
      <c r="K6" s="200"/>
      <c r="L6" s="200"/>
    </row>
    <row r="7" spans="1:12">
      <c r="A7" s="200"/>
      <c r="B7" s="200"/>
      <c r="C7" s="200"/>
      <c r="D7" s="200"/>
      <c r="E7" s="200"/>
      <c r="F7" s="200"/>
      <c r="G7" s="200"/>
      <c r="H7" s="200"/>
      <c r="I7" s="200"/>
      <c r="J7" s="200"/>
      <c r="K7" s="200"/>
      <c r="L7" s="200"/>
    </row>
    <row r="8" spans="1:12">
      <c r="A8" s="200"/>
      <c r="B8" s="200"/>
      <c r="C8" s="200"/>
      <c r="D8" s="200"/>
      <c r="E8" s="200"/>
      <c r="F8" s="200"/>
      <c r="G8" s="200"/>
      <c r="H8" s="200"/>
      <c r="I8" s="200"/>
      <c r="J8" s="200"/>
      <c r="K8" s="200"/>
      <c r="L8" s="200"/>
    </row>
    <row r="9" spans="1:12">
      <c r="A9" s="200"/>
      <c r="B9" s="200"/>
      <c r="C9" s="200"/>
      <c r="D9" s="200"/>
      <c r="E9" s="200"/>
      <c r="F9" s="200"/>
      <c r="G9" s="200"/>
      <c r="H9" s="200"/>
      <c r="I9" s="200"/>
      <c r="J9" s="200"/>
      <c r="K9" s="200"/>
      <c r="L9" s="200"/>
    </row>
    <row r="10" spans="1:12">
      <c r="A10" s="200"/>
      <c r="B10" s="200"/>
      <c r="C10" s="200"/>
      <c r="D10" s="200"/>
      <c r="E10" s="200"/>
      <c r="F10" s="200"/>
      <c r="G10" s="200"/>
      <c r="H10" s="200"/>
      <c r="I10" s="200"/>
      <c r="J10" s="200"/>
      <c r="K10" s="200"/>
      <c r="L10" s="200"/>
    </row>
    <row r="11" spans="1:12">
      <c r="A11" s="200"/>
      <c r="B11" s="200"/>
      <c r="C11" s="200"/>
      <c r="D11" s="200"/>
      <c r="E11" s="200"/>
      <c r="F11" s="200"/>
      <c r="G11" s="200"/>
      <c r="H11" s="200"/>
      <c r="I11" s="200"/>
      <c r="J11" s="200"/>
      <c r="K11" s="200"/>
      <c r="L11" s="200"/>
    </row>
    <row r="12" spans="1:12">
      <c r="A12" s="200"/>
      <c r="B12" s="200"/>
      <c r="C12" s="200"/>
      <c r="D12" s="200"/>
      <c r="E12" s="200"/>
      <c r="F12" s="200"/>
      <c r="G12" s="200"/>
      <c r="H12" s="200"/>
      <c r="I12" s="200"/>
      <c r="J12" s="200"/>
      <c r="K12" s="200"/>
      <c r="L12" s="200"/>
    </row>
    <row r="13" spans="1:12">
      <c r="A13" s="200"/>
      <c r="B13" s="200"/>
      <c r="C13" s="200"/>
      <c r="D13" s="200"/>
      <c r="E13" s="200"/>
      <c r="F13" s="200"/>
      <c r="G13" s="200"/>
      <c r="H13" s="200"/>
      <c r="I13" s="200"/>
      <c r="J13" s="200"/>
      <c r="K13" s="200"/>
      <c r="L13" s="200"/>
    </row>
    <row r="14" spans="1:12">
      <c r="A14" s="200"/>
      <c r="B14" s="200"/>
      <c r="C14" s="200"/>
      <c r="D14" s="200"/>
      <c r="E14" s="200"/>
      <c r="F14" s="200"/>
      <c r="G14" s="200"/>
      <c r="H14" s="200"/>
      <c r="I14" s="200"/>
      <c r="J14" s="200"/>
      <c r="K14" s="200"/>
      <c r="L14" s="200"/>
    </row>
    <row r="15" spans="1:12">
      <c r="A15" s="200"/>
      <c r="B15" s="200"/>
      <c r="C15" s="200"/>
      <c r="D15" s="200"/>
      <c r="E15" s="200"/>
      <c r="F15" s="200"/>
      <c r="G15" s="200"/>
      <c r="H15" s="200"/>
      <c r="I15" s="200"/>
      <c r="J15" s="200"/>
      <c r="K15" s="200"/>
      <c r="L15" s="200"/>
    </row>
    <row r="16" spans="1:12">
      <c r="A16" s="200"/>
      <c r="B16" s="200"/>
      <c r="C16" s="200"/>
      <c r="D16" s="200"/>
      <c r="E16" s="200"/>
      <c r="F16" s="200"/>
      <c r="G16" s="200"/>
      <c r="H16" s="200"/>
      <c r="I16" s="200"/>
      <c r="J16" s="200"/>
      <c r="K16" s="200"/>
      <c r="L16" s="200"/>
    </row>
    <row r="17" spans="1:12">
      <c r="A17" s="200"/>
      <c r="B17" s="200"/>
      <c r="C17" s="200"/>
      <c r="D17" s="200"/>
      <c r="E17" s="200"/>
      <c r="F17" s="200"/>
      <c r="G17" s="200"/>
      <c r="H17" s="200"/>
      <c r="I17" s="200"/>
      <c r="J17" s="200"/>
      <c r="K17" s="200"/>
      <c r="L17" s="200"/>
    </row>
    <row r="18" spans="1:12">
      <c r="A18" s="200"/>
      <c r="B18" s="200"/>
      <c r="C18" s="200"/>
      <c r="D18" s="200"/>
      <c r="E18" s="200"/>
      <c r="F18" s="200"/>
      <c r="G18" s="200"/>
      <c r="H18" s="200"/>
      <c r="I18" s="200"/>
      <c r="J18" s="200"/>
      <c r="K18" s="200"/>
      <c r="L18" s="200"/>
    </row>
    <row r="19" spans="1:12">
      <c r="A19" s="200"/>
      <c r="B19" s="200"/>
      <c r="C19" s="200"/>
      <c r="D19" s="200"/>
      <c r="E19" s="200"/>
      <c r="F19" s="200"/>
      <c r="G19" s="200"/>
      <c r="H19" s="200"/>
      <c r="I19" s="200"/>
      <c r="J19" s="200"/>
      <c r="K19" s="200"/>
      <c r="L19" s="200"/>
    </row>
    <row r="20" spans="1:12">
      <c r="A20" s="200"/>
      <c r="B20" s="200"/>
      <c r="C20" s="200"/>
      <c r="D20" s="200"/>
      <c r="E20" s="200"/>
      <c r="F20" s="200"/>
      <c r="G20" s="200"/>
      <c r="H20" s="200"/>
      <c r="I20" s="200"/>
      <c r="J20" s="200"/>
      <c r="K20" s="200"/>
      <c r="L20" s="200"/>
    </row>
    <row r="21" spans="1:12">
      <c r="A21" s="200"/>
      <c r="B21" s="200"/>
      <c r="C21" s="200"/>
      <c r="D21" s="200"/>
      <c r="E21" s="200"/>
      <c r="F21" s="200"/>
      <c r="G21" s="200"/>
      <c r="H21" s="200"/>
      <c r="I21" s="200"/>
      <c r="J21" s="200"/>
      <c r="K21" s="200"/>
      <c r="L21" s="200"/>
    </row>
    <row r="22" spans="1:12">
      <c r="A22" s="200"/>
      <c r="B22" s="200"/>
      <c r="C22" s="200"/>
      <c r="D22" s="200"/>
      <c r="E22" s="200"/>
      <c r="F22" s="200"/>
      <c r="G22" s="200"/>
      <c r="H22" s="200"/>
      <c r="I22" s="200"/>
      <c r="J22" s="200"/>
      <c r="K22" s="200"/>
      <c r="L22" s="200"/>
    </row>
    <row r="23" spans="1:12">
      <c r="A23" s="200"/>
      <c r="B23" s="200"/>
      <c r="C23" s="200"/>
      <c r="D23" s="200"/>
      <c r="E23" s="200"/>
      <c r="F23" s="200"/>
      <c r="G23" s="200"/>
      <c r="H23" s="200"/>
      <c r="I23" s="200"/>
      <c r="J23" s="200"/>
      <c r="K23" s="200"/>
      <c r="L23" s="200"/>
    </row>
    <row r="24" spans="1:12">
      <c r="A24" s="200"/>
      <c r="B24" s="200"/>
      <c r="C24" s="200"/>
      <c r="D24" s="200"/>
      <c r="E24" s="200"/>
      <c r="F24" s="200"/>
      <c r="G24" s="200"/>
      <c r="H24" s="200"/>
      <c r="I24" s="200"/>
      <c r="J24" s="200"/>
      <c r="K24" s="200"/>
      <c r="L24" s="200"/>
    </row>
    <row r="25" spans="1:12">
      <c r="A25" s="200"/>
      <c r="B25" s="200"/>
      <c r="C25" s="200"/>
      <c r="D25" s="200"/>
      <c r="E25" s="200"/>
      <c r="F25" s="200"/>
      <c r="G25" s="200"/>
      <c r="H25" s="200"/>
      <c r="I25" s="200"/>
      <c r="J25" s="200"/>
      <c r="K25" s="200"/>
      <c r="L25" s="200"/>
    </row>
    <row r="26" spans="1:12">
      <c r="A26" s="200"/>
      <c r="B26" s="200"/>
      <c r="C26" s="200"/>
      <c r="D26" s="200"/>
      <c r="E26" s="200"/>
      <c r="F26" s="200"/>
      <c r="G26" s="200"/>
      <c r="H26" s="200"/>
      <c r="I26" s="200"/>
      <c r="J26" s="200"/>
      <c r="K26" s="200"/>
      <c r="L26" s="200"/>
    </row>
    <row r="27" spans="1:12">
      <c r="A27" s="200"/>
      <c r="B27" s="200"/>
      <c r="C27" s="200"/>
      <c r="D27" s="200"/>
      <c r="E27" s="200"/>
      <c r="F27" s="200"/>
      <c r="G27" s="200"/>
      <c r="H27" s="200"/>
      <c r="I27" s="200"/>
      <c r="J27" s="200"/>
      <c r="K27" s="200"/>
      <c r="L27" s="200"/>
    </row>
    <row r="28" spans="1:12">
      <c r="A28" s="200"/>
      <c r="B28" s="200"/>
      <c r="C28" s="200"/>
      <c r="D28" s="200"/>
      <c r="E28" s="200"/>
      <c r="F28" s="200"/>
      <c r="G28" s="200"/>
      <c r="H28" s="200"/>
      <c r="I28" s="200"/>
      <c r="J28" s="200"/>
      <c r="K28" s="200"/>
      <c r="L28" s="200"/>
    </row>
    <row r="29" spans="1:12">
      <c r="A29" s="200"/>
      <c r="B29" s="200"/>
      <c r="C29" s="200"/>
      <c r="D29" s="200"/>
      <c r="E29" s="200"/>
      <c r="F29" s="200"/>
      <c r="G29" s="200"/>
      <c r="H29" s="200"/>
      <c r="I29" s="200"/>
      <c r="J29" s="200"/>
      <c r="K29" s="200"/>
      <c r="L29" s="200"/>
    </row>
    <row r="30" spans="1:12">
      <c r="A30" s="200"/>
      <c r="B30" s="200"/>
      <c r="C30" s="200"/>
      <c r="D30" s="200"/>
      <c r="E30" s="200"/>
      <c r="F30" s="200"/>
      <c r="G30" s="200"/>
      <c r="H30" s="200"/>
      <c r="I30" s="200"/>
      <c r="J30" s="200"/>
      <c r="K30" s="200"/>
      <c r="L30" s="200"/>
    </row>
    <row r="31" spans="1:12">
      <c r="A31" s="200"/>
      <c r="B31" s="200"/>
      <c r="C31" s="200"/>
      <c r="D31" s="200"/>
      <c r="E31" s="200"/>
      <c r="F31" s="200"/>
      <c r="G31" s="200"/>
      <c r="H31" s="200"/>
      <c r="I31" s="200"/>
      <c r="J31" s="200"/>
      <c r="K31" s="200"/>
      <c r="L31" s="200"/>
    </row>
    <row r="32" spans="1:12">
      <c r="A32" s="200"/>
      <c r="B32" s="200"/>
      <c r="C32" s="200"/>
      <c r="D32" s="200"/>
      <c r="E32" s="200"/>
      <c r="F32" s="200"/>
      <c r="G32" s="200"/>
      <c r="H32" s="200"/>
      <c r="I32" s="200"/>
      <c r="J32" s="200"/>
      <c r="K32" s="200"/>
      <c r="L32" s="200"/>
    </row>
    <row r="33" spans="1:12">
      <c r="A33" s="200"/>
      <c r="B33" s="200"/>
      <c r="C33" s="200"/>
      <c r="D33" s="200"/>
      <c r="E33" s="200"/>
      <c r="F33" s="200"/>
      <c r="G33" s="200"/>
      <c r="H33" s="200"/>
      <c r="I33" s="200"/>
      <c r="J33" s="200"/>
      <c r="K33" s="200"/>
      <c r="L33" s="200"/>
    </row>
    <row r="34" spans="1:12">
      <c r="A34" s="200"/>
      <c r="B34" s="200"/>
      <c r="C34" s="200"/>
      <c r="D34" s="200"/>
      <c r="E34" s="200"/>
      <c r="F34" s="200"/>
      <c r="G34" s="200"/>
      <c r="H34" s="200"/>
      <c r="I34" s="200"/>
      <c r="J34" s="200"/>
      <c r="K34" s="200"/>
      <c r="L34" s="200"/>
    </row>
    <row r="35" spans="1:12">
      <c r="A35" s="200"/>
      <c r="B35" s="200"/>
      <c r="C35" s="200"/>
      <c r="D35" s="200"/>
      <c r="E35" s="200"/>
      <c r="F35" s="200"/>
      <c r="G35" s="200"/>
      <c r="H35" s="200"/>
      <c r="I35" s="200"/>
      <c r="J35" s="200"/>
      <c r="K35" s="200"/>
      <c r="L35" s="200"/>
    </row>
    <row r="36" spans="1:12">
      <c r="A36" s="200"/>
      <c r="B36" s="200"/>
      <c r="C36" s="200"/>
      <c r="D36" s="200"/>
      <c r="E36" s="200"/>
      <c r="F36" s="200"/>
      <c r="G36" s="200"/>
      <c r="H36" s="200"/>
      <c r="I36" s="200"/>
      <c r="J36" s="200"/>
      <c r="K36" s="200"/>
      <c r="L36" s="200"/>
    </row>
    <row r="37" spans="1:12">
      <c r="A37" s="200"/>
      <c r="B37" s="200"/>
      <c r="C37" s="200"/>
      <c r="D37" s="200"/>
      <c r="E37" s="200"/>
      <c r="F37" s="200"/>
      <c r="G37" s="200"/>
      <c r="H37" s="200"/>
      <c r="I37" s="200"/>
      <c r="J37" s="200"/>
      <c r="K37" s="200"/>
      <c r="L37" s="200"/>
    </row>
    <row r="38" spans="1:12">
      <c r="A38" s="200"/>
      <c r="B38" s="200"/>
      <c r="C38" s="200"/>
      <c r="D38" s="200"/>
      <c r="E38" s="200"/>
      <c r="F38" s="200"/>
      <c r="G38" s="200"/>
      <c r="H38" s="200"/>
      <c r="I38" s="200"/>
      <c r="J38" s="200"/>
      <c r="K38" s="200"/>
      <c r="L38" s="200"/>
    </row>
    <row r="39" spans="1:12">
      <c r="A39" s="200"/>
      <c r="B39" s="200"/>
      <c r="C39" s="200"/>
      <c r="D39" s="200"/>
      <c r="E39" s="200"/>
      <c r="F39" s="200"/>
      <c r="G39" s="200"/>
      <c r="H39" s="200"/>
      <c r="I39" s="200"/>
      <c r="J39" s="200"/>
      <c r="K39" s="200"/>
      <c r="L39" s="200"/>
    </row>
    <row r="40" spans="1:12">
      <c r="A40" s="200"/>
      <c r="B40" s="200"/>
      <c r="C40" s="200"/>
      <c r="D40" s="200"/>
      <c r="E40" s="200"/>
      <c r="F40" s="200"/>
      <c r="G40" s="200"/>
      <c r="H40" s="200"/>
      <c r="I40" s="200"/>
      <c r="J40" s="200"/>
      <c r="K40" s="200"/>
      <c r="L40" s="200"/>
    </row>
    <row r="41" spans="1:12">
      <c r="A41" s="200"/>
      <c r="B41" s="200"/>
      <c r="C41" s="200"/>
      <c r="D41" s="200"/>
      <c r="E41" s="200"/>
      <c r="F41" s="200"/>
      <c r="G41" s="200"/>
      <c r="H41" s="200"/>
      <c r="I41" s="200"/>
      <c r="J41" s="200"/>
      <c r="K41" s="200"/>
      <c r="L41" s="200"/>
    </row>
    <row r="42" spans="1:12">
      <c r="A42" s="200"/>
      <c r="B42" s="200"/>
      <c r="C42" s="200"/>
      <c r="D42" s="200"/>
      <c r="E42" s="200"/>
      <c r="F42" s="200"/>
      <c r="G42" s="200"/>
      <c r="H42" s="200"/>
      <c r="I42" s="200"/>
      <c r="J42" s="200"/>
      <c r="K42" s="200"/>
      <c r="L42" s="200"/>
    </row>
    <row r="43" spans="1:12">
      <c r="A43" s="200"/>
      <c r="B43" s="200"/>
      <c r="C43" s="200"/>
      <c r="D43" s="200"/>
      <c r="E43" s="200"/>
      <c r="F43" s="200"/>
      <c r="G43" s="200"/>
      <c r="H43" s="200"/>
      <c r="I43" s="200"/>
      <c r="J43" s="200"/>
      <c r="K43" s="200"/>
      <c r="L43" s="200"/>
    </row>
    <row r="44" spans="1:12">
      <c r="A44" s="200"/>
      <c r="B44" s="200"/>
      <c r="C44" s="200"/>
      <c r="D44" s="200"/>
      <c r="E44" s="200"/>
      <c r="F44" s="200"/>
      <c r="G44" s="200"/>
      <c r="H44" s="200"/>
      <c r="I44" s="200"/>
      <c r="J44" s="200"/>
      <c r="K44" s="200"/>
      <c r="L44" s="200"/>
    </row>
    <row r="45" spans="1:12">
      <c r="A45" s="200"/>
      <c r="B45" s="200"/>
      <c r="C45" s="200"/>
      <c r="D45" s="200"/>
      <c r="E45" s="200"/>
      <c r="F45" s="200"/>
      <c r="G45" s="200"/>
      <c r="H45" s="200"/>
      <c r="I45" s="200"/>
      <c r="J45" s="200"/>
      <c r="K45" s="200"/>
      <c r="L45" s="200"/>
    </row>
    <row r="46" spans="1:12">
      <c r="A46" s="200"/>
      <c r="B46" s="200"/>
      <c r="C46" s="200"/>
      <c r="D46" s="200"/>
      <c r="E46" s="200"/>
      <c r="F46" s="200"/>
      <c r="G46" s="200"/>
      <c r="H46" s="200"/>
      <c r="I46" s="200"/>
      <c r="J46" s="200"/>
      <c r="K46" s="200"/>
      <c r="L46" s="200"/>
    </row>
    <row r="47" spans="1:12">
      <c r="A47" s="200"/>
      <c r="B47" s="200"/>
      <c r="C47" s="200"/>
      <c r="D47" s="200"/>
      <c r="E47" s="200"/>
      <c r="F47" s="200"/>
      <c r="G47" s="200"/>
      <c r="H47" s="200"/>
      <c r="I47" s="200"/>
      <c r="J47" s="200"/>
      <c r="K47" s="200"/>
      <c r="L47" s="200"/>
    </row>
    <row r="48" spans="1:12">
      <c r="A48" s="200"/>
      <c r="B48" s="200"/>
      <c r="C48" s="200"/>
      <c r="D48" s="200"/>
      <c r="E48" s="200"/>
      <c r="F48" s="200"/>
      <c r="G48" s="200"/>
      <c r="H48" s="200"/>
      <c r="I48" s="200"/>
      <c r="J48" s="200"/>
      <c r="K48" s="200"/>
      <c r="L48" s="200"/>
    </row>
    <row r="49" spans="1:12">
      <c r="A49" s="200"/>
      <c r="B49" s="200"/>
      <c r="C49" s="200"/>
      <c r="D49" s="200"/>
      <c r="E49" s="200"/>
      <c r="F49" s="200"/>
      <c r="G49" s="200"/>
      <c r="H49" s="200"/>
      <c r="I49" s="200"/>
      <c r="J49" s="200"/>
      <c r="K49" s="200"/>
      <c r="L49" s="200"/>
    </row>
    <row r="50" spans="1:12">
      <c r="A50" s="200"/>
      <c r="B50" s="200"/>
      <c r="C50" s="200"/>
      <c r="D50" s="200"/>
      <c r="E50" s="200"/>
      <c r="F50" s="200"/>
      <c r="G50" s="200"/>
      <c r="H50" s="200"/>
      <c r="I50" s="200"/>
      <c r="J50" s="200"/>
      <c r="K50" s="200"/>
      <c r="L50" s="200"/>
    </row>
    <row r="51" spans="1:12">
      <c r="A51" s="200"/>
      <c r="B51" s="200"/>
      <c r="C51" s="200"/>
      <c r="D51" s="200"/>
      <c r="E51" s="200"/>
      <c r="F51" s="200"/>
      <c r="G51" s="200"/>
      <c r="H51" s="200"/>
      <c r="I51" s="200"/>
      <c r="J51" s="200"/>
      <c r="K51" s="200"/>
      <c r="L51" s="200"/>
    </row>
    <row r="52" spans="1:12">
      <c r="A52" s="200"/>
      <c r="B52" s="200"/>
      <c r="C52" s="200"/>
      <c r="D52" s="200"/>
      <c r="E52" s="200"/>
      <c r="F52" s="200"/>
      <c r="G52" s="200"/>
      <c r="H52" s="200"/>
      <c r="I52" s="200"/>
      <c r="J52" s="200"/>
      <c r="K52" s="200"/>
      <c r="L52" s="200"/>
    </row>
    <row r="53" spans="1:12">
      <c r="A53" s="200"/>
      <c r="B53" s="200"/>
      <c r="C53" s="200"/>
      <c r="D53" s="200"/>
      <c r="E53" s="200"/>
      <c r="F53" s="200"/>
      <c r="G53" s="200"/>
      <c r="H53" s="200"/>
      <c r="I53" s="200"/>
      <c r="J53" s="200"/>
      <c r="K53" s="200"/>
      <c r="L53" s="200"/>
    </row>
    <row r="54" spans="1:12">
      <c r="A54" s="200"/>
      <c r="B54" s="200"/>
      <c r="C54" s="200"/>
      <c r="D54" s="200"/>
      <c r="E54" s="200"/>
      <c r="F54" s="200"/>
      <c r="G54" s="200"/>
      <c r="H54" s="200"/>
      <c r="I54" s="200"/>
      <c r="J54" s="200"/>
      <c r="K54" s="200"/>
      <c r="L54" s="200"/>
    </row>
    <row r="55" spans="1:12">
      <c r="A55" s="200"/>
      <c r="B55" s="200"/>
      <c r="C55" s="200"/>
      <c r="D55" s="200"/>
      <c r="E55" s="200"/>
      <c r="F55" s="200"/>
      <c r="G55" s="200"/>
      <c r="H55" s="200"/>
      <c r="I55" s="200"/>
      <c r="J55" s="200"/>
      <c r="K55" s="200"/>
      <c r="L55" s="200"/>
    </row>
    <row r="56" spans="1:12">
      <c r="A56" s="201" t="s">
        <v>16</v>
      </c>
      <c r="B56" s="201"/>
      <c r="C56" s="201"/>
      <c r="D56" s="201"/>
      <c r="E56" s="201"/>
      <c r="F56" s="201"/>
      <c r="G56" s="201"/>
      <c r="H56" s="201"/>
      <c r="I56" s="201"/>
      <c r="J56" s="201"/>
      <c r="K56" s="201"/>
      <c r="L56" s="201"/>
    </row>
    <row r="57" spans="1:12">
      <c r="A57" s="201"/>
      <c r="B57" s="201"/>
      <c r="C57" s="201"/>
      <c r="D57" s="201"/>
      <c r="E57" s="201"/>
      <c r="F57" s="201"/>
      <c r="G57" s="201"/>
      <c r="H57" s="201"/>
      <c r="I57" s="201"/>
      <c r="J57" s="201"/>
      <c r="K57" s="201"/>
      <c r="L57" s="201"/>
    </row>
    <row r="58" spans="1:12">
      <c r="A58" s="201"/>
      <c r="B58" s="201"/>
      <c r="C58" s="201"/>
      <c r="D58" s="201"/>
      <c r="E58" s="201"/>
      <c r="F58" s="201"/>
      <c r="G58" s="201"/>
      <c r="H58" s="201"/>
      <c r="I58" s="201"/>
      <c r="J58" s="201"/>
      <c r="K58" s="201"/>
      <c r="L58" s="201"/>
    </row>
    <row r="59" spans="1:12">
      <c r="A59" s="201"/>
      <c r="B59" s="201"/>
      <c r="C59" s="201"/>
      <c r="D59" s="201"/>
      <c r="E59" s="201"/>
      <c r="F59" s="201"/>
      <c r="G59" s="201"/>
      <c r="H59" s="201"/>
      <c r="I59" s="201"/>
      <c r="J59" s="201"/>
      <c r="K59" s="201"/>
      <c r="L59" s="201"/>
    </row>
    <row r="60" spans="1:12">
      <c r="A60" s="201"/>
      <c r="B60" s="201"/>
      <c r="C60" s="201"/>
      <c r="D60" s="201"/>
      <c r="E60" s="201"/>
      <c r="F60" s="201"/>
      <c r="G60" s="201"/>
      <c r="H60" s="201"/>
      <c r="I60" s="201"/>
      <c r="J60" s="201"/>
      <c r="K60" s="201"/>
      <c r="L60" s="201"/>
    </row>
    <row r="61" spans="1:12">
      <c r="A61" s="201"/>
      <c r="B61" s="201"/>
      <c r="C61" s="201"/>
      <c r="D61" s="201"/>
      <c r="E61" s="201"/>
      <c r="F61" s="201"/>
      <c r="G61" s="201"/>
      <c r="H61" s="201"/>
      <c r="I61" s="201"/>
      <c r="J61" s="201"/>
      <c r="K61" s="201"/>
      <c r="L61" s="201"/>
    </row>
    <row r="62" spans="1:12">
      <c r="A62" s="201"/>
      <c r="B62" s="201"/>
      <c r="C62" s="201"/>
      <c r="D62" s="201"/>
      <c r="E62" s="201"/>
      <c r="F62" s="201"/>
      <c r="G62" s="201"/>
      <c r="H62" s="201"/>
      <c r="I62" s="201"/>
      <c r="J62" s="201"/>
      <c r="K62" s="201"/>
      <c r="L62" s="201"/>
    </row>
    <row r="63" spans="1:12">
      <c r="A63" s="201"/>
      <c r="B63" s="201"/>
      <c r="C63" s="201"/>
      <c r="D63" s="201"/>
      <c r="E63" s="201"/>
      <c r="F63" s="201"/>
      <c r="G63" s="201"/>
      <c r="H63" s="201"/>
      <c r="I63" s="201"/>
      <c r="J63" s="201"/>
      <c r="K63" s="201"/>
      <c r="L63" s="201"/>
    </row>
    <row r="64" spans="1:12">
      <c r="A64" s="201"/>
      <c r="B64" s="201"/>
      <c r="C64" s="201"/>
      <c r="D64" s="201"/>
      <c r="E64" s="201"/>
      <c r="F64" s="201"/>
      <c r="G64" s="201"/>
      <c r="H64" s="201"/>
      <c r="I64" s="201"/>
      <c r="J64" s="201"/>
      <c r="K64" s="201"/>
      <c r="L64" s="201"/>
    </row>
    <row r="65" spans="1:12">
      <c r="A65" s="201"/>
      <c r="B65" s="201"/>
      <c r="C65" s="201"/>
      <c r="D65" s="201"/>
      <c r="E65" s="201"/>
      <c r="F65" s="201"/>
      <c r="G65" s="201"/>
      <c r="H65" s="201"/>
      <c r="I65" s="201"/>
      <c r="J65" s="201"/>
      <c r="K65" s="201"/>
      <c r="L65" s="201"/>
    </row>
    <row r="66" spans="1:12">
      <c r="A66" s="201"/>
      <c r="B66" s="201"/>
      <c r="C66" s="201"/>
      <c r="D66" s="201"/>
      <c r="E66" s="201"/>
      <c r="F66" s="201"/>
      <c r="G66" s="201"/>
      <c r="H66" s="201"/>
      <c r="I66" s="201"/>
      <c r="J66" s="201"/>
      <c r="K66" s="201"/>
      <c r="L66" s="201"/>
    </row>
    <row r="67" spans="1:12">
      <c r="A67" s="201"/>
      <c r="B67" s="201"/>
      <c r="C67" s="201"/>
      <c r="D67" s="201"/>
      <c r="E67" s="201"/>
      <c r="F67" s="201"/>
      <c r="G67" s="201"/>
      <c r="H67" s="201"/>
      <c r="I67" s="201"/>
      <c r="J67" s="201"/>
      <c r="K67" s="201"/>
      <c r="L67" s="201"/>
    </row>
    <row r="68" spans="1:12">
      <c r="A68" s="201"/>
      <c r="B68" s="201"/>
      <c r="C68" s="201"/>
      <c r="D68" s="201"/>
      <c r="E68" s="201"/>
      <c r="F68" s="201"/>
      <c r="G68" s="201"/>
      <c r="H68" s="201"/>
      <c r="I68" s="201"/>
      <c r="J68" s="201"/>
      <c r="K68" s="201"/>
      <c r="L68" s="201"/>
    </row>
    <row r="69" spans="1:12">
      <c r="A69" s="201"/>
      <c r="B69" s="201"/>
      <c r="C69" s="201"/>
      <c r="D69" s="201"/>
      <c r="E69" s="201"/>
      <c r="F69" s="201"/>
      <c r="G69" s="201"/>
      <c r="H69" s="201"/>
      <c r="I69" s="201"/>
      <c r="J69" s="201"/>
      <c r="K69" s="201"/>
      <c r="L69" s="201"/>
    </row>
    <row r="70" spans="1:12">
      <c r="A70" s="201"/>
      <c r="B70" s="201"/>
      <c r="C70" s="201"/>
      <c r="D70" s="201"/>
      <c r="E70" s="201"/>
      <c r="F70" s="201"/>
      <c r="G70" s="201"/>
      <c r="H70" s="201"/>
      <c r="I70" s="201"/>
      <c r="J70" s="201"/>
      <c r="K70" s="201"/>
      <c r="L70" s="201"/>
    </row>
    <row r="71" spans="1:12">
      <c r="A71" s="201"/>
      <c r="B71" s="201"/>
      <c r="C71" s="201"/>
      <c r="D71" s="201"/>
      <c r="E71" s="201"/>
      <c r="F71" s="201"/>
      <c r="G71" s="201"/>
      <c r="H71" s="201"/>
      <c r="I71" s="201"/>
      <c r="J71" s="201"/>
      <c r="K71" s="201"/>
      <c r="L71" s="201"/>
    </row>
    <row r="72" spans="1:12">
      <c r="A72" s="201"/>
      <c r="B72" s="201"/>
      <c r="C72" s="201"/>
      <c r="D72" s="201"/>
      <c r="E72" s="201"/>
      <c r="F72" s="201"/>
      <c r="G72" s="201"/>
      <c r="H72" s="201"/>
      <c r="I72" s="201"/>
      <c r="J72" s="201"/>
      <c r="K72" s="201"/>
      <c r="L72" s="201"/>
    </row>
    <row r="73" spans="1:12">
      <c r="A73" s="201"/>
      <c r="B73" s="201"/>
      <c r="C73" s="201"/>
      <c r="D73" s="201"/>
      <c r="E73" s="201"/>
      <c r="F73" s="201"/>
      <c r="G73" s="201"/>
      <c r="H73" s="201"/>
      <c r="I73" s="201"/>
      <c r="J73" s="201"/>
      <c r="K73" s="201"/>
      <c r="L73" s="201"/>
    </row>
    <row r="74" spans="1:12">
      <c r="A74" s="201"/>
      <c r="B74" s="201"/>
      <c r="C74" s="201"/>
      <c r="D74" s="201"/>
      <c r="E74" s="201"/>
      <c r="F74" s="201"/>
      <c r="G74" s="201"/>
      <c r="H74" s="201"/>
      <c r="I74" s="201"/>
      <c r="J74" s="201"/>
      <c r="K74" s="201"/>
      <c r="L74" s="201"/>
    </row>
    <row r="75" spans="1:12">
      <c r="A75" s="201"/>
      <c r="B75" s="201"/>
      <c r="C75" s="201"/>
      <c r="D75" s="201"/>
      <c r="E75" s="201"/>
      <c r="F75" s="201"/>
      <c r="G75" s="201"/>
      <c r="H75" s="201"/>
      <c r="I75" s="201"/>
      <c r="J75" s="201"/>
      <c r="K75" s="201"/>
      <c r="L75" s="201"/>
    </row>
    <row r="76" spans="1:12">
      <c r="A76" s="201"/>
      <c r="B76" s="201"/>
      <c r="C76" s="201"/>
      <c r="D76" s="201"/>
      <c r="E76" s="201"/>
      <c r="F76" s="201"/>
      <c r="G76" s="201"/>
      <c r="H76" s="201"/>
      <c r="I76" s="201"/>
      <c r="J76" s="201"/>
      <c r="K76" s="201"/>
      <c r="L76" s="201"/>
    </row>
    <row r="77" spans="1:12">
      <c r="A77" s="201"/>
      <c r="B77" s="201"/>
      <c r="C77" s="201"/>
      <c r="D77" s="201"/>
      <c r="E77" s="201"/>
      <c r="F77" s="201"/>
      <c r="G77" s="201"/>
      <c r="H77" s="201"/>
      <c r="I77" s="201"/>
      <c r="J77" s="201"/>
      <c r="K77" s="201"/>
      <c r="L77" s="201"/>
    </row>
    <row r="78" spans="1:12" ht="322.5" customHeight="1">
      <c r="A78" s="201"/>
      <c r="B78" s="201"/>
      <c r="C78" s="201"/>
      <c r="D78" s="201"/>
      <c r="E78" s="201"/>
      <c r="F78" s="201"/>
      <c r="G78" s="201"/>
      <c r="H78" s="201"/>
      <c r="I78" s="201"/>
      <c r="J78" s="201"/>
      <c r="K78" s="201"/>
      <c r="L78" s="201"/>
    </row>
  </sheetData>
  <mergeCells count="3">
    <mergeCell ref="A1:K5"/>
    <mergeCell ref="A6:L55"/>
    <mergeCell ref="A56:L7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F750B-3529-4BED-8EB2-6F0F51036E94}">
  <dimension ref="A1:H30"/>
  <sheetViews>
    <sheetView topLeftCell="A3" workbookViewId="0">
      <selection activeCell="H2" sqref="H2"/>
    </sheetView>
  </sheetViews>
  <sheetFormatPr defaultRowHeight="15"/>
  <cols>
    <col min="1" max="1" width="10.140625" bestFit="1" customWidth="1"/>
    <col min="2" max="2" width="9.7109375" bestFit="1" customWidth="1"/>
    <col min="3" max="3" width="14.42578125" bestFit="1" customWidth="1"/>
    <col min="4" max="4" width="14.7109375" customWidth="1"/>
    <col min="5" max="5" width="14.85546875" customWidth="1"/>
    <col min="6" max="6" width="16.42578125" customWidth="1"/>
    <col min="7" max="7" width="10.85546875" bestFit="1" customWidth="1"/>
  </cols>
  <sheetData>
    <row r="1" spans="1:8">
      <c r="A1" s="6" t="s">
        <v>17</v>
      </c>
      <c r="B1" s="7" t="s">
        <v>18</v>
      </c>
      <c r="C1" s="7" t="s">
        <v>19</v>
      </c>
      <c r="D1" s="7" t="s">
        <v>20</v>
      </c>
      <c r="E1" s="7" t="s">
        <v>21</v>
      </c>
      <c r="F1" s="7" t="s">
        <v>22</v>
      </c>
      <c r="G1" s="7" t="s">
        <v>23</v>
      </c>
      <c r="H1" s="7" t="s">
        <v>24</v>
      </c>
    </row>
    <row r="2" spans="1:8">
      <c r="A2" s="8" t="s">
        <v>25</v>
      </c>
      <c r="B2" s="8">
        <v>0.82</v>
      </c>
      <c r="C2" s="8">
        <v>59</v>
      </c>
      <c r="D2" s="8">
        <v>0.9</v>
      </c>
      <c r="E2" s="8">
        <v>199.375</v>
      </c>
      <c r="F2" s="8">
        <v>75.406000000000006</v>
      </c>
      <c r="G2" s="32">
        <v>0.62160000000000004</v>
      </c>
      <c r="H2" s="8">
        <v>5.1989999999999998</v>
      </c>
    </row>
    <row r="3" spans="1:8">
      <c r="A3" s="8" t="s">
        <v>26</v>
      </c>
      <c r="B3" s="8">
        <v>0.83333299999999999</v>
      </c>
      <c r="C3" s="8">
        <v>14</v>
      </c>
      <c r="D3" s="8">
        <v>1</v>
      </c>
      <c r="E3" s="8">
        <v>140</v>
      </c>
      <c r="F3" s="8">
        <v>34.75</v>
      </c>
      <c r="G3" s="32">
        <v>40</v>
      </c>
      <c r="H3" s="8">
        <v>2.7946080000000002</v>
      </c>
    </row>
    <row r="4" spans="1:8">
      <c r="A4" s="8" t="s">
        <v>27</v>
      </c>
      <c r="B4" s="8">
        <v>1.142857</v>
      </c>
      <c r="C4" s="8">
        <v>11</v>
      </c>
      <c r="D4" s="8">
        <v>0.66666700000000001</v>
      </c>
      <c r="E4" s="8">
        <v>153.1429</v>
      </c>
      <c r="F4" s="8">
        <v>30.714300000000001</v>
      </c>
      <c r="G4" s="32">
        <v>50</v>
      </c>
      <c r="H4" s="8">
        <v>2.5565129999999998</v>
      </c>
    </row>
    <row r="5" spans="1:8">
      <c r="A5" s="8" t="s">
        <v>28</v>
      </c>
      <c r="B5" s="8">
        <v>1.4</v>
      </c>
      <c r="C5" s="8">
        <v>9</v>
      </c>
      <c r="D5" s="8">
        <v>1.6666669999999999</v>
      </c>
      <c r="E5" s="8">
        <v>155.6</v>
      </c>
      <c r="F5" s="8">
        <v>32</v>
      </c>
      <c r="G5" s="32">
        <v>57.14</v>
      </c>
      <c r="H5" s="8">
        <v>3.0623529999999999</v>
      </c>
    </row>
    <row r="6" spans="1:8">
      <c r="A6" s="8" t="s">
        <v>29</v>
      </c>
      <c r="B6" s="8">
        <v>1</v>
      </c>
      <c r="C6" s="8">
        <v>8</v>
      </c>
      <c r="D6" s="8">
        <v>0.33333299999999999</v>
      </c>
      <c r="E6" s="8">
        <v>226.33330000000001</v>
      </c>
      <c r="F6" s="8">
        <v>76</v>
      </c>
      <c r="G6" s="32">
        <v>75</v>
      </c>
      <c r="H6" s="8">
        <v>1.857353</v>
      </c>
    </row>
    <row r="7" spans="1:8">
      <c r="A7" s="8" t="s">
        <v>30</v>
      </c>
      <c r="B7" s="8">
        <v>1.25</v>
      </c>
      <c r="C7" s="8">
        <v>6</v>
      </c>
      <c r="D7" s="8">
        <v>1.5</v>
      </c>
      <c r="E7" s="8">
        <v>286</v>
      </c>
      <c r="F7" s="8">
        <v>33</v>
      </c>
      <c r="G7" s="32">
        <v>40</v>
      </c>
      <c r="H7" s="8">
        <v>2.626471</v>
      </c>
    </row>
    <row r="8" spans="1:8">
      <c r="A8" s="8" t="s">
        <v>31</v>
      </c>
      <c r="B8" s="8">
        <v>0</v>
      </c>
      <c r="C8" s="8">
        <v>2</v>
      </c>
      <c r="D8" s="8">
        <v>1</v>
      </c>
      <c r="E8" s="8">
        <v>191</v>
      </c>
      <c r="F8" s="8">
        <v>47</v>
      </c>
      <c r="G8" s="32">
        <v>0</v>
      </c>
      <c r="H8" s="8">
        <v>1.7455879999999999</v>
      </c>
    </row>
    <row r="9" spans="1:8">
      <c r="A9" s="8" t="s">
        <v>32</v>
      </c>
      <c r="B9" s="8">
        <v>0</v>
      </c>
      <c r="C9" s="8">
        <v>1</v>
      </c>
      <c r="D9" s="8">
        <v>1</v>
      </c>
      <c r="E9" s="8">
        <v>43</v>
      </c>
      <c r="F9" s="8">
        <v>135</v>
      </c>
      <c r="G9" s="32">
        <v>0</v>
      </c>
      <c r="H9" s="8">
        <v>3.135294</v>
      </c>
    </row>
    <row r="10" spans="1:8">
      <c r="A10" s="8" t="s">
        <v>33</v>
      </c>
      <c r="B10" s="8">
        <v>0</v>
      </c>
      <c r="C10" s="8">
        <v>1</v>
      </c>
      <c r="D10" s="8">
        <v>1</v>
      </c>
      <c r="E10" s="8">
        <v>80</v>
      </c>
      <c r="F10" s="8">
        <v>87</v>
      </c>
      <c r="G10" s="32">
        <v>0</v>
      </c>
      <c r="H10" s="8">
        <v>3.135294</v>
      </c>
    </row>
    <row r="11" spans="1:8">
      <c r="A11" s="8" t="s">
        <v>34</v>
      </c>
      <c r="B11" s="8">
        <v>0</v>
      </c>
      <c r="C11" s="8">
        <v>1</v>
      </c>
      <c r="D11" s="8">
        <v>0</v>
      </c>
      <c r="E11" s="8">
        <v>0</v>
      </c>
      <c r="F11" s="8">
        <v>87</v>
      </c>
      <c r="G11" s="32">
        <v>0</v>
      </c>
      <c r="H11" s="8">
        <v>0.135294</v>
      </c>
    </row>
    <row r="12" spans="1:8">
      <c r="A12" t="s">
        <v>35</v>
      </c>
      <c r="C12">
        <v>2</v>
      </c>
    </row>
    <row r="13" spans="1:8">
      <c r="A13" t="s">
        <v>36</v>
      </c>
      <c r="C13">
        <v>1</v>
      </c>
    </row>
    <row r="14" spans="1:8">
      <c r="A14" t="s">
        <v>37</v>
      </c>
      <c r="C14">
        <v>2</v>
      </c>
    </row>
    <row r="17" spans="1:8">
      <c r="A17" s="6" t="s">
        <v>17</v>
      </c>
      <c r="B17" s="7" t="s">
        <v>18</v>
      </c>
      <c r="C17" s="7" t="s">
        <v>19</v>
      </c>
      <c r="D17" s="7" t="s">
        <v>20</v>
      </c>
      <c r="E17" s="7" t="s">
        <v>21</v>
      </c>
      <c r="F17" s="7" t="s">
        <v>22</v>
      </c>
      <c r="G17" s="7" t="s">
        <v>23</v>
      </c>
      <c r="H17" s="7" t="s">
        <v>24</v>
      </c>
    </row>
    <row r="18" spans="1:8">
      <c r="A18" s="8" t="s">
        <v>38</v>
      </c>
      <c r="B18" s="8">
        <v>0.55555600000000005</v>
      </c>
      <c r="C18" s="8">
        <v>30</v>
      </c>
      <c r="D18" s="8">
        <v>2</v>
      </c>
      <c r="E18" s="8">
        <v>166.52940000000001</v>
      </c>
      <c r="F18" s="8">
        <v>48</v>
      </c>
      <c r="G18" s="32">
        <v>50</v>
      </c>
      <c r="H18" s="8">
        <v>5.3475979999999996</v>
      </c>
    </row>
    <row r="19" spans="1:8">
      <c r="A19" s="8" t="s">
        <v>39</v>
      </c>
      <c r="B19" s="8">
        <v>1.285714</v>
      </c>
      <c r="C19" s="8">
        <v>14</v>
      </c>
      <c r="D19" s="8">
        <v>3.6666669999999999</v>
      </c>
      <c r="E19" s="8">
        <v>204.4444</v>
      </c>
      <c r="F19" s="8">
        <v>16.222200000000001</v>
      </c>
      <c r="G19" s="32">
        <v>44.44</v>
      </c>
      <c r="H19" s="8">
        <v>4.4776049999999996</v>
      </c>
    </row>
    <row r="20" spans="1:8">
      <c r="A20" s="8" t="s">
        <v>40</v>
      </c>
      <c r="B20" s="8">
        <v>2.4</v>
      </c>
      <c r="C20" s="8">
        <v>15</v>
      </c>
      <c r="D20" s="8">
        <v>2.6666669999999999</v>
      </c>
      <c r="E20" s="8">
        <v>177.125</v>
      </c>
      <c r="F20" s="8">
        <v>15.625</v>
      </c>
      <c r="G20" s="32">
        <v>41.67</v>
      </c>
      <c r="H20" s="8">
        <v>4.1933829999999999</v>
      </c>
    </row>
    <row r="21" spans="1:8">
      <c r="A21" s="8" t="s">
        <v>41</v>
      </c>
      <c r="B21" s="8">
        <v>0.8</v>
      </c>
      <c r="C21" s="8">
        <v>17</v>
      </c>
      <c r="D21" s="8">
        <v>0.75</v>
      </c>
      <c r="E21" s="8">
        <v>112</v>
      </c>
      <c r="F21" s="8">
        <v>27.142900000000001</v>
      </c>
      <c r="G21" s="32">
        <v>25</v>
      </c>
      <c r="H21" s="8">
        <v>2.1801740000000001</v>
      </c>
    </row>
    <row r="22" spans="1:8">
      <c r="A22" s="8" t="s">
        <v>42</v>
      </c>
      <c r="B22" s="8">
        <v>0.33333299999999999</v>
      </c>
      <c r="C22" s="8">
        <v>4</v>
      </c>
      <c r="D22" s="8">
        <v>4</v>
      </c>
      <c r="E22" s="8">
        <v>98</v>
      </c>
      <c r="F22" s="8">
        <v>58.5</v>
      </c>
      <c r="G22" s="32">
        <v>100</v>
      </c>
      <c r="H22" s="8">
        <v>3.4970720000000002</v>
      </c>
    </row>
    <row r="23" spans="1:8">
      <c r="A23" s="8" t="s">
        <v>43</v>
      </c>
      <c r="B23" s="8">
        <v>2</v>
      </c>
      <c r="C23" s="8">
        <v>4</v>
      </c>
      <c r="D23" s="8">
        <v>3</v>
      </c>
      <c r="E23" s="8">
        <v>114.66670000000001</v>
      </c>
      <c r="F23" s="8">
        <v>17.333300000000001</v>
      </c>
      <c r="G23" s="32">
        <v>50</v>
      </c>
      <c r="H23" s="8">
        <v>3.7290540000000001</v>
      </c>
    </row>
    <row r="24" spans="1:8">
      <c r="A24" s="8" t="s">
        <v>44</v>
      </c>
      <c r="B24" s="8">
        <v>0.33333299999999999</v>
      </c>
      <c r="C24" s="8">
        <v>3</v>
      </c>
      <c r="D24" s="8">
        <v>2</v>
      </c>
      <c r="E24" s="8">
        <v>88.333299999999994</v>
      </c>
      <c r="F24" s="8">
        <v>58.333300000000001</v>
      </c>
      <c r="G24" s="32">
        <v>100</v>
      </c>
      <c r="H24" s="8">
        <v>2.395721</v>
      </c>
    </row>
    <row r="25" spans="1:8">
      <c r="A25" s="8" t="s">
        <v>45</v>
      </c>
      <c r="B25" s="8">
        <v>3</v>
      </c>
      <c r="C25" s="8">
        <v>2</v>
      </c>
      <c r="D25" s="8">
        <v>2</v>
      </c>
      <c r="E25" s="8">
        <v>163</v>
      </c>
      <c r="F25" s="8">
        <v>0</v>
      </c>
      <c r="G25" s="32">
        <v>0</v>
      </c>
      <c r="H25" s="8">
        <v>3.8277030000000001</v>
      </c>
    </row>
    <row r="26" spans="1:8">
      <c r="A26" s="8" t="s">
        <v>46</v>
      </c>
      <c r="B26" s="8">
        <v>1</v>
      </c>
      <c r="C26" s="8">
        <v>2</v>
      </c>
      <c r="D26" s="8">
        <v>2</v>
      </c>
      <c r="E26" s="8">
        <v>144</v>
      </c>
      <c r="F26" s="8">
        <v>27</v>
      </c>
      <c r="G26" s="32">
        <v>100</v>
      </c>
      <c r="H26" s="8">
        <v>3.4277030000000002</v>
      </c>
    </row>
    <row r="27" spans="1:8">
      <c r="A27" s="8" t="s">
        <v>47</v>
      </c>
      <c r="B27" s="8">
        <v>1</v>
      </c>
      <c r="C27" s="8">
        <v>2</v>
      </c>
      <c r="D27" s="8">
        <v>0</v>
      </c>
      <c r="E27" s="8">
        <v>158</v>
      </c>
      <c r="F27" s="8">
        <v>33</v>
      </c>
      <c r="G27" s="32">
        <v>0</v>
      </c>
      <c r="H27" s="8">
        <v>0.326351</v>
      </c>
    </row>
    <row r="28" spans="1:8">
      <c r="A28" s="8"/>
      <c r="B28" s="8"/>
      <c r="C28" s="8"/>
      <c r="D28" s="8"/>
      <c r="E28" s="8"/>
      <c r="F28" s="8"/>
      <c r="G28" s="8"/>
      <c r="H28" s="8"/>
    </row>
    <row r="29" spans="1:8">
      <c r="A29" s="8"/>
      <c r="B29" s="8"/>
      <c r="C29" s="8"/>
      <c r="D29" s="8"/>
      <c r="E29" s="8"/>
      <c r="F29" s="8"/>
      <c r="G29" s="8"/>
      <c r="H29" s="8"/>
    </row>
    <row r="30" spans="1:8">
      <c r="A30" s="8"/>
      <c r="B30" s="8"/>
      <c r="C30" s="8"/>
      <c r="D30" s="8"/>
      <c r="E30" s="8"/>
      <c r="F30" s="8"/>
      <c r="G30" s="8"/>
      <c r="H30" s="8"/>
    </row>
  </sheetData>
  <sortState xmlns:xlrd2="http://schemas.microsoft.com/office/spreadsheetml/2017/richdata2" ref="A18:H27">
    <sortCondition descending="1" ref="C18:C27"/>
  </sortState>
  <conditionalFormatting sqref="C2:C11">
    <cfRule type="colorScale" priority="5">
      <colorScale>
        <cfvo type="min"/>
        <cfvo type="percentile" val="50"/>
        <cfvo type="max"/>
        <color rgb="FFF8696B"/>
        <color rgb="FFFFEB84"/>
        <color rgb="FF63BE7B"/>
      </colorScale>
    </cfRule>
  </conditionalFormatting>
  <conditionalFormatting sqref="C2:C14">
    <cfRule type="colorScale" priority="1">
      <colorScale>
        <cfvo type="min"/>
        <cfvo type="percentile" val="50"/>
        <cfvo type="max"/>
        <color rgb="FFF8696B"/>
        <color rgb="FFFFEB84"/>
        <color rgb="FF63BE7B"/>
      </colorScale>
    </cfRule>
    <cfRule type="colorScale" priority="2">
      <colorScale>
        <cfvo type="min"/>
        <cfvo type="percentile" val="50"/>
        <cfvo type="max"/>
        <color rgb="FFF8696B"/>
        <color rgb="FFFFEB84"/>
        <color rgb="FF63BE7B"/>
      </colorScale>
    </cfRule>
  </conditionalFormatting>
  <conditionalFormatting sqref="C2:C15">
    <cfRule type="colorScale" priority="4">
      <colorScale>
        <cfvo type="min"/>
        <cfvo type="percentile" val="50"/>
        <cfvo type="max"/>
        <color rgb="FFF8696B"/>
        <color rgb="FFFFEB84"/>
        <color rgb="FF63BE7B"/>
      </colorScale>
    </cfRule>
  </conditionalFormatting>
  <conditionalFormatting sqref="C18:C30">
    <cfRule type="colorScale" priority="3">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6FC69-49E7-4DE4-8A42-9A13B057368C}">
  <dimension ref="A1:AM79"/>
  <sheetViews>
    <sheetView workbookViewId="0">
      <pane ySplit="1" topLeftCell="A2" activePane="bottomLeft" state="frozen"/>
      <selection pane="bottomLeft" activeCell="B13" sqref="B13"/>
      <selection activeCell="L1" sqref="L1"/>
    </sheetView>
  </sheetViews>
  <sheetFormatPr defaultColWidth="9.140625" defaultRowHeight="15"/>
  <cols>
    <col min="1" max="1" width="17" customWidth="1"/>
    <col min="2" max="2" width="12.7109375" customWidth="1"/>
    <col min="3" max="3" width="14.5703125" customWidth="1"/>
    <col min="4" max="4" width="14.140625" customWidth="1"/>
    <col min="5" max="5" width="15.5703125" customWidth="1"/>
    <col min="6" max="6" width="15.85546875" bestFit="1" customWidth="1"/>
    <col min="7" max="7" width="8.140625" customWidth="1"/>
    <col min="8" max="8" width="8.28515625" customWidth="1"/>
    <col min="9" max="9" width="8" customWidth="1"/>
    <col min="10" max="10" width="6.42578125" customWidth="1"/>
    <col min="11" max="11" width="8.7109375" customWidth="1"/>
    <col min="12" max="12" width="7.5703125" customWidth="1"/>
    <col min="13" max="13" width="7.7109375" customWidth="1"/>
    <col min="14" max="14" width="7.5703125" customWidth="1"/>
    <col min="15" max="15" width="7.7109375" customWidth="1"/>
    <col min="16" max="16" width="8.140625" customWidth="1"/>
    <col min="17" max="17" width="7.28515625" customWidth="1"/>
    <col min="18" max="18" width="9.28515625" customWidth="1"/>
    <col min="19" max="19" width="9.5703125" customWidth="1"/>
    <col min="20" max="20" width="7.85546875" customWidth="1"/>
    <col min="21" max="21" width="8.85546875" customWidth="1"/>
    <col min="22" max="22" width="7.5703125" customWidth="1"/>
    <col min="26" max="26" width="11" bestFit="1" customWidth="1"/>
    <col min="27" max="29" width="11" customWidth="1"/>
    <col min="30" max="30" width="10.28515625" customWidth="1"/>
    <col min="31" max="31" width="8.28515625" customWidth="1"/>
    <col min="32" max="32" width="14.5703125" customWidth="1"/>
    <col min="33" max="33" width="18.42578125" customWidth="1"/>
    <col min="34" max="34" width="15.85546875" customWidth="1"/>
    <col min="35" max="35" width="15.7109375" customWidth="1"/>
    <col min="36" max="36" width="14.85546875" customWidth="1"/>
    <col min="37" max="37" width="15.28515625" customWidth="1"/>
    <col min="38" max="38" width="11.85546875" customWidth="1"/>
  </cols>
  <sheetData>
    <row r="1" spans="1:39" ht="24.75" customHeight="1">
      <c r="A1" s="4" t="s">
        <v>48</v>
      </c>
      <c r="B1" s="4" t="s">
        <v>49</v>
      </c>
      <c r="C1" s="4" t="s">
        <v>50</v>
      </c>
      <c r="D1" s="4" t="s">
        <v>51</v>
      </c>
      <c r="E1" s="4" t="s">
        <v>52</v>
      </c>
      <c r="F1" s="4" t="s">
        <v>53</v>
      </c>
      <c r="G1" s="4" t="s">
        <v>54</v>
      </c>
      <c r="H1" s="4" t="s">
        <v>55</v>
      </c>
      <c r="I1" s="4" t="s">
        <v>56</v>
      </c>
      <c r="J1" s="4" t="s">
        <v>57</v>
      </c>
      <c r="K1" s="4" t="s">
        <v>58</v>
      </c>
      <c r="L1" s="4" t="s">
        <v>59</v>
      </c>
      <c r="M1" s="4" t="s">
        <v>60</v>
      </c>
      <c r="N1" s="4" t="s">
        <v>61</v>
      </c>
      <c r="O1" s="4" t="s">
        <v>62</v>
      </c>
      <c r="P1" s="4" t="s">
        <v>63</v>
      </c>
      <c r="Q1" s="4" t="s">
        <v>64</v>
      </c>
      <c r="R1" s="4" t="s">
        <v>65</v>
      </c>
      <c r="S1" s="4" t="s">
        <v>66</v>
      </c>
      <c r="T1" s="4" t="s">
        <v>67</v>
      </c>
      <c r="U1" s="4" t="s">
        <v>68</v>
      </c>
      <c r="V1" s="4" t="s">
        <v>69</v>
      </c>
      <c r="W1" s="4" t="s">
        <v>70</v>
      </c>
      <c r="X1" s="1"/>
      <c r="Y1" s="1"/>
      <c r="Z1" s="1"/>
      <c r="AA1" s="1"/>
      <c r="AB1" s="1"/>
      <c r="AC1" s="1"/>
      <c r="AD1" s="1"/>
      <c r="AE1" s="1"/>
    </row>
    <row r="2" spans="1:39">
      <c r="A2" s="1" t="str">
        <f>IF(W2&gt;7.5, "TIER 1",
IF(W2&gt;6.5, "TIER 2",
IF(W2&gt;5.5, "TIER 3",
IF(W2&gt;4.5, "TIER 4",
IF(W2&gt;3.5, "TIER 5",
IF(W2&gt;2,  "TIER 6",
IF(W2&gt;0,  "TIER 7",
"TIER 8")))))))</f>
        <v>TIER 1</v>
      </c>
      <c r="B2" s="1" t="s">
        <v>71</v>
      </c>
      <c r="C2" s="8" t="s">
        <v>72</v>
      </c>
      <c r="D2" s="8">
        <f>(VLOOKUP("Glonk.MB",ImportTable16[],2,FALSE) + VLOOKUP("Glonk..",ImportTable16[],2,FALSE))/2</f>
        <v>0.81384900000000004</v>
      </c>
      <c r="E2" s="8">
        <f>(VLOOKUP("Glonk.MB",ImportTable16[],3,FALSE) + VLOOKUP("Glonk..",ImportTable16[],3,FALSE))/2</f>
        <v>0.89741674999999999</v>
      </c>
      <c r="F2" s="8">
        <f>(VLOOKUP("Glonk.MB",ImportTable16[],4,FALSE) + VLOOKUP("Glonk..",ImportTable16[],4,FALSE))</f>
        <v>563</v>
      </c>
      <c r="G2" s="8">
        <f>(VLOOKUP("Glonk.MB",ImportTable16[],5,FALSE) + VLOOKUP("Glonk..",ImportTable16[],5,FALSE))</f>
        <v>735</v>
      </c>
      <c r="H2" s="8">
        <f>(VLOOKUP("Glonk.MB",ImportTable16[],6,FALSE) + VLOOKUP("Glonk..",ImportTable16[],6,FALSE))</f>
        <v>805</v>
      </c>
      <c r="I2" s="8">
        <f>(VLOOKUP("Glonk.MB",ImportTable16[],7,FALSE) + VLOOKUP("Glonk..",ImportTable16[],7,FALSE))</f>
        <v>488</v>
      </c>
      <c r="J2" s="77">
        <f>(VLOOKUP("Glonk.MB",ImportTable16[],8,FALSE) + VLOOKUP("Glonk..",ImportTable16[],8,FALSE))/2</f>
        <v>49.869237500000004</v>
      </c>
      <c r="K2" s="77">
        <f>(VLOOKUP("Glonk.MB",ImportTable16[],9,FALSE) + VLOOKUP("Glonk..",ImportTable16[],9,FALSE))/2</f>
        <v>62.745215000000002</v>
      </c>
      <c r="L2" s="8">
        <f>(VLOOKUP("Glonk.MB",ImportTable16[],11,FALSE) + VLOOKUP("Glonk..",ImportTable16[],11,FALSE))</f>
        <v>197</v>
      </c>
      <c r="M2" s="8">
        <f>(VLOOKUP("Glonk.MB",ImportTable16[],10,FALSE) + VLOOKUP("Glonk..",ImportTable16[],10,FALSE))</f>
        <v>239</v>
      </c>
      <c r="N2" s="3">
        <f>IFERROR(Table2572[[#This Row],[Ranked Wins]]/(Table2572[[#This Row],[Ranked Wins]]+Table2572[[#This Row],[Ranked Losses]]),0)</f>
        <v>0.45183486238532111</v>
      </c>
      <c r="O2" s="3">
        <f>IFERROR(Table2572[[#This Row],[Attack Wins]]/(Table2572[[#This Row],[Attack Wins]]+Table2572[[#This Row],[Attack Losses]]),0)</f>
        <v>0.4337442218798151</v>
      </c>
      <c r="P2" s="3">
        <f>IFERROR(Table2572[[#This Row],[Defense Wins]]/(Table2572[[#This Row],[Defense Wins]]+Table2572[[#This Row],[Defense Losses]]),0)</f>
        <v>0.62258313998453207</v>
      </c>
      <c r="Q2" s="1" cm="1">
        <f t="array" ref="Q2">IFERROR(SUMPRODUCT((#REF!="Glonk..")*#REF!),0)+IFERROR(SUMPRODUCT((#REF!="Glonk.MB")*#REF!),0)</f>
        <v>0</v>
      </c>
      <c r="R2" s="1" cm="1">
        <f t="array" ref="R2">IFERROR(SUMPRODUCT((#REF!="Glonk..")*#REF!),0)+IFERROR(SUMPRODUCT((#REF!="Glonk.MB")*#REF!),0)</f>
        <v>0</v>
      </c>
      <c r="S2" s="1">
        <f>Table2572[[#This Row],[Wins in Stacks]]+Table2572[[#This Row],[Losses in Stacks]]</f>
        <v>0</v>
      </c>
      <c r="T2" s="3">
        <f>IFERROR(Table2572[[#This Row],[Wins in Stacks]]/Table2572[[#This Row],[Total Games In Stacks]],0)</f>
        <v>0</v>
      </c>
      <c r="U2" s="75">
        <v>0.8</v>
      </c>
      <c r="V2" s="74">
        <v>1</v>
      </c>
      <c r="W2" s="20" cm="1">
        <f t="array" ref="W2">(Table2572[[#This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8.7377746257681181</v>
      </c>
      <c r="X2" s="16" t="s">
        <v>73</v>
      </c>
      <c r="Y2" s="202" t="s">
        <v>74</v>
      </c>
      <c r="Z2" s="202"/>
      <c r="AA2" s="202"/>
      <c r="AB2" s="202"/>
      <c r="AC2" s="202"/>
      <c r="AD2" s="202"/>
      <c r="AE2" s="202"/>
      <c r="AF2" s="202"/>
      <c r="AG2" s="203" t="s">
        <v>75</v>
      </c>
      <c r="AH2" s="203"/>
      <c r="AI2" s="203"/>
      <c r="AJ2" s="203"/>
      <c r="AK2" s="203"/>
      <c r="AL2" s="203"/>
      <c r="AM2" s="203"/>
    </row>
    <row r="3" spans="1:39">
      <c r="A3" s="1" t="str">
        <f>IF(W3&gt;7.5, "TIER 1",
IF(W3&gt;6.5, "TIER 2",
IF(W3&gt;5.5, "TIER 3",
IF(W3&gt;4.5, "TIER 4",
IF(W3&gt;3.5, "TIER 5",
IF(W3&gt;2,  "TIER 6",
IF(W3&gt;0,  "TIER 7",
"TIER 8")))))))</f>
        <v>TIER 1</v>
      </c>
      <c r="B3" s="1" t="s">
        <v>76</v>
      </c>
      <c r="C3" s="8" t="s">
        <v>77</v>
      </c>
      <c r="D3" s="8">
        <f>VLOOKUP(Table2572[[#This Row],[Player]],ImportTable16[],2,FALSE)</f>
        <v>1.1807574999999999</v>
      </c>
      <c r="E3" s="8">
        <f>VLOOKUP(Table2572[[#This Row],[Player]],ImportTable16[],3,FALSE)</f>
        <v>1.5288225</v>
      </c>
      <c r="F3" s="8">
        <f>VLOOKUP(Table2572[[#This Row],[Player]],ImportTable16[],4,FALSE)</f>
        <v>695</v>
      </c>
      <c r="G3" s="8">
        <f>VLOOKUP(Table2572[[#This Row],[Player]],ImportTable16[],5,FALSE)</f>
        <v>901</v>
      </c>
      <c r="H3" s="8">
        <f>VLOOKUP(Table2572[[#This Row],[Player]],ImportTable16[],6,FALSE)</f>
        <v>974</v>
      </c>
      <c r="I3" s="8">
        <f>VLOOKUP(Table2572[[#This Row],[Player]],ImportTable16[],7,FALSE)</f>
        <v>624</v>
      </c>
      <c r="J3" s="77">
        <f>VLOOKUP(Table2572[[#This Row],[Player]],ImportTable16[],8,FALSE)</f>
        <v>58.333649999999999</v>
      </c>
      <c r="K3" s="77">
        <f>VLOOKUP(Table2572[[#This Row],[Player]],ImportTable16[],9,FALSE)</f>
        <v>69.221564999999998</v>
      </c>
      <c r="L3" s="8">
        <f>VLOOKUP(Table2572[[#This Row],[Player]],ImportTable16[],10,FALSE)</f>
        <v>290</v>
      </c>
      <c r="M3" s="8">
        <f>VLOOKUP(Table2572[[#This Row],[Player]],ImportTable16[],11,FALSE)</f>
        <v>249</v>
      </c>
      <c r="N3" s="3">
        <f>IFERROR(Table2572[[#This Row],[Ranked Wins]]/(Table2572[[#This Row],[Ranked Wins]]+Table2572[[#This Row],[Ranked Losses]]),0)</f>
        <v>0.53803339517625237</v>
      </c>
      <c r="O3" s="3">
        <f>IFERROR(Table2572[[#This Row],[Attack Wins]]/(Table2572[[#This Row],[Attack Wins]]+Table2572[[#This Row],[Attack Losses]]),0)</f>
        <v>0.43546365914786966</v>
      </c>
      <c r="P3" s="3">
        <f>IFERROR(Table2572[[#This Row],[Defense Wins]]/(Table2572[[#This Row],[Defense Wins]]+Table2572[[#This Row],[Defense Losses]]),0)</f>
        <v>0.60951188986232796</v>
      </c>
      <c r="Q3" s="1" cm="1">
        <f t="array" ref="Q3">IFERROR(SUMPRODUCT((#REF!=Table2572[[#This Row],[Player]])*#REF!),0)</f>
        <v>0</v>
      </c>
      <c r="R3" s="1" cm="1">
        <f t="array" ref="R3">IFERROR(SUMPRODUCT((#REF!=Table2572[[#This Row],[Player]])*#REF!),0)</f>
        <v>0</v>
      </c>
      <c r="S3" s="1">
        <f>Table2572[[#This Row],[Wins in Stacks]]+Table2572[[#This Row],[Losses in Stacks]]</f>
        <v>0</v>
      </c>
      <c r="T3" s="3">
        <f>IFERROR(Table2572[[#This Row],[Wins in Stacks]]/Table2572[[#This Row],[Total Games In Stacks]],0)</f>
        <v>0</v>
      </c>
      <c r="U3" s="75">
        <v>0.6</v>
      </c>
      <c r="V3" s="74">
        <v>2</v>
      </c>
      <c r="W3" s="20" cm="1">
        <f t="array" ref="W3">(Table2572[[#This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8.9786323251359317</v>
      </c>
      <c r="X3" s="18" t="s">
        <v>78</v>
      </c>
      <c r="Y3" s="204" t="s">
        <v>79</v>
      </c>
      <c r="Z3" s="204"/>
      <c r="AA3" s="204"/>
      <c r="AB3" s="204"/>
      <c r="AC3" s="204"/>
      <c r="AD3" s="204"/>
      <c r="AE3" s="204"/>
      <c r="AF3" s="204"/>
      <c r="AG3" s="203" t="s">
        <v>80</v>
      </c>
      <c r="AH3" s="203"/>
      <c r="AI3" s="203"/>
      <c r="AJ3" s="203"/>
      <c r="AK3" s="203"/>
      <c r="AL3" s="203"/>
      <c r="AM3" s="203"/>
    </row>
    <row r="4" spans="1:39">
      <c r="A4" s="1" t="str">
        <f>IF(W4&gt;7.5, "TIER 1",
IF(W4&gt;6.5, "TIER 2",
IF(W4&gt;5.5, "TIER 3",
IF(W4&gt;4.5, "TIER 4",
IF(W4&gt;3.5, "TIER 5",
IF(W4&gt;2,  "TIER 6",
IF(W4&gt;0,  "TIER 7",
"TIER 8")))))))</f>
        <v>TIER 1</v>
      </c>
      <c r="B4" s="1" t="s">
        <v>8</v>
      </c>
      <c r="C4" s="8" t="s">
        <v>81</v>
      </c>
      <c r="D4" s="8">
        <f>VLOOKUP(Table2572[[#This Row],[Player]],ImportTable16[],2,FALSE)</f>
        <v>0.730908</v>
      </c>
      <c r="E4" s="8">
        <f>VLOOKUP(Table2572[[#This Row],[Player]],ImportTable16[],3,FALSE)</f>
        <v>1.037444</v>
      </c>
      <c r="F4" s="8">
        <f>VLOOKUP(Table2572[[#This Row],[Player]],ImportTable16[],4,FALSE)</f>
        <v>252</v>
      </c>
      <c r="G4" s="8">
        <f>VLOOKUP(Table2572[[#This Row],[Player]],ImportTable16[],5,FALSE)</f>
        <v>408</v>
      </c>
      <c r="H4" s="8">
        <f>VLOOKUP(Table2572[[#This Row],[Player]],ImportTable16[],6,FALSE)</f>
        <v>398</v>
      </c>
      <c r="I4" s="8">
        <f>VLOOKUP(Table2572[[#This Row],[Player]],ImportTable16[],7,FALSE)</f>
        <v>269</v>
      </c>
      <c r="J4" s="77">
        <f>VLOOKUP(Table2572[[#This Row],[Player]],ImportTable16[],8,FALSE)</f>
        <v>53.245069999999998</v>
      </c>
      <c r="K4" s="77">
        <f>VLOOKUP(Table2572[[#This Row],[Player]],ImportTable16[],9,FALSE)</f>
        <v>67.370315000000005</v>
      </c>
      <c r="L4" s="8">
        <f>VLOOKUP(Table2572[[#This Row],[Player]],ImportTable16[],10,FALSE)</f>
        <v>101</v>
      </c>
      <c r="M4" s="8">
        <f>VLOOKUP(Table2572[[#This Row],[Player]],ImportTable16[],11,FALSE)</f>
        <v>112</v>
      </c>
      <c r="N4" s="3">
        <f>IFERROR(Table2572[[#This Row],[Ranked Wins]]/(Table2572[[#This Row],[Ranked Wins]]+Table2572[[#This Row],[Ranked Losses]]),0)</f>
        <v>0.47417840375586856</v>
      </c>
      <c r="O4" s="3">
        <f>IFERROR(Table2572[[#This Row],[Attack Wins]]/(Table2572[[#This Row],[Attack Wins]]+Table2572[[#This Row],[Attack Losses]]),0)</f>
        <v>0.38181818181818183</v>
      </c>
      <c r="P4" s="3">
        <f>IFERROR(Table2572[[#This Row],[Defense Wins]]/(Table2572[[#This Row],[Defense Wins]]+Table2572[[#This Row],[Defense Losses]]),0)</f>
        <v>0.59670164917541224</v>
      </c>
      <c r="Q4" s="1" cm="1">
        <f t="array" ref="Q4">IFERROR(SUMPRODUCT((#REF!=Table2572[[#This Row],[Player]])*#REF!),0)</f>
        <v>0</v>
      </c>
      <c r="R4" s="1" cm="1">
        <f t="array" ref="R4">IFERROR(SUMPRODUCT((#REF!=Table2572[[#This Row],[Player]])*#REF!),0)</f>
        <v>0</v>
      </c>
      <c r="S4" s="1">
        <f>Table2572[[#This Row],[Wins in Stacks]]+Table2572[[#This Row],[Losses in Stacks]]</f>
        <v>0</v>
      </c>
      <c r="T4" s="3">
        <f>IFERROR(Table2572[[#This Row],[Wins in Stacks]]/Table2572[[#This Row],[Total Games In Stacks]],0)</f>
        <v>0</v>
      </c>
      <c r="U4" s="75">
        <v>0.75</v>
      </c>
      <c r="V4" s="21">
        <v>2</v>
      </c>
      <c r="W4" s="20" cm="1">
        <f t="array" ref="W4">(Table2572[[#This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7.5403142307660591</v>
      </c>
      <c r="X4" s="17" t="s">
        <v>82</v>
      </c>
      <c r="Y4" s="205" t="s">
        <v>83</v>
      </c>
      <c r="Z4" s="205"/>
      <c r="AA4" s="205"/>
      <c r="AB4" s="205"/>
      <c r="AC4" s="205"/>
      <c r="AD4" s="205"/>
      <c r="AE4" s="205"/>
      <c r="AF4" s="205"/>
      <c r="AG4" s="203" t="s">
        <v>84</v>
      </c>
      <c r="AH4" s="203"/>
      <c r="AI4" s="203"/>
      <c r="AJ4" s="203"/>
      <c r="AK4" s="203"/>
      <c r="AL4" s="203"/>
      <c r="AM4" s="203"/>
    </row>
    <row r="5" spans="1:39">
      <c r="A5" s="1" t="str">
        <f>IF(W5&gt;7.5, "TIER 1",
IF(W5&gt;6.5, "TIER 2",
IF(W5&gt;5.5, "TIER 3",
IF(W5&gt;4.5, "TIER 4",
IF(W5&gt;3.5, "TIER 5",
IF(W5&gt;2,  "TIER 6",
IF(W5&gt;0,  "TIER 7",
"TIER 8")))))))</f>
        <v>TIER 3</v>
      </c>
      <c r="B5" s="1" t="s">
        <v>85</v>
      </c>
      <c r="C5" s="8" t="s">
        <v>86</v>
      </c>
      <c r="D5" s="8">
        <f>VLOOKUP(Table2572[[#This Row],[Player]],ImportTable16[],2,FALSE)</f>
        <v>1.1572944999999999</v>
      </c>
      <c r="E5" s="8">
        <f>VLOOKUP(Table2572[[#This Row],[Player]],ImportTable16[],3,FALSE)</f>
        <v>1.2406765</v>
      </c>
      <c r="F5" s="8">
        <f>VLOOKUP(Table2572[[#This Row],[Player]],ImportTable16[],4,FALSE)</f>
        <v>231</v>
      </c>
      <c r="G5" s="8">
        <f>VLOOKUP(Table2572[[#This Row],[Player]],ImportTable16[],5,FALSE)</f>
        <v>271</v>
      </c>
      <c r="H5" s="8">
        <f>VLOOKUP(Table2572[[#This Row],[Player]],ImportTable16[],6,FALSE)</f>
        <v>292</v>
      </c>
      <c r="I5" s="8">
        <f>VLOOKUP(Table2572[[#This Row],[Player]],ImportTable16[],7,FALSE)</f>
        <v>194</v>
      </c>
      <c r="J5" s="77">
        <f>VLOOKUP(Table2572[[#This Row],[Player]],ImportTable16[],8,FALSE)</f>
        <v>56.890625</v>
      </c>
      <c r="K5" s="77">
        <f>VLOOKUP(Table2572[[#This Row],[Player]],ImportTable16[],9,FALSE)</f>
        <v>61.063580000000002</v>
      </c>
      <c r="L5" s="8">
        <f>VLOOKUP(Table2572[[#This Row],[Player]],ImportTable16[],10,FALSE)</f>
        <v>78</v>
      </c>
      <c r="M5" s="8">
        <f>VLOOKUP(Table2572[[#This Row],[Player]],ImportTable16[],11,FALSE)</f>
        <v>67</v>
      </c>
      <c r="N5" s="3">
        <f>IFERROR(Table2572[[#This Row],[Ranked Wins]]/(Table2572[[#This Row],[Ranked Wins]]+Table2572[[#This Row],[Ranked Losses]]),0)</f>
        <v>0.53793103448275859</v>
      </c>
      <c r="O5" s="3">
        <f>IFERROR(Table2572[[#This Row],[Attack Wins]]/(Table2572[[#This Row],[Attack Wins]]+Table2572[[#This Row],[Attack Losses]]),0)</f>
        <v>0.46015936254980078</v>
      </c>
      <c r="P5" s="3">
        <f>IFERROR(Table2572[[#This Row],[Defense Wins]]/(Table2572[[#This Row],[Defense Wins]]+Table2572[[#This Row],[Defense Losses]]),0)</f>
        <v>0.60082304526748975</v>
      </c>
      <c r="Q5" s="1" cm="1">
        <f t="array" ref="Q5">IFERROR(SUMPRODUCT((#REF!=Table2572[[#This Row],[Player]])*#REF!),0)</f>
        <v>0</v>
      </c>
      <c r="R5" s="1" cm="1">
        <f t="array" ref="R5">IFERROR(SUMPRODUCT((#REF!=Table2572[[#This Row],[Player]])*#REF!),0)</f>
        <v>0</v>
      </c>
      <c r="S5" s="1">
        <f>Table2572[[#This Row],[Wins in Stacks]]+Table2572[[#This Row],[Losses in Stacks]]</f>
        <v>0</v>
      </c>
      <c r="T5" s="3">
        <f>IFERROR(Table2572[[#This Row],[Wins in Stacks]]/Table2572[[#This Row],[Total Games In Stacks]],0)</f>
        <v>0</v>
      </c>
      <c r="U5" s="75">
        <v>0.5</v>
      </c>
      <c r="V5" s="21">
        <v>3</v>
      </c>
      <c r="W5" s="20" cm="1">
        <f t="array" ref="W5">(Table2572[[#This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5.8659673062719246</v>
      </c>
      <c r="X5" s="13" t="s">
        <v>87</v>
      </c>
      <c r="Y5" s="206" t="s">
        <v>88</v>
      </c>
      <c r="Z5" s="206"/>
      <c r="AA5" s="206"/>
      <c r="AB5" s="206"/>
      <c r="AC5" s="206"/>
      <c r="AD5" s="206"/>
      <c r="AE5" s="206"/>
      <c r="AF5" s="206"/>
      <c r="AG5" s="203" t="s">
        <v>89</v>
      </c>
      <c r="AH5" s="203"/>
      <c r="AI5" s="203"/>
      <c r="AJ5" s="203"/>
      <c r="AK5" s="203"/>
      <c r="AL5" s="203"/>
      <c r="AM5" s="203"/>
    </row>
    <row r="6" spans="1:39" ht="16.5" customHeight="1">
      <c r="A6" s="1" t="str">
        <f>IF(W6&gt;7.5, "TIER 1",
IF(W6&gt;6.5, "TIER 2",
IF(W6&gt;5.5, "TIER 3",
IF(W6&gt;4.5, "TIER 4",
IF(W6&gt;3.5, "TIER 5",
IF(W6&gt;2,  "TIER 6",
IF(W6&gt;0,  "TIER 7",
"TIER 8")))))))</f>
        <v>TIER 3</v>
      </c>
      <c r="B6" s="1" t="s">
        <v>90</v>
      </c>
      <c r="C6" s="8" t="s">
        <v>91</v>
      </c>
      <c r="D6" s="8">
        <f>VLOOKUP(Table2572[[#This Row],[Player]],ImportTable16[],2,FALSE)</f>
        <v>1.0763855</v>
      </c>
      <c r="E6" s="8">
        <f>VLOOKUP(Table2572[[#This Row],[Player]],ImportTable16[],3,FALSE)</f>
        <v>1.1350935</v>
      </c>
      <c r="F6" s="8">
        <f>VLOOKUP(Table2572[[#This Row],[Player]],ImportTable16[],4,FALSE)</f>
        <v>214</v>
      </c>
      <c r="G6" s="8">
        <f>VLOOKUP(Table2572[[#This Row],[Player]],ImportTable16[],5,FALSE)</f>
        <v>264</v>
      </c>
      <c r="H6" s="8">
        <f>VLOOKUP(Table2572[[#This Row],[Player]],ImportTable16[],6,FALSE)</f>
        <v>273</v>
      </c>
      <c r="I6" s="8">
        <f>VLOOKUP(Table2572[[#This Row],[Player]],ImportTable16[],7,FALSE)</f>
        <v>189</v>
      </c>
      <c r="J6" s="77">
        <f>VLOOKUP(Table2572[[#This Row],[Player]],ImportTable16[],8,FALSE)</f>
        <v>49.266530000000003</v>
      </c>
      <c r="K6" s="77">
        <f>VLOOKUP(Table2572[[#This Row],[Player]],ImportTable16[],9,FALSE)</f>
        <v>60.679285</v>
      </c>
      <c r="L6" s="8">
        <f>VLOOKUP(Table2572[[#This Row],[Player]],ImportTable16[],10,FALSE)</f>
        <v>81</v>
      </c>
      <c r="M6" s="8">
        <f>VLOOKUP(Table2572[[#This Row],[Player]],ImportTable16[],11,FALSE)</f>
        <v>85</v>
      </c>
      <c r="N6" s="3">
        <f>IFERROR(Table2572[[#This Row],[Ranked Wins]]/(Table2572[[#This Row],[Ranked Wins]]+Table2572[[#This Row],[Ranked Losses]]),0)</f>
        <v>0.48795180722891568</v>
      </c>
      <c r="O6" s="3">
        <f>IFERROR(Table2572[[#This Row],[Attack Wins]]/(Table2572[[#This Row],[Attack Wins]]+Table2572[[#This Row],[Attack Losses]]),0)</f>
        <v>0.44769874476987448</v>
      </c>
      <c r="P6" s="3">
        <f>IFERROR(Table2572[[#This Row],[Defense Wins]]/(Table2572[[#This Row],[Defense Wins]]+Table2572[[#This Row],[Defense Losses]]),0)</f>
        <v>0.59090909090909094</v>
      </c>
      <c r="Q6" s="1" cm="1">
        <f t="array" ref="Q6">IFERROR(SUMPRODUCT((#REF!=Table2572[[#This Row],[Player]])*#REF!),0)</f>
        <v>0</v>
      </c>
      <c r="R6" s="1" cm="1">
        <f t="array" ref="R6">IFERROR(SUMPRODUCT((#REF!=Table2572[[#This Row],[Player]])*#REF!),0)</f>
        <v>0</v>
      </c>
      <c r="S6" s="1">
        <f>Table2572[[#This Row],[Wins in Stacks]]+Table2572[[#This Row],[Losses in Stacks]]</f>
        <v>0</v>
      </c>
      <c r="T6" s="3">
        <f>IFERROR(Table2572[[#This Row],[Wins in Stacks]]/Table2572[[#This Row],[Total Games In Stacks]],0)</f>
        <v>0</v>
      </c>
      <c r="U6" s="75">
        <v>0.6</v>
      </c>
      <c r="V6" s="74">
        <v>2</v>
      </c>
      <c r="W6" s="20" cm="1">
        <f t="array" ref="W6">(Table2572[[#This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6.1550983123502441</v>
      </c>
      <c r="X6" s="14" t="s">
        <v>92</v>
      </c>
      <c r="Y6" s="207" t="s">
        <v>93</v>
      </c>
      <c r="Z6" s="207"/>
      <c r="AA6" s="207"/>
      <c r="AB6" s="207"/>
      <c r="AC6" s="207"/>
      <c r="AD6" s="207"/>
      <c r="AE6" s="207"/>
      <c r="AF6" s="207"/>
      <c r="AG6" s="203" t="s">
        <v>94</v>
      </c>
      <c r="AH6" s="203"/>
      <c r="AI6" s="203"/>
      <c r="AJ6" s="203"/>
      <c r="AK6" s="203"/>
      <c r="AL6" s="203"/>
      <c r="AM6" s="203"/>
    </row>
    <row r="7" spans="1:39">
      <c r="A7" s="1" t="str">
        <f>IF(W7&gt;7.5, "TIER 1",
IF(W7&gt;6.5, "TIER 2",
IF(W7&gt;5.5, "TIER 3",
IF(W7&gt;4.5, "TIER 4",
IF(W7&gt;3.5, "TIER 5",
IF(W7&gt;2,  "TIER 6",
IF(W7&gt;0,  "TIER 7",
"TIER 8")))))))</f>
        <v>TIER 4</v>
      </c>
      <c r="B7" s="1" t="s">
        <v>95</v>
      </c>
      <c r="C7" s="8" t="s">
        <v>96</v>
      </c>
      <c r="D7" s="8">
        <f>VLOOKUP(Table2572[[#This Row],[Player]],ImportTable16[],2,FALSE)</f>
        <v>0.71181300000000003</v>
      </c>
      <c r="E7" s="8">
        <f>VLOOKUP(Table2572[[#This Row],[Player]],ImportTable16[],3,FALSE)</f>
        <v>1.0348495</v>
      </c>
      <c r="F7" s="8">
        <f>VLOOKUP(Table2572[[#This Row],[Player]],ImportTable16[],4,FALSE)</f>
        <v>224</v>
      </c>
      <c r="G7" s="8">
        <f>VLOOKUP(Table2572[[#This Row],[Player]],ImportTable16[],5,FALSE)</f>
        <v>281</v>
      </c>
      <c r="H7" s="8">
        <f>VLOOKUP(Table2572[[#This Row],[Player]],ImportTable16[],6,FALSE)</f>
        <v>303</v>
      </c>
      <c r="I7" s="8">
        <f>VLOOKUP(Table2572[[#This Row],[Player]],ImportTable16[],7,FALSE)</f>
        <v>187</v>
      </c>
      <c r="J7" s="77">
        <f>VLOOKUP(Table2572[[#This Row],[Player]],ImportTable16[],8,FALSE)</f>
        <v>44.634115000000001</v>
      </c>
      <c r="K7" s="77">
        <f>VLOOKUP(Table2572[[#This Row],[Player]],ImportTable16[],9,FALSE)</f>
        <v>52.071345000000001</v>
      </c>
      <c r="L7" s="8">
        <f>VLOOKUP(Table2572[[#This Row],[Player]],ImportTable16[],10,FALSE)</f>
        <v>95</v>
      </c>
      <c r="M7" s="8">
        <f>VLOOKUP(Table2572[[#This Row],[Player]],ImportTable16[],11,FALSE)</f>
        <v>76</v>
      </c>
      <c r="N7" s="3">
        <f>IFERROR(Table2572[[#This Row],[Ranked Wins]]/(Table2572[[#This Row],[Ranked Wins]]+Table2572[[#This Row],[Ranked Losses]]),0)</f>
        <v>0.55555555555555558</v>
      </c>
      <c r="O7" s="3">
        <f>IFERROR(Table2572[[#This Row],[Attack Wins]]/(Table2572[[#This Row],[Attack Wins]]+Table2572[[#This Row],[Attack Losses]]),0)</f>
        <v>0.44356435643564357</v>
      </c>
      <c r="P7" s="3">
        <f>IFERROR(Table2572[[#This Row],[Defense Wins]]/(Table2572[[#This Row],[Defense Wins]]+Table2572[[#This Row],[Defense Losses]]),0)</f>
        <v>0.61836734693877549</v>
      </c>
      <c r="Q7" s="1" cm="1">
        <f t="array" ref="Q7">IFERROR(SUMPRODUCT((#REF!=Table2572[[#This Row],[Player]])*#REF!),0)</f>
        <v>0</v>
      </c>
      <c r="R7" s="1" cm="1">
        <f t="array" ref="R7">IFERROR(SUMPRODUCT((#REF!=Table2572[[#This Row],[Player]])*#REF!),0)</f>
        <v>0</v>
      </c>
      <c r="S7" s="1">
        <f>Table2572[[#This Row],[Wins in Stacks]]+Table2572[[#This Row],[Losses in Stacks]]</f>
        <v>0</v>
      </c>
      <c r="T7" s="3">
        <f>IFERROR(Table2572[[#This Row],[Wins in Stacks]]/Table2572[[#This Row],[Total Games In Stacks]],0)</f>
        <v>0</v>
      </c>
      <c r="U7" s="75">
        <v>0.6</v>
      </c>
      <c r="V7" s="21">
        <v>2</v>
      </c>
      <c r="W7" s="20" cm="1">
        <f t="array" ref="W7">(Table2572[[#This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5.2755224725711791</v>
      </c>
      <c r="X7" s="15" t="s">
        <v>97</v>
      </c>
      <c r="Y7" s="208" t="s">
        <v>98</v>
      </c>
      <c r="Z7" s="208"/>
      <c r="AA7" s="208"/>
      <c r="AB7" s="208"/>
      <c r="AC7" s="208"/>
      <c r="AD7" s="208"/>
      <c r="AE7" s="208"/>
      <c r="AF7" s="208"/>
      <c r="AG7" s="203" t="s">
        <v>99</v>
      </c>
      <c r="AH7" s="203"/>
      <c r="AI7" s="203"/>
      <c r="AJ7" s="203"/>
      <c r="AK7" s="203"/>
      <c r="AL7" s="203"/>
      <c r="AM7" s="203"/>
    </row>
    <row r="8" spans="1:39">
      <c r="A8" s="1" t="str">
        <f>IF(W8&gt;7.5, "TIER 1",
IF(W8&gt;6.5, "TIER 2",
IF(W8&gt;5.5, "TIER 3",
IF(W8&gt;4.5, "TIER 4",
IF(W8&gt;3.5, "TIER 5",
IF(W8&gt;2,  "TIER 6",
IF(W8&gt;0,  "TIER 7",
"TIER 8")))))))</f>
        <v>TIER 4</v>
      </c>
      <c r="B8" s="84" t="s">
        <v>100</v>
      </c>
      <c r="C8" s="84" t="s">
        <v>100</v>
      </c>
      <c r="D8" s="8">
        <f>VLOOKUP(Table2572[[#This Row],[Player]],ImportTable16[],2,FALSE)</f>
        <v>0.94245000000000001</v>
      </c>
      <c r="E8" s="8">
        <f>VLOOKUP(Table2572[[#This Row],[Player]],ImportTable16[],3,FALSE)</f>
        <v>1.5188995000000001</v>
      </c>
      <c r="F8" s="8">
        <f>VLOOKUP(Table2572[[#This Row],[Player]],ImportTable16[],4,FALSE)</f>
        <v>148</v>
      </c>
      <c r="G8" s="8">
        <f>VLOOKUP(Table2572[[#This Row],[Player]],ImportTable16[],5,FALSE)</f>
        <v>161</v>
      </c>
      <c r="H8" s="8">
        <f>VLOOKUP(Table2572[[#This Row],[Player]],ImportTable16[],6,FALSE)</f>
        <v>190</v>
      </c>
      <c r="I8" s="8">
        <f>VLOOKUP(Table2572[[#This Row],[Player]],ImportTable16[],7,FALSE)</f>
        <v>138</v>
      </c>
      <c r="J8" s="77">
        <f>VLOOKUP(Table2572[[#This Row],[Player]],ImportTable16[],8,FALSE)</f>
        <v>55.60134</v>
      </c>
      <c r="K8" s="77">
        <f>VLOOKUP(Table2572[[#This Row],[Player]],ImportTable16[],9,FALSE)</f>
        <v>69.445705000000004</v>
      </c>
      <c r="L8" s="8">
        <f>VLOOKUP(Table2572[[#This Row],[Player]],ImportTable16[],10,FALSE)</f>
        <v>58</v>
      </c>
      <c r="M8" s="8">
        <f>VLOOKUP(Table2572[[#This Row],[Player]],ImportTable16[],11,FALSE)</f>
        <v>63</v>
      </c>
      <c r="N8" s="3">
        <f>IFERROR(Table2572[[#This Row],[Ranked Wins]]/(Table2572[[#This Row],[Ranked Wins]]+Table2572[[#This Row],[Ranked Losses]]),0)</f>
        <v>0.47933884297520662</v>
      </c>
      <c r="O8" s="3">
        <f>IFERROR(Table2572[[#This Row],[Attack Wins]]/(Table2572[[#This Row],[Attack Wins]]+Table2572[[#This Row],[Attack Losses]]),0)</f>
        <v>0.47896440129449835</v>
      </c>
      <c r="P8" s="3">
        <f>IFERROR(Table2572[[#This Row],[Defense Wins]]/(Table2572[[#This Row],[Defense Wins]]+Table2572[[#This Row],[Defense Losses]]),0)</f>
        <v>0.57926829268292679</v>
      </c>
      <c r="Q8" s="1" cm="1">
        <f t="array" ref="Q8">IFERROR(SUMPRODUCT((#REF!=Table2572[[#This Row],[Player]])*#REF!),0)</f>
        <v>0</v>
      </c>
      <c r="R8" s="1" cm="1">
        <f t="array" ref="R8">IFERROR(SUMPRODUCT((#REF!=Table2572[[#This Row],[Player]])*#REF!),0)</f>
        <v>0</v>
      </c>
      <c r="S8" s="1">
        <f>Table2572[[#This Row],[Wins in Stacks]]+Table2572[[#This Row],[Losses in Stacks]]</f>
        <v>0</v>
      </c>
      <c r="T8" s="3">
        <f>IFERROR(Table2572[[#This Row],[Wins in Stacks]]/Table2572[[#This Row],[Total Games In Stacks]],0)</f>
        <v>0</v>
      </c>
      <c r="U8" s="75">
        <v>0.3</v>
      </c>
      <c r="V8" s="21">
        <v>2</v>
      </c>
      <c r="W8" s="20" cm="1">
        <f t="array" ref="W8">(Table2572[[#This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5.0252107527977508</v>
      </c>
      <c r="X8" s="2" t="s">
        <v>101</v>
      </c>
      <c r="Y8" s="211" t="s">
        <v>102</v>
      </c>
      <c r="Z8" s="211"/>
      <c r="AA8" s="211"/>
      <c r="AB8" s="211"/>
      <c r="AC8" s="211"/>
      <c r="AD8" s="211"/>
      <c r="AE8" s="211"/>
      <c r="AF8" s="211"/>
      <c r="AG8" s="203" t="s">
        <v>103</v>
      </c>
      <c r="AH8" s="203"/>
      <c r="AI8" s="203"/>
      <c r="AJ8" s="203"/>
      <c r="AK8" s="203"/>
      <c r="AL8" s="203"/>
      <c r="AM8" s="203"/>
    </row>
    <row r="9" spans="1:39">
      <c r="A9" s="1" t="str">
        <f>IF(W9&gt;7.5, "TIER 1",
IF(W9&gt;6.5, "TIER 2",
IF(W9&gt;5.5, "TIER 3",
IF(W9&gt;4.5, "TIER 4",
IF(W9&gt;3.5, "TIER 5",
IF(W9&gt;2,  "TIER 6",
IF(W9&gt;0,  "TIER 7",
"TIER 8")))))))</f>
        <v>TIER 4</v>
      </c>
      <c r="B9" s="1" t="s">
        <v>104</v>
      </c>
      <c r="C9" s="8" t="s">
        <v>104</v>
      </c>
      <c r="D9" s="8">
        <f>VLOOKUP(Table2572[[#This Row],[Player]],ImportTable16[],2,FALSE)</f>
        <v>1.1200000000000001</v>
      </c>
      <c r="E9" s="8">
        <f>VLOOKUP(Table2572[[#This Row],[Player]],ImportTable16[],3,FALSE)</f>
        <v>1.9583330000000001</v>
      </c>
      <c r="F9" s="8">
        <f>VLOOKUP(Table2572[[#This Row],[Player]],ImportTable16[],4,FALSE)</f>
        <v>32</v>
      </c>
      <c r="G9" s="8">
        <f>VLOOKUP(Table2572[[#This Row],[Player]],ImportTable16[],5,FALSE)</f>
        <v>41</v>
      </c>
      <c r="H9" s="8">
        <f>VLOOKUP(Table2572[[#This Row],[Player]],ImportTable16[],6,FALSE)</f>
        <v>48</v>
      </c>
      <c r="I9" s="8">
        <f>VLOOKUP(Table2572[[#This Row],[Player]],ImportTable16[],7,FALSE)</f>
        <v>30</v>
      </c>
      <c r="J9" s="77">
        <f>VLOOKUP(Table2572[[#This Row],[Player]],ImportTable16[],8,FALSE)</f>
        <v>42.21</v>
      </c>
      <c r="K9" s="77">
        <f>VLOOKUP(Table2572[[#This Row],[Player]],ImportTable16[],9,FALSE)</f>
        <v>88.046250000000001</v>
      </c>
      <c r="L9" s="8">
        <f>VLOOKUP(Table2572[[#This Row],[Player]],ImportTable16[],10,FALSE)</f>
        <v>13</v>
      </c>
      <c r="M9" s="8">
        <f>VLOOKUP(Table2572[[#This Row],[Player]],ImportTable16[],11,FALSE)</f>
        <v>9</v>
      </c>
      <c r="N9" s="3">
        <f>IFERROR(Table2572[[#This Row],[Ranked Wins]]/(Table2572[[#This Row],[Ranked Wins]]+Table2572[[#This Row],[Ranked Losses]]),0)</f>
        <v>0.59090909090909094</v>
      </c>
      <c r="O9" s="3">
        <f>IFERROR(Table2572[[#This Row],[Attack Wins]]/(Table2572[[#This Row],[Attack Wins]]+Table2572[[#This Row],[Attack Losses]]),0)</f>
        <v>0.43835616438356162</v>
      </c>
      <c r="P9" s="3">
        <f>IFERROR(Table2572[[#This Row],[Defense Wins]]/(Table2572[[#This Row],[Defense Wins]]+Table2572[[#This Row],[Defense Losses]]),0)</f>
        <v>0.61538461538461542</v>
      </c>
      <c r="Q9" s="1" cm="1">
        <f t="array" ref="Q9">IFERROR(SUMPRODUCT((#REF!=Table2572[[#This Row],[Player]])*#REF!),0)</f>
        <v>0</v>
      </c>
      <c r="R9" s="1" cm="1">
        <f t="array" ref="R9">IFERROR(SUMPRODUCT((#REF!=Table2572[[#This Row],[Player]])*#REF!),0)</f>
        <v>0</v>
      </c>
      <c r="S9" s="1">
        <f>Table2572[[#This Row],[Wins in Stacks]]+Table2572[[#This Row],[Losses in Stacks]]</f>
        <v>0</v>
      </c>
      <c r="T9" s="3">
        <f>IFERROR(Table2572[[#This Row],[Wins in Stacks]]/Table2572[[#This Row],[Total Games In Stacks]],0)</f>
        <v>0</v>
      </c>
      <c r="U9" s="75">
        <v>0.35</v>
      </c>
      <c r="V9" s="21">
        <v>5</v>
      </c>
      <c r="W9" s="20" cm="1">
        <f t="array" ref="W9">(Table2572[[#This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4.7338980900441143</v>
      </c>
      <c r="X9" s="19" t="s">
        <v>105</v>
      </c>
      <c r="Y9" s="212" t="s">
        <v>106</v>
      </c>
      <c r="Z9" s="212"/>
      <c r="AA9" s="212"/>
      <c r="AB9" s="212"/>
      <c r="AC9" s="212"/>
      <c r="AD9" s="212"/>
      <c r="AE9" s="212"/>
      <c r="AF9" s="212"/>
      <c r="AG9" s="213" t="s">
        <v>107</v>
      </c>
      <c r="AH9" s="213"/>
      <c r="AI9" s="213"/>
      <c r="AJ9" s="213"/>
      <c r="AK9" s="213"/>
      <c r="AL9" s="213"/>
      <c r="AM9" s="213"/>
    </row>
    <row r="10" spans="1:39">
      <c r="A10" s="1" t="str">
        <f>IF(W10&gt;7.5, "TIER 1",
IF(W10&gt;6.5, "TIER 2",
IF(W10&gt;5.5, "TIER 3",
IF(W10&gt;4.5, "TIER 4",
IF(W10&gt;3.5, "TIER 5",
IF(W10&gt;2,  "TIER 6",
IF(W10&gt;0,  "TIER 7",
"TIER 8")))))))</f>
        <v>TIER 5</v>
      </c>
      <c r="B10" s="1" t="s">
        <v>108</v>
      </c>
      <c r="C10" s="8" t="s">
        <v>109</v>
      </c>
      <c r="D10" s="8">
        <f>VLOOKUP(Table2572[[#This Row],[Player]],ImportTable16[],2,FALSE)</f>
        <v>0.65795999999999999</v>
      </c>
      <c r="E10" s="8">
        <f>VLOOKUP(Table2572[[#This Row],[Player]],ImportTable16[],3,FALSE)</f>
        <v>0.66087399999999996</v>
      </c>
      <c r="F10" s="8">
        <f>VLOOKUP(Table2572[[#This Row],[Player]],ImportTable16[],4,FALSE)</f>
        <v>168</v>
      </c>
      <c r="G10" s="8">
        <f>VLOOKUP(Table2572[[#This Row],[Player]],ImportTable16[],5,FALSE)</f>
        <v>194</v>
      </c>
      <c r="H10" s="8">
        <f>VLOOKUP(Table2572[[#This Row],[Player]],ImportTable16[],6,FALSE)</f>
        <v>195</v>
      </c>
      <c r="I10" s="8">
        <f>VLOOKUP(Table2572[[#This Row],[Player]],ImportTable16[],7,FALSE)</f>
        <v>157</v>
      </c>
      <c r="J10" s="77">
        <f>VLOOKUP(Table2572[[#This Row],[Player]],ImportTable16[],8,FALSE)</f>
        <v>37.408329999999999</v>
      </c>
      <c r="K10" s="77">
        <f>VLOOKUP(Table2572[[#This Row],[Player]],ImportTable16[],9,FALSE)</f>
        <v>49.075710000000001</v>
      </c>
      <c r="L10" s="8">
        <f>VLOOKUP(Table2572[[#This Row],[Player]],ImportTable16[],10,FALSE)</f>
        <v>63</v>
      </c>
      <c r="M10" s="8">
        <f>VLOOKUP(Table2572[[#This Row],[Player]],ImportTable16[],11,FALSE)</f>
        <v>48</v>
      </c>
      <c r="N10" s="3">
        <f>IFERROR(Table2572[[#This Row],[Ranked Wins]]/(Table2572[[#This Row],[Ranked Wins]]+Table2572[[#This Row],[Ranked Losses]]),0)</f>
        <v>0.56756756756756754</v>
      </c>
      <c r="O10" s="3">
        <f>IFERROR(Table2572[[#This Row],[Attack Wins]]/(Table2572[[#This Row],[Attack Wins]]+Table2572[[#This Row],[Attack Losses]]),0)</f>
        <v>0.46408839779005523</v>
      </c>
      <c r="P10" s="3">
        <f>IFERROR(Table2572[[#This Row],[Defense Wins]]/(Table2572[[#This Row],[Defense Wins]]+Table2572[[#This Row],[Defense Losses]]),0)</f>
        <v>0.55397727272727271</v>
      </c>
      <c r="Q10" s="1" cm="1">
        <f t="array" ref="Q10">IFERROR(SUMPRODUCT((#REF!=Table2572[[#This Row],[Player]])*#REF!),0)</f>
        <v>0</v>
      </c>
      <c r="R10" s="1" cm="1">
        <f t="array" ref="R10">IFERROR(SUMPRODUCT((#REF!=Table2572[[#This Row],[Player]])*#REF!),0)</f>
        <v>0</v>
      </c>
      <c r="S10" s="1">
        <f>Table2572[[#This Row],[Wins in Stacks]]+Table2572[[#This Row],[Losses in Stacks]]</f>
        <v>0</v>
      </c>
      <c r="T10" s="3">
        <f>IFERROR(Table2572[[#This Row],[Wins in Stacks]]/Table2572[[#This Row],[Total Games In Stacks]],0)</f>
        <v>0</v>
      </c>
      <c r="U10" s="75">
        <v>0.65</v>
      </c>
      <c r="V10" s="21">
        <v>2</v>
      </c>
      <c r="W10" s="20" cm="1">
        <f t="array" ref="W10">(Table2572[[#This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4.0070117641203886</v>
      </c>
    </row>
    <row r="11" spans="1:39">
      <c r="A11" s="1" t="str">
        <f>IF(W11&gt;7.5, "TIER 1",
IF(W11&gt;6.5, "TIER 2",
IF(W11&gt;5.5, "TIER 3",
IF(W11&gt;4.5, "TIER 4",
IF(W11&gt;3.5, "TIER 5",
IF(W11&gt;2,  "TIER 6",
IF(W11&gt;0,  "TIER 7",
"TIER 8")))))))</f>
        <v>TIER 5</v>
      </c>
      <c r="B11" s="1" t="s">
        <v>110</v>
      </c>
      <c r="C11" s="8" t="s">
        <v>111</v>
      </c>
      <c r="D11" s="8">
        <f>VLOOKUP(Table2572[[#This Row],[Player]],ImportTable16[],2,FALSE)</f>
        <v>1.0782965</v>
      </c>
      <c r="E11" s="8">
        <f>VLOOKUP(Table2572[[#This Row],[Player]],ImportTable16[],3,FALSE)</f>
        <v>1.323733</v>
      </c>
      <c r="F11" s="8">
        <f>VLOOKUP(Table2572[[#This Row],[Player]],ImportTable16[],4,FALSE)</f>
        <v>239</v>
      </c>
      <c r="G11" s="8">
        <f>VLOOKUP(Table2572[[#This Row],[Player]],ImportTable16[],5,FALSE)</f>
        <v>346</v>
      </c>
      <c r="H11" s="8">
        <f>VLOOKUP(Table2572[[#This Row],[Player]],ImportTable16[],6,FALSE)</f>
        <v>351</v>
      </c>
      <c r="I11" s="8">
        <f>VLOOKUP(Table2572[[#This Row],[Player]],ImportTable16[],7,FALSE)</f>
        <v>239</v>
      </c>
      <c r="J11" s="77">
        <f>VLOOKUP(Table2572[[#This Row],[Player]],ImportTable16[],8,FALSE)</f>
        <v>64.029115000000004</v>
      </c>
      <c r="K11" s="77">
        <f>VLOOKUP(Table2572[[#This Row],[Player]],ImportTable16[],9,FALSE)</f>
        <v>64.757024999999999</v>
      </c>
      <c r="L11" s="8">
        <f>VLOOKUP(Table2572[[#This Row],[Player]],ImportTable16[],10,FALSE)</f>
        <v>100</v>
      </c>
      <c r="M11" s="8">
        <f>VLOOKUP(Table2572[[#This Row],[Player]],ImportTable16[],11,FALSE)</f>
        <v>97</v>
      </c>
      <c r="N11" s="3">
        <f>IFERROR(Table2572[[#This Row],[Ranked Wins]]/(Table2572[[#This Row],[Ranked Wins]]+Table2572[[#This Row],[Ranked Losses]]),0)</f>
        <v>0.50761421319796951</v>
      </c>
      <c r="O11" s="3">
        <f>IFERROR(Table2572[[#This Row],[Attack Wins]]/(Table2572[[#This Row],[Attack Wins]]+Table2572[[#This Row],[Attack Losses]]),0)</f>
        <v>0.40854700854700854</v>
      </c>
      <c r="P11" s="3">
        <f>IFERROR(Table2572[[#This Row],[Defense Wins]]/(Table2572[[#This Row],[Defense Wins]]+Table2572[[#This Row],[Defense Losses]]),0)</f>
        <v>0.59491525423728808</v>
      </c>
      <c r="Q11" s="1" cm="1">
        <f t="array" ref="Q11">IFERROR(SUMPRODUCT((#REF!=Table2572[[#This Row],[Player]])*#REF!),0)</f>
        <v>0</v>
      </c>
      <c r="R11" s="1" cm="1">
        <f t="array" ref="R11">IFERROR(SUMPRODUCT((#REF!=Table2572[[#This Row],[Player]])*#REF!),0)</f>
        <v>0</v>
      </c>
      <c r="S11" s="1">
        <f>Table2572[[#This Row],[Wins in Stacks]]+Table2572[[#This Row],[Losses in Stacks]]</f>
        <v>0</v>
      </c>
      <c r="T11" s="3">
        <f>IFERROR(Table2572[[#This Row],[Wins in Stacks]]/Table2572[[#This Row],[Total Games In Stacks]],0)</f>
        <v>0</v>
      </c>
      <c r="U11" s="75">
        <v>0.35</v>
      </c>
      <c r="V11" s="21">
        <v>4</v>
      </c>
      <c r="W11" s="20" cm="1">
        <f t="array" ref="W11">(Table2572[[#This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3.5748496430940953</v>
      </c>
    </row>
    <row r="12" spans="1:39">
      <c r="A12" s="1" t="str">
        <f>IF(W12&gt;7.5, "TIER 1",
IF(W12&gt;6.5, "TIER 2",
IF(W12&gt;5.5, "TIER 3",
IF(W12&gt;4.5, "TIER 4",
IF(W12&gt;3.5, "TIER 5",
IF(W12&gt;2,  "TIER 6",
IF(W12&gt;0,  "TIER 7",
"TIER 8")))))))</f>
        <v>TIER 6</v>
      </c>
      <c r="B12" s="1" t="s">
        <v>112</v>
      </c>
      <c r="C12" s="8" t="s">
        <v>113</v>
      </c>
      <c r="D12" s="8">
        <f>VLOOKUP(Table2572[[#This Row],[Player]],ImportTable16[],2,FALSE)</f>
        <v>0.81666649999999996</v>
      </c>
      <c r="E12" s="8">
        <f>VLOOKUP(Table2572[[#This Row],[Player]],ImportTable16[],3,FALSE)</f>
        <v>0.82291650000000005</v>
      </c>
      <c r="F12" s="8">
        <f>VLOOKUP(Table2572[[#This Row],[Player]],ImportTable16[],4,FALSE)</f>
        <v>41</v>
      </c>
      <c r="G12" s="8">
        <f>VLOOKUP(Table2572[[#This Row],[Player]],ImportTable16[],5,FALSE)</f>
        <v>54</v>
      </c>
      <c r="H12" s="8">
        <f>VLOOKUP(Table2572[[#This Row],[Player]],ImportTable16[],6,FALSE)</f>
        <v>52</v>
      </c>
      <c r="I12" s="8">
        <f>VLOOKUP(Table2572[[#This Row],[Player]],ImportTable16[],7,FALSE)</f>
        <v>38</v>
      </c>
      <c r="J12" s="77">
        <f>VLOOKUP(Table2572[[#This Row],[Player]],ImportTable16[],8,FALSE)</f>
        <v>47.694375000000001</v>
      </c>
      <c r="K12" s="77">
        <f>VLOOKUP(Table2572[[#This Row],[Player]],ImportTable16[],9,FALSE)</f>
        <v>47.824375000000003</v>
      </c>
      <c r="L12" s="8">
        <f>VLOOKUP(Table2572[[#This Row],[Player]],ImportTable16[],10,FALSE)</f>
        <v>18</v>
      </c>
      <c r="M12" s="8">
        <f>VLOOKUP(Table2572[[#This Row],[Player]],ImportTable16[],11,FALSE)</f>
        <v>15</v>
      </c>
      <c r="N12" s="3">
        <f>IFERROR(Table2572[[#This Row],[Ranked Wins]]/(Table2572[[#This Row],[Ranked Wins]]+Table2572[[#This Row],[Ranked Losses]]),0)</f>
        <v>0.54545454545454541</v>
      </c>
      <c r="O12" s="3">
        <f>IFERROR(Table2572[[#This Row],[Attack Wins]]/(Table2572[[#This Row],[Attack Wins]]+Table2572[[#This Row],[Attack Losses]]),0)</f>
        <v>0.43157894736842106</v>
      </c>
      <c r="P12" s="3">
        <f>IFERROR(Table2572[[#This Row],[Defense Wins]]/(Table2572[[#This Row],[Defense Wins]]+Table2572[[#This Row],[Defense Losses]]),0)</f>
        <v>0.57777777777777772</v>
      </c>
      <c r="Q12" s="1" cm="1">
        <f t="array" ref="Q12">IFERROR(SUMPRODUCT((#REF!=Table2572[[#This Row],[Player]])*#REF!),0)</f>
        <v>0</v>
      </c>
      <c r="R12" s="1" cm="1">
        <f t="array" ref="R12">IFERROR(SUMPRODUCT((#REF!=Table2572[[#This Row],[Player]])*#REF!),0)</f>
        <v>0</v>
      </c>
      <c r="S12" s="1">
        <f>Table2572[[#This Row],[Wins in Stacks]]+Table2572[[#This Row],[Losses in Stacks]]</f>
        <v>0</v>
      </c>
      <c r="T12" s="3">
        <f>IFERROR(Table2572[[#This Row],[Wins in Stacks]]/Table2572[[#This Row],[Total Games In Stacks]],0)</f>
        <v>0</v>
      </c>
      <c r="U12" s="75">
        <v>0.4</v>
      </c>
      <c r="V12" s="21">
        <v>1</v>
      </c>
      <c r="W12" s="20" cm="1">
        <f t="array" ref="W12">(Table2572[[#This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3.4230120892788762</v>
      </c>
      <c r="X12" s="1"/>
      <c r="Y12" s="1"/>
      <c r="Z12" s="1"/>
      <c r="AA12" s="1"/>
      <c r="AB12" s="1"/>
      <c r="AC12" s="1"/>
      <c r="AD12" s="1"/>
      <c r="AE12" s="1"/>
    </row>
    <row r="13" spans="1:39">
      <c r="A13" s="1" t="str">
        <f>IF(W13&gt;7.5, "TIER 1",
IF(W13&gt;6.5, "TIER 2",
IF(W13&gt;5.5, "TIER 3",
IF(W13&gt;4.5, "TIER 4",
IF(W13&gt;3.5, "TIER 5",
IF(W13&gt;2,  "TIER 6",
IF(W13&gt;0,  "TIER 7",
"TIER 8")))))))</f>
        <v>TIER 5</v>
      </c>
      <c r="B13" s="1" t="s">
        <v>114</v>
      </c>
      <c r="C13" s="8" t="s">
        <v>115</v>
      </c>
      <c r="D13" s="8">
        <f>VLOOKUP(Table2572[[#This Row],[Player]],ImportTable16[],2,FALSE)</f>
        <v>0.65679650000000001</v>
      </c>
      <c r="E13" s="8">
        <f>VLOOKUP(Table2572[[#This Row],[Player]],ImportTable16[],3,FALSE)</f>
        <v>0.85052899999999998</v>
      </c>
      <c r="F13" s="8">
        <f>VLOOKUP(Table2572[[#This Row],[Player]],ImportTable16[],4,FALSE)</f>
        <v>106</v>
      </c>
      <c r="G13" s="8">
        <f>VLOOKUP(Table2572[[#This Row],[Player]],ImportTable16[],5,FALSE)</f>
        <v>103</v>
      </c>
      <c r="H13" s="8">
        <f>VLOOKUP(Table2572[[#This Row],[Player]],ImportTable16[],6,FALSE)</f>
        <v>111</v>
      </c>
      <c r="I13" s="8">
        <f>VLOOKUP(Table2572[[#This Row],[Player]],ImportTable16[],7,FALSE)</f>
        <v>80</v>
      </c>
      <c r="J13" s="77">
        <f>VLOOKUP(Table2572[[#This Row],[Player]],ImportTable16[],8,FALSE)</f>
        <v>49.001189999999994</v>
      </c>
      <c r="K13" s="77">
        <f>VLOOKUP(Table2572[[#This Row],[Player]],ImportTable16[],9,FALSE)</f>
        <v>62.858334999999997</v>
      </c>
      <c r="L13" s="8">
        <f>VLOOKUP(Table2572[[#This Row],[Player]],ImportTable16[],10,FALSE)</f>
        <v>38</v>
      </c>
      <c r="M13" s="8">
        <f>VLOOKUP(Table2572[[#This Row],[Player]],ImportTable16[],11,FALSE)</f>
        <v>45</v>
      </c>
      <c r="N13" s="3">
        <f>IFERROR(Table2572[[#This Row],[Ranked Wins]]/(Table2572[[#This Row],[Ranked Wins]]+Table2572[[#This Row],[Ranked Losses]]),0)</f>
        <v>0.45783132530120479</v>
      </c>
      <c r="O13" s="3">
        <f>IFERROR(Table2572[[#This Row],[Attack Wins]]/(Table2572[[#This Row],[Attack Wins]]+Table2572[[#This Row],[Attack Losses]]),0)</f>
        <v>0.50717703349282295</v>
      </c>
      <c r="P13" s="3">
        <f>IFERROR(Table2572[[#This Row],[Defense Wins]]/(Table2572[[#This Row],[Defense Wins]]+Table2572[[#This Row],[Defense Losses]]),0)</f>
        <v>0.58115183246073299</v>
      </c>
      <c r="Q13" s="1" cm="1">
        <f t="array" ref="Q13">IFERROR(SUMPRODUCT((#REF!=Table2572[[#This Row],[Player]])*#REF!),0)</f>
        <v>0</v>
      </c>
      <c r="R13" s="1" cm="1">
        <f t="array" ref="R13">IFERROR(SUMPRODUCT((#REF!=Table2572[[#This Row],[Player]])*#REF!),0)</f>
        <v>0</v>
      </c>
      <c r="S13" s="1">
        <f>Table2572[[#This Row],[Wins in Stacks]]+Table2572[[#This Row],[Losses in Stacks]]</f>
        <v>0</v>
      </c>
      <c r="T13" s="3">
        <f>IFERROR(Table2572[[#This Row],[Wins in Stacks]]/Table2572[[#This Row],[Total Games In Stacks]],0)</f>
        <v>0</v>
      </c>
      <c r="U13" s="75">
        <v>0.3</v>
      </c>
      <c r="V13" s="74">
        <v>1</v>
      </c>
      <c r="W13" s="20" cm="1">
        <f t="array" ref="W13">(Table2572[[#This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3.83832129581904</v>
      </c>
      <c r="X13" s="209" t="s">
        <v>116</v>
      </c>
      <c r="Y13" s="209"/>
      <c r="Z13" s="209"/>
      <c r="AA13" s="209"/>
      <c r="AB13" s="209"/>
      <c r="AC13" s="71"/>
      <c r="AD13" s="71"/>
      <c r="AE13" s="71"/>
    </row>
    <row r="14" spans="1:39">
      <c r="A14" s="1" t="str">
        <f>IF(W14&gt;7.5, "TIER 1",
IF(W14&gt;6.5, "TIER 2",
IF(W14&gt;5.5, "TIER 3",
IF(W14&gt;4.5, "TIER 4",
IF(W14&gt;3.5, "TIER 5",
IF(W14&gt;2,  "TIER 6",
IF(W14&gt;0,  "TIER 7",
"TIER 8")))))))</f>
        <v>TIER 6</v>
      </c>
      <c r="B14" s="1" t="s">
        <v>117</v>
      </c>
      <c r="C14" s="8" t="s">
        <v>118</v>
      </c>
      <c r="D14" s="8">
        <f>VLOOKUP(Table2572[[#This Row],[Player]],ImportTable16[],2,FALSE)</f>
        <v>0.72726550000000001</v>
      </c>
      <c r="E14" s="8">
        <f>VLOOKUP(Table2572[[#This Row],[Player]],ImportTable16[],3,FALSE)</f>
        <v>0.9380949999999999</v>
      </c>
      <c r="F14" s="8">
        <f>VLOOKUP(Table2572[[#This Row],[Player]],ImportTable16[],4,FALSE)</f>
        <v>214</v>
      </c>
      <c r="G14" s="8">
        <f>VLOOKUP(Table2572[[#This Row],[Player]],ImportTable16[],5,FALSE)</f>
        <v>332</v>
      </c>
      <c r="H14" s="8">
        <f>VLOOKUP(Table2572[[#This Row],[Player]],ImportTable16[],6,FALSE)</f>
        <v>332</v>
      </c>
      <c r="I14" s="8">
        <f>VLOOKUP(Table2572[[#This Row],[Player]],ImportTable16[],7,FALSE)</f>
        <v>212</v>
      </c>
      <c r="J14" s="77">
        <f>VLOOKUP(Table2572[[#This Row],[Player]],ImportTable16[],8,FALSE)</f>
        <v>48.72683</v>
      </c>
      <c r="K14" s="77">
        <f>VLOOKUP(Table2572[[#This Row],[Player]],ImportTable16[],9,FALSE)</f>
        <v>64.234399999999994</v>
      </c>
      <c r="L14" s="8">
        <f>VLOOKUP(Table2572[[#This Row],[Player]],ImportTable16[],10,FALSE)</f>
        <v>83</v>
      </c>
      <c r="M14" s="8">
        <f>VLOOKUP(Table2572[[#This Row],[Player]],ImportTable16[],11,FALSE)</f>
        <v>84</v>
      </c>
      <c r="N14" s="3">
        <f>IFERROR(Table2572[[#This Row],[Ranked Wins]]/(Table2572[[#This Row],[Ranked Wins]]+Table2572[[#This Row],[Ranked Losses]]),0)</f>
        <v>0.49700598802395207</v>
      </c>
      <c r="O14" s="3">
        <f>IFERROR(Table2572[[#This Row],[Attack Wins]]/(Table2572[[#This Row],[Attack Wins]]+Table2572[[#This Row],[Attack Losses]]),0)</f>
        <v>0.39194139194139194</v>
      </c>
      <c r="P14" s="3">
        <f>IFERROR(Table2572[[#This Row],[Defense Wins]]/(Table2572[[#This Row],[Defense Wins]]+Table2572[[#This Row],[Defense Losses]]),0)</f>
        <v>0.61029411764705888</v>
      </c>
      <c r="Q14" s="1" cm="1">
        <f t="array" ref="Q14">IFERROR(SUMPRODUCT((#REF!=Table2572[[#This Row],[Player]])*#REF!),0)</f>
        <v>0</v>
      </c>
      <c r="R14" s="1" cm="1">
        <f t="array" ref="R14">IFERROR(SUMPRODUCT((#REF!=Table2572[[#This Row],[Player]])*#REF!),0)</f>
        <v>0</v>
      </c>
      <c r="S14" s="1">
        <f>Table2572[[#This Row],[Wins in Stacks]]+Table2572[[#This Row],[Losses in Stacks]]</f>
        <v>0</v>
      </c>
      <c r="T14" s="3">
        <f>IFERROR(Table2572[[#This Row],[Wins in Stacks]]/Table2572[[#This Row],[Total Games In Stacks]],0)</f>
        <v>0</v>
      </c>
      <c r="U14" s="75">
        <v>0.4</v>
      </c>
      <c r="V14" s="21">
        <v>3</v>
      </c>
      <c r="W14" s="20" cm="1">
        <f t="array" ref="W14">(Table2572[[#This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2.6373398593954618</v>
      </c>
      <c r="X14" s="209" t="s">
        <v>119</v>
      </c>
      <c r="Y14" s="209"/>
      <c r="Z14" s="209"/>
      <c r="AA14" s="209"/>
      <c r="AB14" s="209"/>
      <c r="AC14" s="71"/>
      <c r="AD14" s="71"/>
      <c r="AE14" s="71"/>
    </row>
    <row r="15" spans="1:39">
      <c r="A15" s="1" t="str">
        <f>IF(W15&gt;7.5, "TIER 1",
IF(W15&gt;6.5, "TIER 2",
IF(W15&gt;5.5, "TIER 3",
IF(W15&gt;4.5, "TIER 4",
IF(W15&gt;3.5, "TIER 5",
IF(W15&gt;2,  "TIER 6",
IF(W15&gt;0,  "TIER 7",
"TIER 8")))))))</f>
        <v>TIER 7</v>
      </c>
      <c r="B15" s="1" t="s">
        <v>120</v>
      </c>
      <c r="C15" s="8" t="s">
        <v>121</v>
      </c>
      <c r="D15" s="8">
        <f>VLOOKUP(Table2572[[#This Row],[Player]],ImportTable16[],2,FALSE)</f>
        <v>0.98521000000000003</v>
      </c>
      <c r="E15" s="8">
        <f>VLOOKUP(Table2572[[#This Row],[Player]],ImportTable16[],3,FALSE)</f>
        <v>1.1309145</v>
      </c>
      <c r="F15" s="8">
        <f>VLOOKUP(Table2572[[#This Row],[Player]],ImportTable16[],4,FALSE)</f>
        <v>432</v>
      </c>
      <c r="G15" s="8">
        <f>VLOOKUP(Table2572[[#This Row],[Player]],ImportTable16[],5,FALSE)</f>
        <v>598</v>
      </c>
      <c r="H15" s="8">
        <f>VLOOKUP(Table2572[[#This Row],[Player]],ImportTable16[],6,FALSE)</f>
        <v>595</v>
      </c>
      <c r="I15" s="8">
        <f>VLOOKUP(Table2572[[#This Row],[Player]],ImportTable16[],7,FALSE)</f>
        <v>430</v>
      </c>
      <c r="J15" s="77">
        <f>VLOOKUP(Table2572[[#This Row],[Player]],ImportTable16[],8,FALSE)</f>
        <v>55.736095000000006</v>
      </c>
      <c r="K15" s="77">
        <f>VLOOKUP(Table2572[[#This Row],[Player]],ImportTable16[],9,FALSE)</f>
        <v>61.337415</v>
      </c>
      <c r="L15" s="8">
        <f>VLOOKUP(Table2572[[#This Row],[Player]],ImportTable16[],10,FALSE)</f>
        <v>168</v>
      </c>
      <c r="M15" s="8">
        <f>VLOOKUP(Table2572[[#This Row],[Player]],ImportTable16[],11,FALSE)</f>
        <v>164</v>
      </c>
      <c r="N15" s="3">
        <f>IFERROR(Table2572[[#This Row],[Ranked Wins]]/(Table2572[[#This Row],[Ranked Wins]]+Table2572[[#This Row],[Ranked Losses]]),0)</f>
        <v>0.50602409638554213</v>
      </c>
      <c r="O15" s="3">
        <f>IFERROR(Table2572[[#This Row],[Attack Wins]]/(Table2572[[#This Row],[Attack Wins]]+Table2572[[#This Row],[Attack Losses]]),0)</f>
        <v>0.41941747572815535</v>
      </c>
      <c r="P15" s="3">
        <f>IFERROR(Table2572[[#This Row],[Defense Wins]]/(Table2572[[#This Row],[Defense Wins]]+Table2572[[#This Row],[Defense Losses]]),0)</f>
        <v>0.58048780487804874</v>
      </c>
      <c r="Q15" s="1" cm="1">
        <f t="array" ref="Q15">IFERROR(SUMPRODUCT((#REF!=Table2572[[#This Row],[Player]])*#REF!),0)</f>
        <v>0</v>
      </c>
      <c r="R15" s="1" cm="1">
        <f t="array" ref="R15">IFERROR(SUMPRODUCT((#REF!=Table2572[[#This Row],[Player]])*#REF!),0)</f>
        <v>0</v>
      </c>
      <c r="S15" s="1">
        <f>Table2572[[#This Row],[Wins in Stacks]]+Table2572[[#This Row],[Losses in Stacks]]</f>
        <v>0</v>
      </c>
      <c r="T15" s="3">
        <f>IFERROR(Table2572[[#This Row],[Wins in Stacks]]/Table2572[[#This Row],[Total Games In Stacks]],0)</f>
        <v>0</v>
      </c>
      <c r="U15" s="75">
        <v>0.4</v>
      </c>
      <c r="V15" s="21">
        <v>5</v>
      </c>
      <c r="W15" s="20" cm="1">
        <f t="array" ref="W15">(Table2572[[#This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1.5662106531888971</v>
      </c>
      <c r="X15" s="209" t="s">
        <v>122</v>
      </c>
      <c r="Y15" s="209"/>
      <c r="Z15" s="209"/>
      <c r="AA15" s="209"/>
      <c r="AB15" s="209"/>
      <c r="AC15" s="71"/>
      <c r="AD15" s="71"/>
      <c r="AE15" s="71"/>
    </row>
    <row r="16" spans="1:39">
      <c r="A16" s="1" t="str">
        <f>IF(W16&gt;7.5, "TIER 1",
IF(W16&gt;6.5, "TIER 2",
IF(W16&gt;5.5, "TIER 3",
IF(W16&gt;4.5, "TIER 4",
IF(W16&gt;3.5, "TIER 5",
IF(W16&gt;2,  "TIER 6",
IF(W16&gt;0,  "TIER 7",
"TIER 8")))))))</f>
        <v>TIER 7</v>
      </c>
      <c r="B16" s="84" t="s">
        <v>123</v>
      </c>
      <c r="C16" s="84" t="s">
        <v>123</v>
      </c>
      <c r="D16" s="8">
        <f>VLOOKUP(Table2572[[#This Row],[Player]],ImportTable16[],2,FALSE)</f>
        <v>0.93193700000000002</v>
      </c>
      <c r="E16" s="8">
        <f>VLOOKUP(Table2572[[#This Row],[Player]],ImportTable16[],3,FALSE)</f>
        <v>1.1280490000000001</v>
      </c>
      <c r="F16" s="8">
        <f>VLOOKUP(Table2572[[#This Row],[Player]],ImportTable16[],4,FALSE)</f>
        <v>233</v>
      </c>
      <c r="G16" s="8">
        <f>VLOOKUP(Table2572[[#This Row],[Player]],ImportTable16[],5,FALSE)</f>
        <v>290</v>
      </c>
      <c r="H16" s="8">
        <f>VLOOKUP(Table2572[[#This Row],[Player]],ImportTable16[],6,FALSE)</f>
        <v>294</v>
      </c>
      <c r="I16" s="8">
        <f>VLOOKUP(Table2572[[#This Row],[Player]],ImportTable16[],7,FALSE)</f>
        <v>199</v>
      </c>
      <c r="J16" s="77">
        <f>VLOOKUP(Table2572[[#This Row],[Player]],ImportTable16[],8,FALSE)</f>
        <v>59.490589999999997</v>
      </c>
      <c r="K16" s="77">
        <f>VLOOKUP(Table2572[[#This Row],[Player]],ImportTable16[],9,FALSE)</f>
        <v>59.18</v>
      </c>
      <c r="L16" s="8">
        <f>VLOOKUP(Table2572[[#This Row],[Player]],ImportTable16[],10,FALSE)</f>
        <v>90</v>
      </c>
      <c r="M16" s="8">
        <f>VLOOKUP(Table2572[[#This Row],[Player]],ImportTable16[],11,FALSE)</f>
        <v>79</v>
      </c>
      <c r="N16" s="3">
        <f>IFERROR(Table2572[[#This Row],[Ranked Wins]]/(Table2572[[#This Row],[Ranked Wins]]+Table2572[[#This Row],[Ranked Losses]]),0)</f>
        <v>0.53254437869822491</v>
      </c>
      <c r="O16" s="3">
        <f>IFERROR(Table2572[[#This Row],[Attack Wins]]/(Table2572[[#This Row],[Attack Wins]]+Table2572[[#This Row],[Attack Losses]]),0)</f>
        <v>0.44550669216061184</v>
      </c>
      <c r="P16" s="3">
        <f>IFERROR(Table2572[[#This Row],[Defense Wins]]/(Table2572[[#This Row],[Defense Wins]]+Table2572[[#This Row],[Defense Losses]]),0)</f>
        <v>0.59634888438133871</v>
      </c>
      <c r="Q16" s="1" cm="1">
        <f t="array" ref="Q16">IFERROR(SUMPRODUCT((#REF!=Table2572[[#This Row],[Player]])*#REF!),0)</f>
        <v>0</v>
      </c>
      <c r="R16" s="1" cm="1">
        <f t="array" ref="R16">IFERROR(SUMPRODUCT((#REF!=Table2572[[#This Row],[Player]])*#REF!),0)</f>
        <v>0</v>
      </c>
      <c r="S16" s="1">
        <f>Table2572[[#This Row],[Wins in Stacks]]+Table2572[[#This Row],[Losses in Stacks]]</f>
        <v>0</v>
      </c>
      <c r="T16" s="3">
        <f>IFERROR(Table2572[[#This Row],[Wins in Stacks]]/Table2572[[#This Row],[Total Games In Stacks]],0)</f>
        <v>0</v>
      </c>
      <c r="U16" s="75">
        <v>0.1</v>
      </c>
      <c r="V16" s="21">
        <v>3</v>
      </c>
      <c r="W16" s="20" cm="1">
        <f t="array" ref="W16">(Table2572[[#This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1.3544859356731878</v>
      </c>
      <c r="X16" s="1"/>
      <c r="Y16" s="1"/>
      <c r="Z16" s="1"/>
      <c r="AA16" s="1"/>
      <c r="AB16" s="1"/>
      <c r="AC16" s="1"/>
      <c r="AD16" s="1"/>
      <c r="AE16" s="1"/>
    </row>
    <row r="17" spans="1:38" ht="15.75" customHeight="1">
      <c r="A17" s="1" t="str">
        <f>IF(W17&gt;7.5, "TIER 1",
IF(W17&gt;6.5, "TIER 2",
IF(W17&gt;5.5, "TIER 3",
IF(W17&gt;4.5, "TIER 4",
IF(W17&gt;3.5, "TIER 5",
IF(W17&gt;2,  "TIER 6",
IF(W17&gt;0,  "TIER 7",
"TIER 8")))))))</f>
        <v>TIER 7</v>
      </c>
      <c r="B17" s="1" t="s">
        <v>124</v>
      </c>
      <c r="C17" s="8" t="s">
        <v>125</v>
      </c>
      <c r="D17" s="8">
        <f>VLOOKUP(Table2572[[#This Row],[Player]],ImportTable16[],2,FALSE)</f>
        <v>0.70631650000000001</v>
      </c>
      <c r="E17" s="8">
        <f>VLOOKUP(Table2572[[#This Row],[Player]],ImportTable16[],3,FALSE)</f>
        <v>0.78611600000000004</v>
      </c>
      <c r="F17" s="8">
        <f>VLOOKUP(Table2572[[#This Row],[Player]],ImportTable16[],4,FALSE)</f>
        <v>89</v>
      </c>
      <c r="G17" s="8">
        <f>VLOOKUP(Table2572[[#This Row],[Player]],ImportTable16[],5,FALSE)</f>
        <v>135</v>
      </c>
      <c r="H17" s="8">
        <f>VLOOKUP(Table2572[[#This Row],[Player]],ImportTable16[],6,FALSE)</f>
        <v>128</v>
      </c>
      <c r="I17" s="8">
        <f>VLOOKUP(Table2572[[#This Row],[Player]],ImportTable16[],7,FALSE)</f>
        <v>96</v>
      </c>
      <c r="J17" s="77">
        <f>VLOOKUP(Table2572[[#This Row],[Player]],ImportTable16[],8,FALSE)</f>
        <v>50.592709999999997</v>
      </c>
      <c r="K17" s="77">
        <f>VLOOKUP(Table2572[[#This Row],[Player]],ImportTable16[],9,FALSE)</f>
        <v>47.359335000000002</v>
      </c>
      <c r="L17" s="8">
        <f>VLOOKUP(Table2572[[#This Row],[Player]],ImportTable16[],10,FALSE)</f>
        <v>40</v>
      </c>
      <c r="M17" s="8">
        <f>VLOOKUP(Table2572[[#This Row],[Player]],ImportTable16[],11,FALSE)</f>
        <v>38</v>
      </c>
      <c r="N17" s="3">
        <f>IFERROR(Table2572[[#This Row],[Ranked Wins]]/(Table2572[[#This Row],[Ranked Wins]]+Table2572[[#This Row],[Ranked Losses]]),0)</f>
        <v>0.51282051282051277</v>
      </c>
      <c r="O17" s="3">
        <f>IFERROR(Table2572[[#This Row],[Attack Wins]]/(Table2572[[#This Row],[Attack Wins]]+Table2572[[#This Row],[Attack Losses]]),0)</f>
        <v>0.39732142857142855</v>
      </c>
      <c r="P17" s="3">
        <f>IFERROR(Table2572[[#This Row],[Defense Wins]]/(Table2572[[#This Row],[Defense Wins]]+Table2572[[#This Row],[Defense Losses]]),0)</f>
        <v>0.5714285714285714</v>
      </c>
      <c r="Q17" s="1" cm="1">
        <f t="array" ref="Q17">IFERROR(SUMPRODUCT((#REF!=Table2572[[#This Row],[Player]])*#REF!),0)</f>
        <v>0</v>
      </c>
      <c r="R17" s="1" cm="1">
        <f t="array" ref="R17">IFERROR(SUMPRODUCT((#REF!=Table2572[[#This Row],[Player]])*#REF!),0)</f>
        <v>0</v>
      </c>
      <c r="S17">
        <f>Table2572[[#This Row],[Wins in Stacks]]+Table2572[[#This Row],[Losses in Stacks]]</f>
        <v>0</v>
      </c>
      <c r="T17" s="73">
        <f>IFERROR(Table2572[[#This Row],[Wins in Stacks]]/Table2572[[#This Row],[Total Games In Stacks]],0)</f>
        <v>0</v>
      </c>
      <c r="U17" s="76">
        <v>0.35</v>
      </c>
      <c r="V17" s="22">
        <v>2</v>
      </c>
      <c r="W17" s="20" cm="1">
        <f t="array" ref="W17">(Table2572[[#This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1.2867835114765604</v>
      </c>
      <c r="X17" s="1"/>
      <c r="Y17" s="12"/>
      <c r="Z17" s="12"/>
      <c r="AA17" s="1"/>
      <c r="AB17" s="23" t="s">
        <v>126</v>
      </c>
      <c r="AC17" s="23" t="s">
        <v>127</v>
      </c>
      <c r="AD17" s="23" t="s">
        <v>128</v>
      </c>
      <c r="AE17" s="23" t="s">
        <v>129</v>
      </c>
      <c r="AF17" s="23" t="s">
        <v>130</v>
      </c>
      <c r="AG17" s="23" t="s">
        <v>131</v>
      </c>
      <c r="AH17" s="23" t="s">
        <v>132</v>
      </c>
      <c r="AI17" s="23" t="s">
        <v>133</v>
      </c>
      <c r="AJ17" s="23" t="s">
        <v>134</v>
      </c>
      <c r="AK17" s="23" t="s">
        <v>135</v>
      </c>
      <c r="AL17" s="24" t="s">
        <v>136</v>
      </c>
    </row>
    <row r="18" spans="1:38">
      <c r="A18" s="1" t="str">
        <f>IF(W18&gt;7.5, "TIER 1",
IF(W18&gt;6.5, "TIER 2",
IF(W18&gt;5.5, "TIER 3",
IF(W18&gt;4.5, "TIER 4",
IF(W18&gt;3.5, "TIER 5",
IF(W18&gt;2,  "TIER 6",
IF(W18&gt;0,  "TIER 7",
"TIER 8")))))))</f>
        <v>TIER 6</v>
      </c>
      <c r="B18" s="1" t="s">
        <v>137</v>
      </c>
      <c r="C18" s="8" t="s">
        <v>138</v>
      </c>
      <c r="D18" s="8">
        <f>VLOOKUP(Table2572[[#This Row],[Player]],ImportTable16[],2,FALSE)</f>
        <v>1.072516</v>
      </c>
      <c r="E18" s="8">
        <f>VLOOKUP(Table2572[[#This Row],[Player]],ImportTable16[],3,FALSE)</f>
        <v>1.054149</v>
      </c>
      <c r="F18" s="8">
        <f>VLOOKUP(Table2572[[#This Row],[Player]],ImportTable16[],4,FALSE)</f>
        <v>143</v>
      </c>
      <c r="G18" s="8">
        <f>VLOOKUP(Table2572[[#This Row],[Player]],ImportTable16[],5,FALSE)</f>
        <v>189</v>
      </c>
      <c r="H18" s="8">
        <f>VLOOKUP(Table2572[[#This Row],[Player]],ImportTable16[],6,FALSE)</f>
        <v>200</v>
      </c>
      <c r="I18" s="8">
        <f>VLOOKUP(Table2572[[#This Row],[Player]],ImportTable16[],7,FALSE)</f>
        <v>131</v>
      </c>
      <c r="J18" s="77">
        <f>VLOOKUP(Table2572[[#This Row],[Player]],ImportTable16[],8,FALSE)</f>
        <v>51.048575</v>
      </c>
      <c r="K18" s="77">
        <f>VLOOKUP(Table2572[[#This Row],[Player]],ImportTable16[],9,FALSE)</f>
        <v>58.171199999999999</v>
      </c>
      <c r="L18" s="8">
        <f>VLOOKUP(Table2572[[#This Row],[Player]],ImportTable16[],10,FALSE)</f>
        <v>66</v>
      </c>
      <c r="M18" s="8">
        <f>VLOOKUP(Table2572[[#This Row],[Player]],ImportTable16[],11,FALSE)</f>
        <v>60</v>
      </c>
      <c r="N18" s="3">
        <f>IFERROR(Table2572[[#This Row],[Ranked Wins]]/(Table2572[[#This Row],[Ranked Wins]]+Table2572[[#This Row],[Ranked Losses]]),0)</f>
        <v>0.52380952380952384</v>
      </c>
      <c r="O18" s="3">
        <f>IFERROR(Table2572[[#This Row],[Attack Wins]]/(Table2572[[#This Row],[Attack Wins]]+Table2572[[#This Row],[Attack Losses]]),0)</f>
        <v>0.43072289156626509</v>
      </c>
      <c r="P18" s="3">
        <f>IFERROR(Table2572[[#This Row],[Defense Wins]]/(Table2572[[#This Row],[Defense Wins]]+Table2572[[#This Row],[Defense Losses]]),0)</f>
        <v>0.60422960725075525</v>
      </c>
      <c r="Q18" s="1" cm="1">
        <f t="array" ref="Q18">IFERROR(SUMPRODUCT((#REF!=Table2572[[#This Row],[Player]])*#REF!),0)</f>
        <v>0</v>
      </c>
      <c r="R18" s="1" cm="1">
        <f t="array" ref="R18">IFERROR(SUMPRODUCT((#REF!=Table2572[[#This Row],[Player]])*#REF!),0)</f>
        <v>0</v>
      </c>
      <c r="S18" s="1">
        <f>Table2572[[#This Row],[Wins in Stacks]]+Table2572[[#This Row],[Losses in Stacks]]</f>
        <v>0</v>
      </c>
      <c r="T18" s="3">
        <f>IFERROR(Table2572[[#This Row],[Wins in Stacks]]/Table2572[[#This Row],[Total Games In Stacks]],0)</f>
        <v>0</v>
      </c>
      <c r="U18" s="75">
        <v>0.35</v>
      </c>
      <c r="V18" s="21">
        <v>3</v>
      </c>
      <c r="W18" s="20" cm="1">
        <f t="array" ref="W18">(Table2572[[#This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2.8197041095368749</v>
      </c>
      <c r="X18" s="1"/>
      <c r="Y18" s="12"/>
      <c r="Z18" s="12"/>
      <c r="AA18" s="1"/>
      <c r="AB18" s="25">
        <f>AVERAGE(Table2572[Attack K/D])</f>
        <v>0.81646116964285709</v>
      </c>
      <c r="AC18" s="25">
        <f>AVERAGE(Table2572[Defense K/D])</f>
        <v>0.98316084821428551</v>
      </c>
      <c r="AD18" s="12">
        <f>AVERAGE(Table2572[Defense KOST])</f>
        <v>53.823939642857134</v>
      </c>
      <c r="AE18" s="12">
        <f>AVERAGE(Table2572[Defense KOST])</f>
        <v>53.823939642857134</v>
      </c>
      <c r="AF18" s="3">
        <f>AVERAGE(Table2572[Attack Win%])</f>
        <v>0.38836476844458662</v>
      </c>
      <c r="AG18" s="3">
        <f>AVERAGE(Table2572[Defense Win%])</f>
        <v>0.53222991915598494</v>
      </c>
      <c r="AH18" s="3">
        <f>AVERAGE(Table2572[Ranked Win%])</f>
        <v>0.45176303657228528</v>
      </c>
      <c r="AI18" s="3">
        <f>AVERAGE(Table2572[Win% in Stack])</f>
        <v>0</v>
      </c>
      <c r="AJ18" s="3">
        <f>AVERAGE(Table2572[Comm''s %])</f>
        <v>0.33857142857142858</v>
      </c>
      <c r="AK18" s="25">
        <f>AVERAGE(Table2572[Selfish  1-5])</f>
        <v>3.3571428571428572</v>
      </c>
      <c r="AL18" s="12" t="e">
        <f>AVERAGE(#REF!)</f>
        <v>#REF!</v>
      </c>
    </row>
    <row r="19" spans="1:38">
      <c r="A19" s="1" t="str">
        <f>IF(W19&gt;7.5, "TIER 1",
IF(W19&gt;6.5, "TIER 2",
IF(W19&gt;5.5, "TIER 3",
IF(W19&gt;4.5, "TIER 4",
IF(W19&gt;3.5, "TIER 5",
IF(W19&gt;2,  "TIER 6",
IF(W19&gt;0,  "TIER 7",
"TIER 8")))))))</f>
        <v>TIER 7</v>
      </c>
      <c r="B19" s="1" t="s">
        <v>139</v>
      </c>
      <c r="C19" s="8" t="s">
        <v>140</v>
      </c>
      <c r="D19" s="8">
        <f>VLOOKUP(Table2572[[#This Row],[Player]],ImportTable16[],2,FALSE)</f>
        <v>1.2704150000000001</v>
      </c>
      <c r="E19" s="8">
        <f>VLOOKUP(Table2572[[#This Row],[Player]],ImportTable16[],3,FALSE)</f>
        <v>0.93864449999999999</v>
      </c>
      <c r="F19" s="8">
        <f>VLOOKUP(Table2572[[#This Row],[Player]],ImportTable16[],4,FALSE)</f>
        <v>63</v>
      </c>
      <c r="G19" s="8">
        <f>VLOOKUP(Table2572[[#This Row],[Player]],ImportTable16[],5,FALSE)</f>
        <v>72</v>
      </c>
      <c r="H19" s="8">
        <f>VLOOKUP(Table2572[[#This Row],[Player]],ImportTable16[],6,FALSE)</f>
        <v>106</v>
      </c>
      <c r="I19" s="8">
        <f>VLOOKUP(Table2572[[#This Row],[Player]],ImportTable16[],7,FALSE)</f>
        <v>44</v>
      </c>
      <c r="J19" s="77">
        <f>VLOOKUP(Table2572[[#This Row],[Player]],ImportTable16[],8,FALSE)</f>
        <v>57.262630000000001</v>
      </c>
      <c r="K19" s="77">
        <f>VLOOKUP(Table2572[[#This Row],[Player]],ImportTable16[],9,FALSE)</f>
        <v>59.385215000000002</v>
      </c>
      <c r="L19" s="8">
        <f>VLOOKUP(Table2572[[#This Row],[Player]],ImportTable16[],10,FALSE)</f>
        <v>27</v>
      </c>
      <c r="M19" s="8">
        <f>VLOOKUP(Table2572[[#This Row],[Player]],ImportTable16[],11,FALSE)</f>
        <v>12</v>
      </c>
      <c r="N19" s="3">
        <f>IFERROR(Table2572[[#This Row],[Ranked Wins]]/(Table2572[[#This Row],[Ranked Wins]]+Table2572[[#This Row],[Ranked Losses]]),0)</f>
        <v>0.69230769230769229</v>
      </c>
      <c r="O19" s="3">
        <f>IFERROR(Table2572[[#This Row],[Attack Wins]]/(Table2572[[#This Row],[Attack Wins]]+Table2572[[#This Row],[Attack Losses]]),0)</f>
        <v>0.46666666666666667</v>
      </c>
      <c r="P19" s="3">
        <f>IFERROR(Table2572[[#This Row],[Defense Wins]]/(Table2572[[#This Row],[Defense Wins]]+Table2572[[#This Row],[Defense Losses]]),0)</f>
        <v>0.70666666666666667</v>
      </c>
      <c r="Q19" s="1" cm="1">
        <f t="array" ref="Q19">IFERROR(SUMPRODUCT((#REF!=Table2572[[#This Row],[Player]])*#REF!),0)</f>
        <v>0</v>
      </c>
      <c r="R19" s="1" cm="1">
        <f t="array" ref="R19">IFERROR(SUMPRODUCT((#REF!=Table2572[[#This Row],[Player]])*#REF!),0)</f>
        <v>0</v>
      </c>
      <c r="S19" s="1">
        <f>Table2572[[#This Row],[Wins in Stacks]]+Table2572[[#This Row],[Losses in Stacks]]</f>
        <v>0</v>
      </c>
      <c r="T19" s="3">
        <f>IFERROR(Table2572[[#This Row],[Wins in Stacks]]/Table2572[[#This Row],[Total Games In Stacks]],0)</f>
        <v>0</v>
      </c>
      <c r="U19" s="75">
        <v>0.01</v>
      </c>
      <c r="V19" s="21">
        <v>6</v>
      </c>
      <c r="W19" s="20" cm="1">
        <f t="array" ref="W19">(Table2572[[#This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0.31369563968169034</v>
      </c>
      <c r="X19" s="1"/>
      <c r="Y19" s="12"/>
      <c r="Z19" s="12"/>
      <c r="AA19" s="1"/>
      <c r="AB19" s="1"/>
      <c r="AC19" s="1"/>
      <c r="AD19" s="1"/>
      <c r="AE19" s="1"/>
    </row>
    <row r="20" spans="1:38">
      <c r="A20" s="1" t="str">
        <f>IF(W20&gt;7.5, "TIER 1",
IF(W20&gt;6.5, "TIER 2",
IF(W20&gt;5.5, "TIER 3",
IF(W20&gt;4.5, "TIER 4",
IF(W20&gt;3.5, "TIER 5",
IF(W20&gt;2,  "TIER 6",
IF(W20&gt;0,  "TIER 7",
"TIER 8")))))))</f>
        <v>TIER 7</v>
      </c>
      <c r="B20" s="1" t="s">
        <v>141</v>
      </c>
      <c r="C20" s="8" t="s">
        <v>142</v>
      </c>
      <c r="D20" s="8">
        <f>VLOOKUP(Table2572[[#This Row],[Player]],ImportTable16[],2,FALSE)</f>
        <v>1.1851039999999999</v>
      </c>
      <c r="E20" s="8">
        <f>VLOOKUP(Table2572[[#This Row],[Player]],ImportTable16[],3,FALSE)</f>
        <v>1.430749</v>
      </c>
      <c r="F20" s="8">
        <f>VLOOKUP(Table2572[[#This Row],[Player]],ImportTable16[],4,FALSE)</f>
        <v>124</v>
      </c>
      <c r="G20" s="8">
        <f>VLOOKUP(Table2572[[#This Row],[Player]],ImportTable16[],5,FALSE)</f>
        <v>131</v>
      </c>
      <c r="H20" s="8">
        <f>VLOOKUP(Table2572[[#This Row],[Player]],ImportTable16[],6,FALSE)</f>
        <v>138</v>
      </c>
      <c r="I20" s="8">
        <f>VLOOKUP(Table2572[[#This Row],[Player]],ImportTable16[],7,FALSE)</f>
        <v>105</v>
      </c>
      <c r="J20" s="77">
        <f>VLOOKUP(Table2572[[#This Row],[Player]],ImportTable16[],8,FALSE)</f>
        <v>56.021140000000003</v>
      </c>
      <c r="K20" s="77">
        <f>VLOOKUP(Table2572[[#This Row],[Player]],ImportTable16[],9,FALSE)</f>
        <v>67.856854999999996</v>
      </c>
      <c r="L20" s="8">
        <f>VLOOKUP(Table2572[[#This Row],[Player]],ImportTable16[],10,FALSE)</f>
        <v>41</v>
      </c>
      <c r="M20" s="8">
        <f>VLOOKUP(Table2572[[#This Row],[Player]],ImportTable16[],11,FALSE)</f>
        <v>32</v>
      </c>
      <c r="N20" s="3">
        <f>IFERROR(Table2572[[#This Row],[Ranked Wins]]/(Table2572[[#This Row],[Ranked Wins]]+Table2572[[#This Row],[Ranked Losses]]),0)</f>
        <v>0.56164383561643838</v>
      </c>
      <c r="O20" s="3">
        <f>IFERROR(Table2572[[#This Row],[Attack Wins]]/(Table2572[[#This Row],[Attack Wins]]+Table2572[[#This Row],[Attack Losses]]),0)</f>
        <v>0.48627450980392156</v>
      </c>
      <c r="P20" s="3">
        <f>IFERROR(Table2572[[#This Row],[Defense Wins]]/(Table2572[[#This Row],[Defense Wins]]+Table2572[[#This Row],[Defense Losses]]),0)</f>
        <v>0.5679012345679012</v>
      </c>
      <c r="Q20" s="1" cm="1">
        <f t="array" ref="Q20">IFERROR(SUMPRODUCT((#REF!=Table2572[[#This Row],[Player]])*#REF!),0)</f>
        <v>0</v>
      </c>
      <c r="R20" s="1" cm="1">
        <f t="array" ref="R20">IFERROR(SUMPRODUCT((#REF!=Table2572[[#This Row],[Player]])*#REF!),0)</f>
        <v>0</v>
      </c>
      <c r="S20" s="1">
        <f>Table2572[[#This Row],[Wins in Stacks]]+Table2572[[#This Row],[Losses in Stacks]]</f>
        <v>0</v>
      </c>
      <c r="T20" s="3">
        <f>IFERROR(Table2572[[#This Row],[Wins in Stacks]]/Table2572[[#This Row],[Total Games In Stacks]],0)</f>
        <v>0</v>
      </c>
      <c r="U20" s="75">
        <v>0.05</v>
      </c>
      <c r="V20" s="21">
        <v>5</v>
      </c>
      <c r="W20" s="20" cm="1">
        <f t="array" ref="W20">(Table2572[[#This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0.34528968315404418</v>
      </c>
      <c r="X20" s="1"/>
      <c r="Y20" s="12"/>
      <c r="Z20" s="12"/>
      <c r="AA20" s="1"/>
      <c r="AB20" s="1"/>
      <c r="AC20" s="1"/>
      <c r="AD20" s="1"/>
      <c r="AE20" s="1"/>
    </row>
    <row r="21" spans="1:38">
      <c r="A21" s="1" t="str">
        <f>IF(W21&gt;7.5, "TIER 1",
IF(W21&gt;6.5, "TIER 2",
IF(W21&gt;5.5, "TIER 3",
IF(W21&gt;4.5, "TIER 4",
IF(W21&gt;3.5, "TIER 5",
IF(W21&gt;2,  "TIER 6",
IF(W21&gt;0,  "TIER 7",
"TIER 8")))))))</f>
        <v>TIER 8</v>
      </c>
      <c r="B21" s="1" t="s">
        <v>143</v>
      </c>
      <c r="C21" s="8" t="s">
        <v>144</v>
      </c>
      <c r="D21" s="8">
        <f>VLOOKUP(Table2572[[#This Row],[Player]],ImportTable16[],2,FALSE)</f>
        <v>0.60399999999999998</v>
      </c>
      <c r="E21" s="8">
        <f>VLOOKUP(Table2572[[#This Row],[Player]],ImportTable16[],3,FALSE)</f>
        <v>0.63645200000000002</v>
      </c>
      <c r="F21" s="8">
        <f>VLOOKUP(Table2572[[#This Row],[Player]],ImportTable16[],4,FALSE)</f>
        <v>85</v>
      </c>
      <c r="G21" s="8">
        <f>VLOOKUP(Table2572[[#This Row],[Player]],ImportTable16[],5,FALSE)</f>
        <v>121</v>
      </c>
      <c r="H21" s="8">
        <f>VLOOKUP(Table2572[[#This Row],[Player]],ImportTable16[],6,FALSE)</f>
        <v>108</v>
      </c>
      <c r="I21" s="8">
        <f>VLOOKUP(Table2572[[#This Row],[Player]],ImportTable16[],7,FALSE)</f>
        <v>82</v>
      </c>
      <c r="J21" s="77">
        <f>VLOOKUP(Table2572[[#This Row],[Player]],ImportTable16[],8,FALSE)</f>
        <v>43.174700000000001</v>
      </c>
      <c r="K21" s="77">
        <f>VLOOKUP(Table2572[[#This Row],[Player]],ImportTable16[],9,FALSE)</f>
        <v>46.668454999999994</v>
      </c>
      <c r="L21" s="8">
        <f>VLOOKUP(Table2572[[#This Row],[Player]],ImportTable16[],10,FALSE)</f>
        <v>33</v>
      </c>
      <c r="M21" s="8">
        <f>VLOOKUP(Table2572[[#This Row],[Player]],ImportTable16[],11,FALSE)</f>
        <v>31</v>
      </c>
      <c r="N21" s="3">
        <f>IFERROR(Table2572[[#This Row],[Ranked Wins]]/(Table2572[[#This Row],[Ranked Wins]]+Table2572[[#This Row],[Ranked Losses]]),0)</f>
        <v>0.515625</v>
      </c>
      <c r="O21" s="3">
        <f>IFERROR(Table2572[[#This Row],[Attack Wins]]/(Table2572[[#This Row],[Attack Wins]]+Table2572[[#This Row],[Attack Losses]]),0)</f>
        <v>0.41262135922330095</v>
      </c>
      <c r="P21" s="3">
        <f>IFERROR(Table2572[[#This Row],[Defense Wins]]/(Table2572[[#This Row],[Defense Wins]]+Table2572[[#This Row],[Defense Losses]]),0)</f>
        <v>0.56842105263157894</v>
      </c>
      <c r="Q21" s="1" cm="1">
        <f t="array" ref="Q21">IFERROR(SUMPRODUCT((#REF!=Table2572[[#This Row],[Player]])*#REF!),0)</f>
        <v>0</v>
      </c>
      <c r="R21" s="1" cm="1">
        <f t="array" ref="R21">IFERROR(SUMPRODUCT((#REF!=Table2572[[#This Row],[Player]])*#REF!),0)</f>
        <v>0</v>
      </c>
      <c r="S21" s="1">
        <f>Table2572[[#This Row],[Wins in Stacks]]+Table2572[[#This Row],[Losses in Stacks]]</f>
        <v>0</v>
      </c>
      <c r="T21" s="3">
        <f>IFERROR(Table2572[[#This Row],[Wins in Stacks]]/Table2572[[#This Row],[Total Games In Stacks]],0)</f>
        <v>0</v>
      </c>
      <c r="U21" s="75">
        <v>0.5</v>
      </c>
      <c r="V21" s="21">
        <v>4</v>
      </c>
      <c r="W21" s="20" cm="1">
        <f t="array" ref="W21">(Table2572[[#This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-0.1251169981797684</v>
      </c>
      <c r="X21" s="1"/>
      <c r="Y21" s="12"/>
      <c r="Z21" s="12"/>
      <c r="AA21" s="1"/>
      <c r="AB21" s="1"/>
      <c r="AC21" s="1"/>
      <c r="AD21" s="1"/>
      <c r="AE21" s="1"/>
      <c r="AF21" s="1"/>
    </row>
    <row r="22" spans="1:38">
      <c r="A22" s="1" t="str">
        <f>IF(W22&gt;7.5, "TIER 1",
IF(W22&gt;6.5, "TIER 2",
IF(W22&gt;5.5, "TIER 3",
IF(W22&gt;4.5, "TIER 4",
IF(W22&gt;3.5, "TIER 5",
IF(W22&gt;2,  "TIER 6",
IF(W22&gt;0,  "TIER 7",
"TIER 8")))))))</f>
        <v>TIER 8</v>
      </c>
      <c r="B22" s="1" t="s">
        <v>145</v>
      </c>
      <c r="C22" s="1" t="s">
        <v>146</v>
      </c>
      <c r="D22" s="8">
        <f>(VLOOKUP("LostArkWhale",ImportTable16[],2,FALSE) + VLOOKUP("Veists.",ImportTable16[],2,FALSE))/2</f>
        <v>1.2046352499999999</v>
      </c>
      <c r="E22" s="8">
        <f>(VLOOKUP("lostarkwhale",ImportTable16[],3,FALSE) + VLOOKUP("Veists.",ImportTable16[],3,FALSE))/2</f>
        <v>1.5728849999999999</v>
      </c>
      <c r="F22" s="8">
        <f>(VLOOKUP("lostarkwhale",ImportTable16[],4,FALSE) + VLOOKUP("veists.",ImportTable16[],4,FALSE))</f>
        <v>148</v>
      </c>
      <c r="G22" s="8">
        <f>(VLOOKUP("lostarkwhale",ImportTable16[],5,FALSE) + VLOOKUP("veists.",ImportTable16[],5,FALSE))</f>
        <v>187</v>
      </c>
      <c r="H22" s="8">
        <f>(VLOOKUP("lostarkwhale",ImportTable16[],6,FALSE) + VLOOKUP("veists.",ImportTable16[],6,FALSE))</f>
        <v>215</v>
      </c>
      <c r="I22" s="8">
        <f>(VLOOKUP("lostarkwhale",ImportTable16[],7,FALSE) + VLOOKUP("veists.",ImportTable16[],7,FALSE))</f>
        <v>127</v>
      </c>
      <c r="J22" s="77">
        <f>(VLOOKUP("veists.",ImportTable16[],8,FALSE) + VLOOKUP("lostarkwhale",ImportTable16[],8,FALSE))/2</f>
        <v>62.203692500000002</v>
      </c>
      <c r="K22" s="77">
        <f>(VLOOKUP("lostarkwhale",ImportTable16[],9,FALSE) + VLOOKUP("veists.",ImportTable16[],9,FALSE))/2</f>
        <v>66.171684999999997</v>
      </c>
      <c r="L22" s="8">
        <f>(VLOOKUP("lostarkwhale",ImportTable16[],11,FALSE) + VLOOKUP("Glonk..",ImportTable16[],11,FALSE))</f>
        <v>88</v>
      </c>
      <c r="M22" s="8">
        <f>(VLOOKUP("Glonk.MB",ImportTable16[],10,FALSE) + VLOOKUP("veists.",ImportTable16[],10,FALSE))</f>
        <v>282</v>
      </c>
      <c r="N22" s="3">
        <f>IFERROR(Table2572[[#This Row],[Ranked Wins]]/(Table2572[[#This Row],[Ranked Wins]]+Table2572[[#This Row],[Ranked Losses]]),0)</f>
        <v>0.23783783783783785</v>
      </c>
      <c r="O22" s="3">
        <f>IFERROR(Table2572[[#This Row],[Attack Wins]]/(Table2572[[#This Row],[Attack Wins]]+Table2572[[#This Row],[Attack Losses]]),0)</f>
        <v>0.44179104477611941</v>
      </c>
      <c r="P22" s="3">
        <f>IFERROR(Table2572[[#This Row],[Defense Wins]]/(Table2572[[#This Row],[Defense Wins]]+Table2572[[#This Row],[Defense Losses]]),0)</f>
        <v>0.62865497076023391</v>
      </c>
      <c r="Q22" s="1" cm="1">
        <f t="array" ref="Q22">IFERROR(SUMPRODUCT((#REF!="Glonk..")*#REF!),0)+IFERROR(SUMPRODUCT((#REF!="Glonk.MB")*#REF!),0)</f>
        <v>0</v>
      </c>
      <c r="R22" s="1" cm="1">
        <f t="array" ref="R22">IFERROR(SUMPRODUCT((#REF!="Glonk..")*#REF!),0)+IFERROR(SUMPRODUCT((#REF!="Glonk.MB")*#REF!),0)</f>
        <v>0</v>
      </c>
      <c r="S22" s="1">
        <f>Table2572[[#This Row],[Wins in Stacks]]+Table2572[[#This Row],[Losses in Stacks]]</f>
        <v>0</v>
      </c>
      <c r="T22" s="3">
        <f>IFERROR(Table2572[[#This Row],[Wins in Stacks]]/Table2572[[#This Row],[Total Games In Stacks]],0)</f>
        <v>0</v>
      </c>
      <c r="U22" s="75">
        <v>0.1</v>
      </c>
      <c r="V22" s="74">
        <v>5</v>
      </c>
      <c r="W22" s="20" cm="1">
        <f t="array" ref="W22">(Table2572[[#This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-1.6186620829866545</v>
      </c>
      <c r="Y22" s="12"/>
      <c r="Z22" s="12"/>
    </row>
    <row r="23" spans="1:38">
      <c r="A23" s="1" t="str">
        <f>IF(W23&gt;7.5, "TIER 1",
IF(W23&gt;6.5, "TIER 2",
IF(W23&gt;5.5, "TIER 3",
IF(W23&gt;4.5, "TIER 4",
IF(W23&gt;3.5, "TIER 5",
IF(W23&gt;2,  "TIER 6",
IF(W23&gt;0,  "TIER 7",
"TIER 8")))))))</f>
        <v>TIER 8</v>
      </c>
      <c r="B23" s="1" t="s">
        <v>147</v>
      </c>
      <c r="C23" s="1" t="s">
        <v>148</v>
      </c>
      <c r="D23" s="8">
        <f>VLOOKUP(Table2572[[#This Row],[Player]],ImportTable16[],2,FALSE)</f>
        <v>0.65375249999999996</v>
      </c>
      <c r="E23" s="8">
        <f>VLOOKUP(Table2572[[#This Row],[Player]],ImportTable16[],3,FALSE)</f>
        <v>0.73996850000000003</v>
      </c>
      <c r="F23" s="8">
        <f>VLOOKUP(Table2572[[#This Row],[Player]],ImportTable16[],4,FALSE)</f>
        <v>121</v>
      </c>
      <c r="G23" s="8">
        <f>VLOOKUP(Table2572[[#This Row],[Player]],ImportTable16[],5,FALSE)</f>
        <v>195</v>
      </c>
      <c r="H23" s="8">
        <f>VLOOKUP(Table2572[[#This Row],[Player]],ImportTable16[],6,FALSE)</f>
        <v>176</v>
      </c>
      <c r="I23" s="8">
        <f>VLOOKUP(Table2572[[#This Row],[Player]],ImportTable16[],7,FALSE)</f>
        <v>141</v>
      </c>
      <c r="J23" s="77">
        <f>VLOOKUP(Table2572[[#This Row],[Player]],ImportTable16[],8,FALSE)</f>
        <v>40.848649999999999</v>
      </c>
      <c r="K23" s="77">
        <f>VLOOKUP(Table2572[[#This Row],[Player]],ImportTable16[],9,FALSE)</f>
        <v>53.642899999999997</v>
      </c>
      <c r="L23" s="8">
        <f>VLOOKUP(Table2572[[#This Row],[Player]],ImportTable16[],10,FALSE)</f>
        <v>42</v>
      </c>
      <c r="M23" s="8">
        <f>VLOOKUP(Table2572[[#This Row],[Player]],ImportTable16[],11,FALSE)</f>
        <v>56</v>
      </c>
      <c r="N23" s="3">
        <f>IFERROR(Table2572[[#This Row],[Ranked Wins]]/(Table2572[[#This Row],[Ranked Wins]]+Table2572[[#This Row],[Ranked Losses]]),0)</f>
        <v>0.42857142857142855</v>
      </c>
      <c r="O23" s="3">
        <f>IFERROR(Table2572[[#This Row],[Attack Wins]]/(Table2572[[#This Row],[Attack Wins]]+Table2572[[#This Row],[Attack Losses]]),0)</f>
        <v>0.38291139240506328</v>
      </c>
      <c r="P23" s="3">
        <f>IFERROR(Table2572[[#This Row],[Defense Wins]]/(Table2572[[#This Row],[Defense Wins]]+Table2572[[#This Row],[Defense Losses]]),0)</f>
        <v>0.55520504731861198</v>
      </c>
      <c r="Q23" s="1" cm="1">
        <f t="array" ref="Q23">IFERROR(SUMPRODUCT((#REF!=Table2572[[#This Row],[Player]])*#REF!),0)</f>
        <v>0</v>
      </c>
      <c r="R23" s="1" cm="1">
        <f t="array" ref="R23">IFERROR(SUMPRODUCT((#REF!=Table2572[[#This Row],[Player]])*#REF!),0)</f>
        <v>0</v>
      </c>
      <c r="S23" s="1">
        <f>Table2572[[#This Row],[Wins in Stacks]]+Table2572[[#This Row],[Losses in Stacks]]</f>
        <v>0</v>
      </c>
      <c r="T23" s="3">
        <f>IFERROR(Table2572[[#This Row],[Wins in Stacks]]/Table2572[[#This Row],[Total Games In Stacks]],0)</f>
        <v>0</v>
      </c>
      <c r="U23" s="75">
        <v>0.3</v>
      </c>
      <c r="V23" s="74">
        <v>3</v>
      </c>
      <c r="W23" s="20" cm="1">
        <f t="array" ref="W23">(Table2572[[#This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-1.806803933777529</v>
      </c>
    </row>
    <row r="24" spans="1:38">
      <c r="A24" s="1" t="str">
        <f>IF(W24&gt;7.5, "TIER 1",
IF(W24&gt;6.5, "TIER 2",
IF(W24&gt;5.5, "TIER 3",
IF(W24&gt;4.5, "TIER 4",
IF(W24&gt;3.5, "TIER 5",
IF(W24&gt;2,  "TIER 6",
IF(W24&gt;0,  "TIER 7",
"TIER 8")))))))</f>
        <v>TIER 8</v>
      </c>
      <c r="B24" s="1" t="s">
        <v>149</v>
      </c>
      <c r="C24" s="8" t="s">
        <v>150</v>
      </c>
      <c r="D24" s="8">
        <f>VLOOKUP(Table2572[[#This Row],[Player]],ImportTable16[],2,FALSE)</f>
        <v>0.91818200000000005</v>
      </c>
      <c r="E24" s="8">
        <f>VLOOKUP(Table2572[[#This Row],[Player]],ImportTable16[],3,FALSE)</f>
        <v>1.0208330000000001</v>
      </c>
      <c r="F24" s="8">
        <f>VLOOKUP(Table2572[[#This Row],[Player]],ImportTable16[],4,FALSE)</f>
        <v>67</v>
      </c>
      <c r="G24" s="8">
        <f>VLOOKUP(Table2572[[#This Row],[Player]],ImportTable16[],5,FALSE)</f>
        <v>78</v>
      </c>
      <c r="H24" s="8">
        <f>VLOOKUP(Table2572[[#This Row],[Player]],ImportTable16[],6,FALSE)</f>
        <v>84</v>
      </c>
      <c r="I24" s="8">
        <f>VLOOKUP(Table2572[[#This Row],[Player]],ImportTable16[],7,FALSE)</f>
        <v>63</v>
      </c>
      <c r="J24" s="77">
        <f>VLOOKUP(Table2572[[#This Row],[Player]],ImportTable16[],8,FALSE)</f>
        <v>55.087139999999998</v>
      </c>
      <c r="K24" s="77">
        <f>VLOOKUP(Table2572[[#This Row],[Player]],ImportTable16[],9,FALSE)</f>
        <v>47.63438</v>
      </c>
      <c r="L24" s="8">
        <f>VLOOKUP(Table2572[[#This Row],[Player]],ImportTable16[],10,FALSE)</f>
        <v>28</v>
      </c>
      <c r="M24" s="8">
        <f>VLOOKUP(Table2572[[#This Row],[Player]],ImportTable16[],11,FALSE)</f>
        <v>25</v>
      </c>
      <c r="N24" s="3">
        <f>IFERROR(Table2572[[#This Row],[Ranked Wins]]/(Table2572[[#This Row],[Ranked Wins]]+Table2572[[#This Row],[Ranked Losses]]),0)</f>
        <v>0.52830188679245282</v>
      </c>
      <c r="O24" s="3">
        <f>IFERROR(Table2572[[#This Row],[Attack Wins]]/(Table2572[[#This Row],[Attack Wins]]+Table2572[[#This Row],[Attack Losses]]),0)</f>
        <v>0.46206896551724136</v>
      </c>
      <c r="P24" s="3">
        <f>IFERROR(Table2572[[#This Row],[Defense Wins]]/(Table2572[[#This Row],[Defense Wins]]+Table2572[[#This Row],[Defense Losses]]),0)</f>
        <v>0.5714285714285714</v>
      </c>
      <c r="Q24" s="1" cm="1">
        <f t="array" ref="Q24">IFERROR(SUMPRODUCT((#REF!=Table2572[[#This Row],[Player]])*#REF!),0)</f>
        <v>0</v>
      </c>
      <c r="R24" s="1" cm="1">
        <f t="array" ref="R24">IFERROR(SUMPRODUCT((#REF!=Table2572[[#This Row],[Player]])*#REF!),0)</f>
        <v>0</v>
      </c>
      <c r="S24" s="1">
        <f>Table2572[[#This Row],[Wins in Stacks]]+Table2572[[#This Row],[Losses in Stacks]]</f>
        <v>0</v>
      </c>
      <c r="T24" s="3">
        <f>IFERROR(Table2572[[#This Row],[Wins in Stacks]]/Table2572[[#This Row],[Total Games In Stacks]],0)</f>
        <v>0</v>
      </c>
      <c r="U24" s="75">
        <v>0.05</v>
      </c>
      <c r="V24" s="74">
        <v>4</v>
      </c>
      <c r="W24" s="20" cm="1">
        <f t="array" ref="W24">(Table2572[[#This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-1.987397379345911</v>
      </c>
    </row>
    <row r="25" spans="1:38">
      <c r="A25" s="1" t="str">
        <f>IF(W25&gt;7.5, "TIER 1",
IF(W25&gt;6.5, "TIER 2",
IF(W25&gt;5.5, "TIER 3",
IF(W25&gt;4.5, "TIER 4",
IF(W25&gt;3.5, "TIER 5",
IF(W25&gt;2,  "TIER 6",
IF(W25&gt;0,  "TIER 7",
"TIER 8")))))))</f>
        <v>TIER 8</v>
      </c>
      <c r="B25" s="1" t="s">
        <v>151</v>
      </c>
      <c r="C25" s="85" t="s">
        <v>152</v>
      </c>
      <c r="D25" s="8">
        <f>VLOOKUP(Table2572[[#This Row],[Player]],ImportTable16[],2,FALSE)</f>
        <v>0.92506850000000007</v>
      </c>
      <c r="E25" s="8">
        <f>VLOOKUP(Table2572[[#This Row],[Player]],ImportTable16[],3,FALSE)</f>
        <v>1.1281715000000001</v>
      </c>
      <c r="F25" s="8">
        <f>VLOOKUP(Table2572[[#This Row],[Player]],ImportTable16[],4,FALSE)</f>
        <v>309</v>
      </c>
      <c r="G25" s="8">
        <f>VLOOKUP(Table2572[[#This Row],[Player]],ImportTable16[],5,FALSE)</f>
        <v>377</v>
      </c>
      <c r="H25" s="8">
        <f>VLOOKUP(Table2572[[#This Row],[Player]],ImportTable16[],6,FALSE)</f>
        <v>411</v>
      </c>
      <c r="I25" s="8">
        <f>VLOOKUP(Table2572[[#This Row],[Player]],ImportTable16[],7,FALSE)</f>
        <v>274</v>
      </c>
      <c r="J25" s="77">
        <f>VLOOKUP(Table2572[[#This Row],[Player]],ImportTable16[],8,FALSE)</f>
        <v>52.615225000000002</v>
      </c>
      <c r="K25" s="77">
        <f>VLOOKUP(Table2572[[#This Row],[Player]],ImportTable16[],9,FALSE)</f>
        <v>55.923095000000004</v>
      </c>
      <c r="L25" s="8">
        <f>VLOOKUP(Table2572[[#This Row],[Player]],ImportTable16[],10,FALSE)</f>
        <v>125</v>
      </c>
      <c r="M25" s="8">
        <f>VLOOKUP(Table2572[[#This Row],[Player]],ImportTable16[],11,FALSE)</f>
        <v>116</v>
      </c>
      <c r="N25" s="3">
        <f>IFERROR(Table2572[[#This Row],[Ranked Wins]]/(Table2572[[#This Row],[Ranked Wins]]+Table2572[[#This Row],[Ranked Losses]]),0)</f>
        <v>0.51867219917012453</v>
      </c>
      <c r="O25" s="3">
        <f>IFERROR(Table2572[[#This Row],[Attack Wins]]/(Table2572[[#This Row],[Attack Wins]]+Table2572[[#This Row],[Attack Losses]]),0)</f>
        <v>0.45043731778425655</v>
      </c>
      <c r="P25" s="3">
        <f>IFERROR(Table2572[[#This Row],[Defense Wins]]/(Table2572[[#This Row],[Defense Wins]]+Table2572[[#This Row],[Defense Losses]]),0)</f>
        <v>0.6</v>
      </c>
      <c r="Q25" s="1" cm="1">
        <f t="array" ref="Q25">IFERROR(SUMPRODUCT((#REF!=Table2572[[#This Row],[Player]])*#REF!),0)</f>
        <v>0</v>
      </c>
      <c r="R25" s="1" cm="1">
        <f t="array" ref="R25">IFERROR(SUMPRODUCT((#REF!=Table2572[[#This Row],[Player]])*#REF!),0)</f>
        <v>0</v>
      </c>
      <c r="S25" s="1">
        <f>Table2572[[#This Row],[Wins in Stacks]]+Table2572[[#This Row],[Losses in Stacks]]</f>
        <v>0</v>
      </c>
      <c r="T25" s="3">
        <f>IFERROR(Table2572[[#This Row],[Wins in Stacks]]/Table2572[[#This Row],[Total Games In Stacks]],0)</f>
        <v>0</v>
      </c>
      <c r="U25" s="75">
        <v>0.05</v>
      </c>
      <c r="V25" s="21">
        <v>6</v>
      </c>
      <c r="W25" s="20" cm="1">
        <f t="array" ref="W25">(Table2572[[#This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-3.2183914471847554</v>
      </c>
    </row>
    <row r="26" spans="1:38">
      <c r="A26" s="1" t="str">
        <f>IF(W26&gt;7.5, "TIER 1",
IF(W26&gt;6.5, "TIER 2",
IF(W26&gt;5.5, "TIER 3",
IF(W26&gt;4.5, "TIER 4",
IF(W26&gt;3.5, "TIER 5",
IF(W26&gt;2,  "TIER 6",
IF(W26&gt;0,  "TIER 7",
"TIER 8")))))))</f>
        <v>TIER 8</v>
      </c>
      <c r="B26" s="1" t="s">
        <v>153</v>
      </c>
      <c r="C26" s="85" t="s">
        <v>154</v>
      </c>
      <c r="D26" s="8">
        <f>VLOOKUP(Table2572[[#This Row],[Player]],ImportTable16[],2,FALSE)</f>
        <v>0.73333350000000008</v>
      </c>
      <c r="E26" s="8">
        <f>VLOOKUP(Table2572[[#This Row],[Player]],ImportTable16[],3,FALSE)</f>
        <v>1.013889</v>
      </c>
      <c r="F26" s="8">
        <f>VLOOKUP(Table2572[[#This Row],[Player]],ImportTable16[],4,FALSE)</f>
        <v>43</v>
      </c>
      <c r="G26" s="8">
        <f>VLOOKUP(Table2572[[#This Row],[Player]],ImportTable16[],5,FALSE)</f>
        <v>78</v>
      </c>
      <c r="H26" s="8">
        <f>VLOOKUP(Table2572[[#This Row],[Player]],ImportTable16[],6,FALSE)</f>
        <v>75</v>
      </c>
      <c r="I26" s="8">
        <f>VLOOKUP(Table2572[[#This Row],[Player]],ImportTable16[],7,FALSE)</f>
        <v>50</v>
      </c>
      <c r="J26" s="77">
        <f>VLOOKUP(Table2572[[#This Row],[Player]],ImportTable16[],8,FALSE)</f>
        <v>54.060249999999996</v>
      </c>
      <c r="K26" s="77">
        <f>VLOOKUP(Table2572[[#This Row],[Player]],ImportTable16[],9,FALSE)</f>
        <v>64.346670000000003</v>
      </c>
      <c r="L26" s="8">
        <f>VLOOKUP(Table2572[[#This Row],[Player]],ImportTable16[],10,FALSE)</f>
        <v>18</v>
      </c>
      <c r="M26" s="8">
        <f>VLOOKUP(Table2572[[#This Row],[Player]],ImportTable16[],11,FALSE)</f>
        <v>27</v>
      </c>
      <c r="N26" s="3">
        <f>IFERROR(Table2572[[#This Row],[Ranked Wins]]/(Table2572[[#This Row],[Ranked Wins]]+Table2572[[#This Row],[Ranked Losses]]),0)</f>
        <v>0.4</v>
      </c>
      <c r="O26" s="3">
        <f>IFERROR(Table2572[[#This Row],[Attack Wins]]/(Table2572[[#This Row],[Attack Wins]]+Table2572[[#This Row],[Attack Losses]]),0)</f>
        <v>0.35537190082644626</v>
      </c>
      <c r="P26" s="3">
        <f>IFERROR(Table2572[[#This Row],[Defense Wins]]/(Table2572[[#This Row],[Defense Wins]]+Table2572[[#This Row],[Defense Losses]]),0)</f>
        <v>0.6</v>
      </c>
      <c r="Q26" s="1" cm="1">
        <f t="array" ref="Q26">IFERROR(SUMPRODUCT((#REF!=Table2572[[#This Row],[Player]])*#REF!),0)</f>
        <v>0</v>
      </c>
      <c r="R26" s="1" cm="1">
        <f t="array" ref="R26">IFERROR(SUMPRODUCT((#REF!=Table2572[[#This Row],[Player]])*#REF!),0)</f>
        <v>0</v>
      </c>
      <c r="S26" s="1">
        <f>Table2572[[#This Row],[Wins in Stacks]]+Table2572[[#This Row],[Losses in Stacks]]</f>
        <v>0</v>
      </c>
      <c r="T26" s="3">
        <f>IFERROR(Table2572[[#This Row],[Wins in Stacks]]/Table2572[[#This Row],[Total Games In Stacks]],0)</f>
        <v>0</v>
      </c>
      <c r="U26" s="75">
        <v>0.1</v>
      </c>
      <c r="V26" s="21">
        <v>4</v>
      </c>
      <c r="W26" s="20" cm="1">
        <f t="array" ref="W26">(Table2572[[#This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-2.1749251084641035</v>
      </c>
    </row>
    <row r="27" spans="1:38">
      <c r="A27" s="1" t="str">
        <f>IF(W27&gt;7.5, "TIER 1",
IF(W27&gt;6.5, "TIER 2",
IF(W27&gt;5.5, "TIER 3",
IF(W27&gt;4.5, "TIER 4",
IF(W27&gt;3.5, "TIER 5",
IF(W27&gt;2,  "TIER 6",
IF(W27&gt;0,  "TIER 7",
"TIER 8")))))))</f>
        <v>TIER 8</v>
      </c>
      <c r="B27" s="85" t="s">
        <v>155</v>
      </c>
      <c r="C27" s="85" t="s">
        <v>155</v>
      </c>
      <c r="D27" s="8">
        <f>VLOOKUP(Table2572[[#This Row],[Player]],ImportTable16[],2,FALSE)</f>
        <v>0</v>
      </c>
      <c r="E27" s="8">
        <f>VLOOKUP(Table2572[[#This Row],[Player]],ImportTable16[],3,FALSE)</f>
        <v>0</v>
      </c>
      <c r="F27" s="8">
        <f>VLOOKUP(Table2572[[#This Row],[Player]],ImportTable16[],4,FALSE)</f>
        <v>0</v>
      </c>
      <c r="G27" s="8">
        <f>VLOOKUP(Table2572[[#This Row],[Player]],ImportTable16[],5,FALSE)</f>
        <v>0</v>
      </c>
      <c r="H27" s="8">
        <f>VLOOKUP(Table2572[[#This Row],[Player]],ImportTable16[],6,FALSE)</f>
        <v>0</v>
      </c>
      <c r="I27" s="8">
        <f>VLOOKUP(Table2572[[#This Row],[Player]],ImportTable16[],7,FALSE)</f>
        <v>0</v>
      </c>
      <c r="J27" s="77">
        <f>VLOOKUP(Table2572[[#This Row],[Player]],ImportTable16[],8,FALSE)</f>
        <v>0</v>
      </c>
      <c r="K27" s="77">
        <f>VLOOKUP(Table2572[[#This Row],[Player]],ImportTable16[],9,FALSE)</f>
        <v>0</v>
      </c>
      <c r="L27" s="8">
        <f>VLOOKUP(Table2572[[#This Row],[Player]],ImportTable16[],10,FALSE)</f>
        <v>0</v>
      </c>
      <c r="M27" s="8">
        <f>VLOOKUP(Table2572[[#This Row],[Player]],ImportTable16[],11,FALSE)</f>
        <v>0</v>
      </c>
      <c r="N27" s="3">
        <f>IFERROR(Table2572[[#This Row],[Ranked Wins]]/(Table2572[[#This Row],[Ranked Wins]]+Table2572[[#This Row],[Ranked Losses]]),0)</f>
        <v>0</v>
      </c>
      <c r="O27" s="3">
        <f>IFERROR(Table2572[[#This Row],[Attack Wins]]/(Table2572[[#This Row],[Attack Wins]]+Table2572[[#This Row],[Attack Losses]]),0)</f>
        <v>0</v>
      </c>
      <c r="P27" s="3">
        <f>IFERROR(Table2572[[#This Row],[Defense Wins]]/(Table2572[[#This Row],[Defense Wins]]+Table2572[[#This Row],[Defense Losses]]),0)</f>
        <v>0</v>
      </c>
      <c r="Q27" s="1" cm="1">
        <f t="array" ref="Q27">IFERROR(SUMPRODUCT((#REF!=Table2572[[#This Row],[Player]])*#REF!),0)</f>
        <v>0</v>
      </c>
      <c r="R27" s="1" cm="1">
        <f t="array" ref="R27">IFERROR(SUMPRODUCT((#REF!=Table2572[[#This Row],[Player]])*#REF!),0)</f>
        <v>0</v>
      </c>
      <c r="S27" s="1">
        <f>Table2572[[#This Row],[Wins in Stacks]]+Table2572[[#This Row],[Losses in Stacks]]</f>
        <v>0</v>
      </c>
      <c r="T27" s="3">
        <f>IFERROR(Table2572[[#This Row],[Wins in Stacks]]/Table2572[[#This Row],[Total Games In Stacks]],0)</f>
        <v>0</v>
      </c>
      <c r="U27" s="75">
        <v>0.5</v>
      </c>
      <c r="V27" s="21">
        <v>3</v>
      </c>
      <c r="W27" s="20" cm="1">
        <f t="array" ref="W27">(Table2572[[#This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-24.316558616728564</v>
      </c>
    </row>
    <row r="28" spans="1:38">
      <c r="A28" s="1" t="str">
        <f>IF(W28&gt;7.5, "TIER 1",
IF(W28&gt;6.5, "TIER 2",
IF(W28&gt;5.5, "TIER 3",
IF(W28&gt;4.5, "TIER 4",
IF(W28&gt;3.5, "TIER 5",
IF(W28&gt;2,  "TIER 6",
IF(W28&gt;0,  "TIER 7",
"TIER 8")))))))</f>
        <v>TIER 8</v>
      </c>
      <c r="B28" s="1" t="s">
        <v>156</v>
      </c>
      <c r="C28" s="84" t="s">
        <v>157</v>
      </c>
      <c r="D28" s="8">
        <f>VLOOKUP(Table2572[[#This Row],[Player]],ImportTable16[],2,FALSE)</f>
        <v>0</v>
      </c>
      <c r="E28" s="8">
        <f>VLOOKUP(Table2572[[#This Row],[Player]],ImportTable16[],3,FALSE)</f>
        <v>0</v>
      </c>
      <c r="F28" s="8">
        <f>VLOOKUP(Table2572[[#This Row],[Player]],ImportTable16[],4,FALSE)</f>
        <v>0</v>
      </c>
      <c r="G28" s="8">
        <f>VLOOKUP(Table2572[[#This Row],[Player]],ImportTable16[],5,FALSE)</f>
        <v>0</v>
      </c>
      <c r="H28" s="8">
        <f>VLOOKUP(Table2572[[#This Row],[Player]],ImportTable16[],6,FALSE)</f>
        <v>0</v>
      </c>
      <c r="I28" s="8">
        <f>VLOOKUP(Table2572[[#This Row],[Player]],ImportTable16[],7,FALSE)</f>
        <v>0</v>
      </c>
      <c r="J28" s="77">
        <f>VLOOKUP(Table2572[[#This Row],[Player]],ImportTable16[],8,FALSE)</f>
        <v>0</v>
      </c>
      <c r="K28" s="77">
        <f>VLOOKUP(Table2572[[#This Row],[Player]],ImportTable16[],9,FALSE)</f>
        <v>0</v>
      </c>
      <c r="L28" s="8">
        <f>VLOOKUP(Table2572[[#This Row],[Player]],ImportTable16[],10,FALSE)</f>
        <v>0</v>
      </c>
      <c r="M28" s="8">
        <f>VLOOKUP(Table2572[[#This Row],[Player]],ImportTable16[],11,FALSE)</f>
        <v>0</v>
      </c>
      <c r="N28" s="3">
        <f>IFERROR(Table2572[[#This Row],[Ranked Wins]]/(Table2572[[#This Row],[Ranked Wins]]+Table2572[[#This Row],[Ranked Losses]]),0)</f>
        <v>0</v>
      </c>
      <c r="O28" s="3">
        <f>IFERROR(Table2572[[#This Row],[Attack Wins]]/(Table2572[[#This Row],[Attack Wins]]+Table2572[[#This Row],[Attack Losses]]),0)</f>
        <v>0</v>
      </c>
      <c r="P28" s="3">
        <f>IFERROR(Table2572[[#This Row],[Defense Wins]]/(Table2572[[#This Row],[Defense Wins]]+Table2572[[#This Row],[Defense Losses]]),0)</f>
        <v>0</v>
      </c>
      <c r="Q28" s="1" cm="1">
        <f t="array" ref="Q28">IFERROR(SUMPRODUCT((#REF!=Table2572[[#This Row],[Player]])*#REF!),0)</f>
        <v>0</v>
      </c>
      <c r="R28" s="1" cm="1">
        <f t="array" ref="R28">IFERROR(SUMPRODUCT((#REF!=Table2572[[#This Row],[Player]])*#REF!),0)</f>
        <v>0</v>
      </c>
      <c r="S28" s="1">
        <f>Table2572[[#This Row],[Wins in Stacks]]+Table2572[[#This Row],[Losses in Stacks]]</f>
        <v>0</v>
      </c>
      <c r="T28" s="3">
        <f>IFERROR(Table2572[[#This Row],[Wins in Stacks]]/Table2572[[#This Row],[Total Games In Stacks]],0)</f>
        <v>0</v>
      </c>
      <c r="U28" s="75">
        <v>0.01</v>
      </c>
      <c r="V28" s="21">
        <v>5</v>
      </c>
      <c r="W28" s="20" cm="1">
        <f t="array" ref="W28">(Table2572[[#This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-31.216558616728562</v>
      </c>
    </row>
    <row r="29" spans="1:38">
      <c r="A29" s="1" t="str">
        <f>IF(W29&gt;7.5, "TIER 1",
IF(W29&gt;6.5, "TIER 2",
IF(W29&gt;5.5, "TIER 3",
IF(W29&gt;4.5, "TIER 4",
IF(W29&gt;3.5, "TIER 5",
IF(W29&gt;2,  "TIER 6",
IF(W29&gt;0,  "TIER 7",
"TIER 8")))))))</f>
        <v>TIER 8</v>
      </c>
      <c r="B29" s="86" t="s">
        <v>158</v>
      </c>
      <c r="C29" s="83" t="s">
        <v>159</v>
      </c>
      <c r="D29" s="8">
        <f>VLOOKUP(Table2572[[#This Row],[Player]],ImportTable16[],2,FALSE)</f>
        <v>0</v>
      </c>
      <c r="E29" s="8">
        <f>VLOOKUP(Table2572[[#This Row],[Player]],ImportTable16[],3,FALSE)</f>
        <v>0</v>
      </c>
      <c r="F29" s="8">
        <f>VLOOKUP(Table2572[[#This Row],[Player]],ImportTable16[],4,FALSE)</f>
        <v>0</v>
      </c>
      <c r="G29" s="8">
        <f>VLOOKUP(Table2572[[#This Row],[Player]],ImportTable16[],5,FALSE)</f>
        <v>0</v>
      </c>
      <c r="H29" s="8">
        <f>VLOOKUP(Table2572[[#This Row],[Player]],ImportTable16[],6,FALSE)</f>
        <v>0</v>
      </c>
      <c r="I29" s="8">
        <f>VLOOKUP(Table2572[[#This Row],[Player]],ImportTable16[],7,FALSE)</f>
        <v>0</v>
      </c>
      <c r="J29" s="77">
        <f>VLOOKUP(Table2572[[#This Row],[Player]],ImportTable16[],8,FALSE)</f>
        <v>0</v>
      </c>
      <c r="K29" s="77">
        <f>VLOOKUP(Table2572[[#This Row],[Player]],ImportTable16[],9,FALSE)</f>
        <v>0</v>
      </c>
      <c r="L29" s="8">
        <f>VLOOKUP(Table2572[[#This Row],[Player]],ImportTable16[],10,FALSE)</f>
        <v>0</v>
      </c>
      <c r="M29" s="8">
        <f>VLOOKUP(Table2572[[#This Row],[Player]],ImportTable16[],11,FALSE)</f>
        <v>0</v>
      </c>
      <c r="N29" s="3">
        <f>IFERROR(Table2572[[#This Row],[Ranked Wins]]/(Table2572[[#This Row],[Ranked Wins]]+Table2572[[#This Row],[Ranked Losses]]),0)</f>
        <v>0</v>
      </c>
      <c r="O29" s="3">
        <f>IFERROR(Table2572[[#This Row],[Attack Wins]]/(Table2572[[#This Row],[Attack Wins]]+Table2572[[#This Row],[Attack Losses]]),0)</f>
        <v>0</v>
      </c>
      <c r="P29" s="3">
        <f>IFERROR(Table2572[[#This Row],[Defense Wins]]/(Table2572[[#This Row],[Defense Wins]]+Table2572[[#This Row],[Defense Losses]]),0)</f>
        <v>0</v>
      </c>
      <c r="Q29" s="1" cm="1">
        <f t="array" ref="Q29">IFERROR(SUMPRODUCT((#REF!=Table2572[[#This Row],[Player]])*#REF!),0)</f>
        <v>0</v>
      </c>
      <c r="R29" s="1" cm="1">
        <f t="array" ref="R29">IFERROR(SUMPRODUCT((#REF!=Table2572[[#This Row],[Player]])*#REF!),0)</f>
        <v>0</v>
      </c>
      <c r="S29" s="1">
        <f>Table2572[[#This Row],[Wins in Stacks]]+Table2572[[#This Row],[Losses in Stacks]]</f>
        <v>0</v>
      </c>
      <c r="T29" s="3">
        <f>IFERROR(Table2572[[#This Row],[Wins in Stacks]]/Table2572[[#This Row],[Total Games In Stacks]],0)</f>
        <v>0</v>
      </c>
      <c r="U29" s="75">
        <v>0.01</v>
      </c>
      <c r="V29" s="21">
        <v>6</v>
      </c>
      <c r="W29" s="20" cm="1">
        <f t="array" ref="W29">(Table2572[[#This Row],[Attack K/D]]-Table583[Avg A K/D])+((Table2572[[#This Row],[Defense K/D]]-Table583[Avg D K/D])+(Table2572[[#This Row],[Attack KOST]]-Table583[A KOST])/10)+((Table2572[[#This Row],[Defense KOST]]-Table583[D KOST])/10)+((Table2572[[#This Row],[Attack Win%]]-Table583[Avg Attack W%])*10)+((Table2572[[#This Row],[Defense Win%]]-Table583[Avg Defense W%])*10)+((Table2572[[#This Row],[Ranked Win%]]-Table583[Avg Rank Win %])*10)+((Table2572[[#This Row],[Win% in Stack]]-Table583[Avg Stack Win%])*10)*2+((Table2572[[#This Row],[Comm''s %]]-Table583[Avg Comm''s %])*10)+(Table583[Avg Selfish  1-5]-Table2572[[#This Row],[Selfish  1-5]])</f>
        <v>-32.216558616728562</v>
      </c>
    </row>
    <row r="30" spans="1:38">
      <c r="A30" s="210" t="s">
        <v>160</v>
      </c>
      <c r="B30" s="210"/>
      <c r="C30" s="210"/>
      <c r="D30" s="210"/>
      <c r="E30" s="210"/>
      <c r="F30" s="210"/>
      <c r="G30" s="210"/>
      <c r="H30" s="210"/>
      <c r="I30" s="210"/>
      <c r="J30" s="210"/>
      <c r="K30" s="210"/>
      <c r="L30" s="1"/>
      <c r="M30" s="1"/>
      <c r="N30" s="1"/>
      <c r="O30" s="1"/>
      <c r="P30" s="1"/>
      <c r="Q30" s="1"/>
      <c r="R30" s="1"/>
      <c r="S30" s="1"/>
      <c r="T30" s="1"/>
      <c r="U30" s="1"/>
      <c r="V30" s="1"/>
    </row>
    <row r="31" spans="1:38">
      <c r="A31" s="78" t="s">
        <v>50</v>
      </c>
      <c r="B31" s="79" t="s">
        <v>51</v>
      </c>
      <c r="C31" s="79" t="s">
        <v>52</v>
      </c>
      <c r="D31" s="79" t="s">
        <v>53</v>
      </c>
      <c r="E31" s="79" t="s">
        <v>54</v>
      </c>
      <c r="F31" s="79" t="s">
        <v>55</v>
      </c>
      <c r="G31" s="79" t="s">
        <v>56</v>
      </c>
      <c r="H31" s="79" t="s">
        <v>57</v>
      </c>
      <c r="I31" s="79" t="s">
        <v>58</v>
      </c>
      <c r="J31" s="79" t="s">
        <v>59</v>
      </c>
      <c r="K31" s="79" t="s">
        <v>60</v>
      </c>
      <c r="L31" s="1"/>
      <c r="M31" s="1"/>
      <c r="N31" s="1"/>
      <c r="O31" s="1"/>
      <c r="P31" s="1"/>
      <c r="Q31" s="1"/>
      <c r="R31" s="1"/>
      <c r="S31" s="1"/>
      <c r="T31" s="1"/>
      <c r="U31" s="1"/>
      <c r="V31" s="1"/>
    </row>
    <row r="32" spans="1:38">
      <c r="A32" s="8" t="s">
        <v>77</v>
      </c>
      <c r="B32"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1.1807574999999999</v>
      </c>
      <c r="C32"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1.5288225</v>
      </c>
      <c r="D32" s="8">
        <f>(VLOOKUP(ImportTable16[[#This Row],[Player]],ImportTable[],4,FALSE)+
VLOOKUP(ImportTable16[[#This Row],[Player]],ImportTable15[],4,FALSE)
)</f>
        <v>695</v>
      </c>
      <c r="E32" s="8">
        <f>(VLOOKUP(ImportTable16[[#This Row],[Player]],ImportTable[],5,FALSE)+
VLOOKUP(ImportTable16[[#This Row],[Player]],ImportTable15[],5,FALSE)
)</f>
        <v>901</v>
      </c>
      <c r="F32" s="8">
        <f>(VLOOKUP(ImportTable16[[#This Row],[Player]],ImportTable[],6,FALSE)+
VLOOKUP(ImportTable16[[#This Row],[Player]],ImportTable15[],6,FALSE)
)</f>
        <v>974</v>
      </c>
      <c r="G32" s="8">
        <f>(VLOOKUP(ImportTable16[[#This Row],[Player]],ImportTable[],7,FALSE)+
VLOOKUP(ImportTable16[[#This Row],[Player]],ImportTable15[],7,FALSE)
)</f>
        <v>624</v>
      </c>
      <c r="H32"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58.333649999999999</v>
      </c>
      <c r="I32"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69.221564999999998</v>
      </c>
      <c r="J32" s="8">
        <f>(VLOOKUP(ImportTable16[[#This Row],[Player]],ImportTable[],10,FALSE)+
VLOOKUP(ImportTable16[[#This Row],[Player]],ImportTable15[],10,FALSE)
)</f>
        <v>290</v>
      </c>
      <c r="K32" s="8">
        <f>(VLOOKUP(ImportTable16[[#This Row],[Player]],ImportTable[],11,FALSE)+
VLOOKUP(ImportTable16[[#This Row],[Player]],ImportTable15[],11,FALSE)
)</f>
        <v>249</v>
      </c>
      <c r="L32" s="1"/>
      <c r="M32" s="1"/>
      <c r="N32" s="1"/>
      <c r="O32" s="1"/>
      <c r="P32" s="1"/>
      <c r="Q32" s="1"/>
      <c r="R32" s="1"/>
      <c r="S32" s="1"/>
      <c r="T32" s="1"/>
      <c r="U32" s="1"/>
      <c r="V32" s="1"/>
    </row>
    <row r="33" spans="1:22">
      <c r="A33" s="8" t="s">
        <v>161</v>
      </c>
      <c r="B33"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0.90151499999999996</v>
      </c>
      <c r="C33"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0.941909</v>
      </c>
      <c r="D33" s="8">
        <f>(VLOOKUP(ImportTable16[[#This Row],[Player]],ImportTable[],4,FALSE)+
VLOOKUP(ImportTable16[[#This Row],[Player]],ImportTable15[],4,FALSE)
)</f>
        <v>160</v>
      </c>
      <c r="E33" s="8">
        <f>(VLOOKUP(ImportTable16[[#This Row],[Player]],ImportTable[],5,FALSE)+
VLOOKUP(ImportTable16[[#This Row],[Player]],ImportTable15[],5,FALSE)
)</f>
        <v>207</v>
      </c>
      <c r="F33" s="8">
        <f>(VLOOKUP(ImportTable16[[#This Row],[Player]],ImportTable[],6,FALSE)+
VLOOKUP(ImportTable16[[#This Row],[Player]],ImportTable15[],6,FALSE)
)</f>
        <v>226</v>
      </c>
      <c r="G33" s="8">
        <f>(VLOOKUP(ImportTable16[[#This Row],[Player]],ImportTable[],7,FALSE)+
VLOOKUP(ImportTable16[[#This Row],[Player]],ImportTable15[],7,FALSE)
)</f>
        <v>136</v>
      </c>
      <c r="H33"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44.643000000000001</v>
      </c>
      <c r="I33"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69.809470000000005</v>
      </c>
      <c r="J33" s="8">
        <f>(VLOOKUP(ImportTable16[[#This Row],[Player]],ImportTable[],10,FALSE)+
VLOOKUP(ImportTable16[[#This Row],[Player]],ImportTable15[],10,FALSE)
)</f>
        <v>70</v>
      </c>
      <c r="K33" s="8">
        <f>(VLOOKUP(ImportTable16[[#This Row],[Player]],ImportTable[],11,FALSE)+
VLOOKUP(ImportTable16[[#This Row],[Player]],ImportTable15[],11,FALSE)
)</f>
        <v>53</v>
      </c>
      <c r="L33" s="1"/>
      <c r="M33" s="1"/>
      <c r="N33" s="1"/>
      <c r="O33" s="1"/>
      <c r="P33" s="1"/>
      <c r="Q33" s="1"/>
      <c r="R33" s="1"/>
      <c r="S33" s="1"/>
      <c r="T33" s="1"/>
      <c r="U33" s="1"/>
      <c r="V33" s="1"/>
    </row>
    <row r="34" spans="1:22">
      <c r="A34" s="8" t="s">
        <v>162</v>
      </c>
      <c r="B34"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0.72618300000000002</v>
      </c>
      <c r="C34"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0.85292449999999997</v>
      </c>
      <c r="D34" s="8">
        <f>(VLOOKUP(ImportTable16[[#This Row],[Player]],ImportTable[],4,FALSE)+
VLOOKUP(ImportTable16[[#This Row],[Player]],ImportTable15[],4,FALSE)
)</f>
        <v>403</v>
      </c>
      <c r="E34" s="8">
        <f>(VLOOKUP(ImportTable16[[#This Row],[Player]],ImportTable[],5,FALSE)+
VLOOKUP(ImportTable16[[#This Row],[Player]],ImportTable15[],5,FALSE)
)</f>
        <v>528</v>
      </c>
      <c r="F34" s="8">
        <f>(VLOOKUP(ImportTable16[[#This Row],[Player]],ImportTable[],6,FALSE)+
VLOOKUP(ImportTable16[[#This Row],[Player]],ImportTable15[],6,FALSE)
)</f>
        <v>579</v>
      </c>
      <c r="G34" s="8">
        <f>(VLOOKUP(ImportTable16[[#This Row],[Player]],ImportTable[],7,FALSE)+
VLOOKUP(ImportTable16[[#This Row],[Player]],ImportTable15[],7,FALSE)
)</f>
        <v>352</v>
      </c>
      <c r="H34"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55.095475000000008</v>
      </c>
      <c r="I34"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55.680959999999999</v>
      </c>
      <c r="J34" s="8">
        <f>(VLOOKUP(ImportTable16[[#This Row],[Player]],ImportTable[],10,FALSE)+
VLOOKUP(ImportTable16[[#This Row],[Player]],ImportTable15[],10,FALSE)
)</f>
        <v>169</v>
      </c>
      <c r="K34" s="8">
        <f>(VLOOKUP(ImportTable16[[#This Row],[Player]],ImportTable[],11,FALSE)+
VLOOKUP(ImportTable16[[#This Row],[Player]],ImportTable15[],11,FALSE)
)</f>
        <v>144</v>
      </c>
      <c r="L34" s="1"/>
      <c r="M34" s="1"/>
      <c r="N34" s="1"/>
      <c r="O34" s="1"/>
      <c r="P34" s="1"/>
      <c r="Q34" s="1"/>
      <c r="R34" s="1"/>
      <c r="S34" s="1"/>
      <c r="T34" s="1"/>
      <c r="U34" s="1"/>
      <c r="V34" s="1"/>
    </row>
    <row r="35" spans="1:22">
      <c r="A35" s="8" t="s">
        <v>104</v>
      </c>
      <c r="B35"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1.1200000000000001</v>
      </c>
      <c r="C35"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1.9583330000000001</v>
      </c>
      <c r="D35" s="8">
        <f>(VLOOKUP(ImportTable16[[#This Row],[Player]],ImportTable[],4,FALSE)+
VLOOKUP(ImportTable16[[#This Row],[Player]],ImportTable15[],4,FALSE)
)</f>
        <v>32</v>
      </c>
      <c r="E35" s="8">
        <f>(VLOOKUP(ImportTable16[[#This Row],[Player]],ImportTable[],5,FALSE)+
VLOOKUP(ImportTable16[[#This Row],[Player]],ImportTable15[],5,FALSE)
)</f>
        <v>41</v>
      </c>
      <c r="F35" s="8">
        <f>(VLOOKUP(ImportTable16[[#This Row],[Player]],ImportTable[],6,FALSE)+
VLOOKUP(ImportTable16[[#This Row],[Player]],ImportTable15[],6,FALSE)
)</f>
        <v>48</v>
      </c>
      <c r="G35" s="8">
        <f>(VLOOKUP(ImportTable16[[#This Row],[Player]],ImportTable[],7,FALSE)+
VLOOKUP(ImportTable16[[#This Row],[Player]],ImportTable15[],7,FALSE)
)</f>
        <v>30</v>
      </c>
      <c r="H35"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42.21</v>
      </c>
      <c r="I35"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88.046250000000001</v>
      </c>
      <c r="J35" s="8">
        <f>(VLOOKUP(ImportTable16[[#This Row],[Player]],ImportTable[],10,FALSE)+
VLOOKUP(ImportTable16[[#This Row],[Player]],ImportTable15[],10,FALSE)
)</f>
        <v>13</v>
      </c>
      <c r="K35" s="8">
        <f>(VLOOKUP(ImportTable16[[#This Row],[Player]],ImportTable[],11,FALSE)+
VLOOKUP(ImportTable16[[#This Row],[Player]],ImportTable15[],11,FALSE)
)</f>
        <v>9</v>
      </c>
      <c r="L35" s="1"/>
      <c r="M35" s="1"/>
      <c r="N35" s="1"/>
      <c r="O35" s="1"/>
      <c r="P35" s="1"/>
      <c r="Q35" s="1"/>
      <c r="R35" s="1"/>
      <c r="S35" s="1"/>
      <c r="T35" s="1"/>
      <c r="U35" s="1"/>
      <c r="V35" s="1"/>
    </row>
    <row r="36" spans="1:22">
      <c r="A36" s="8" t="s">
        <v>86</v>
      </c>
      <c r="B36"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1.1572944999999999</v>
      </c>
      <c r="C36"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1.2406765</v>
      </c>
      <c r="D36" s="8">
        <f>(VLOOKUP(ImportTable16[[#This Row],[Player]],ImportTable[],4,FALSE)+
VLOOKUP(ImportTable16[[#This Row],[Player]],ImportTable15[],4,FALSE)
)</f>
        <v>231</v>
      </c>
      <c r="E36" s="8">
        <f>(VLOOKUP(ImportTable16[[#This Row],[Player]],ImportTable[],5,FALSE)+
VLOOKUP(ImportTable16[[#This Row],[Player]],ImportTable15[],5,FALSE)
)</f>
        <v>271</v>
      </c>
      <c r="F36" s="8">
        <f>(VLOOKUP(ImportTable16[[#This Row],[Player]],ImportTable[],6,FALSE)+
VLOOKUP(ImportTable16[[#This Row],[Player]],ImportTable15[],6,FALSE)
)</f>
        <v>292</v>
      </c>
      <c r="G36" s="8">
        <f>(VLOOKUP(ImportTable16[[#This Row],[Player]],ImportTable[],7,FALSE)+
VLOOKUP(ImportTable16[[#This Row],[Player]],ImportTable15[],7,FALSE)
)</f>
        <v>194</v>
      </c>
      <c r="H36"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56.890625</v>
      </c>
      <c r="I36"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61.063580000000002</v>
      </c>
      <c r="J36" s="8">
        <f>(VLOOKUP(ImportTable16[[#This Row],[Player]],ImportTable[],10,FALSE)+
VLOOKUP(ImportTable16[[#This Row],[Player]],ImportTable15[],10,FALSE)
)</f>
        <v>78</v>
      </c>
      <c r="K36" s="8">
        <f>(VLOOKUP(ImportTable16[[#This Row],[Player]],ImportTable[],11,FALSE)+
VLOOKUP(ImportTable16[[#This Row],[Player]],ImportTable15[],11,FALSE)
)</f>
        <v>67</v>
      </c>
    </row>
    <row r="37" spans="1:22">
      <c r="A37" s="8" t="s">
        <v>111</v>
      </c>
      <c r="B37"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1.0782965</v>
      </c>
      <c r="C37"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1.323733</v>
      </c>
      <c r="D37" s="8">
        <f>(VLOOKUP(ImportTable16[[#This Row],[Player]],ImportTable[],4,FALSE)+
VLOOKUP(ImportTable16[[#This Row],[Player]],ImportTable15[],4,FALSE)
)</f>
        <v>239</v>
      </c>
      <c r="E37" s="8">
        <f>(VLOOKUP(ImportTable16[[#This Row],[Player]],ImportTable[],5,FALSE)+
VLOOKUP(ImportTable16[[#This Row],[Player]],ImportTable15[],5,FALSE)
)</f>
        <v>346</v>
      </c>
      <c r="F37" s="8">
        <f>(VLOOKUP(ImportTable16[[#This Row],[Player]],ImportTable[],6,FALSE)+
VLOOKUP(ImportTable16[[#This Row],[Player]],ImportTable15[],6,FALSE)
)</f>
        <v>351</v>
      </c>
      <c r="G37" s="8">
        <f>(VLOOKUP(ImportTable16[[#This Row],[Player]],ImportTable[],7,FALSE)+
VLOOKUP(ImportTable16[[#This Row],[Player]],ImportTable15[],7,FALSE)
)</f>
        <v>239</v>
      </c>
      <c r="H37"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64.029115000000004</v>
      </c>
      <c r="I37"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64.757024999999999</v>
      </c>
      <c r="J37" s="8">
        <f>(VLOOKUP(ImportTable16[[#This Row],[Player]],ImportTable[],10,FALSE)+
VLOOKUP(ImportTable16[[#This Row],[Player]],ImportTable15[],10,FALSE)
)</f>
        <v>100</v>
      </c>
      <c r="K37" s="8">
        <f>(VLOOKUP(ImportTable16[[#This Row],[Player]],ImportTable[],11,FALSE)+
VLOOKUP(ImportTable16[[#This Row],[Player]],ImportTable15[],11,FALSE)
)</f>
        <v>97</v>
      </c>
    </row>
    <row r="38" spans="1:22">
      <c r="A38" s="8" t="s">
        <v>81</v>
      </c>
      <c r="B38"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0.730908</v>
      </c>
      <c r="C38"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1.037444</v>
      </c>
      <c r="D38" s="8">
        <f>(VLOOKUP(ImportTable16[[#This Row],[Player]],ImportTable[],4,FALSE)+
VLOOKUP(ImportTable16[[#This Row],[Player]],ImportTable15[],4,FALSE)
)</f>
        <v>252</v>
      </c>
      <c r="E38" s="8">
        <f>(VLOOKUP(ImportTable16[[#This Row],[Player]],ImportTable[],5,FALSE)+
VLOOKUP(ImportTable16[[#This Row],[Player]],ImportTable15[],5,FALSE)
)</f>
        <v>408</v>
      </c>
      <c r="F38" s="8">
        <f>(VLOOKUP(ImportTable16[[#This Row],[Player]],ImportTable[],6,FALSE)+
VLOOKUP(ImportTable16[[#This Row],[Player]],ImportTable15[],6,FALSE)
)</f>
        <v>398</v>
      </c>
      <c r="G38" s="8">
        <f>(VLOOKUP(ImportTable16[[#This Row],[Player]],ImportTable[],7,FALSE)+
VLOOKUP(ImportTable16[[#This Row],[Player]],ImportTable15[],7,FALSE)
)</f>
        <v>269</v>
      </c>
      <c r="H38"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53.245069999999998</v>
      </c>
      <c r="I38"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67.370315000000005</v>
      </c>
      <c r="J38" s="8">
        <f>(VLOOKUP(ImportTable16[[#This Row],[Player]],ImportTable[],10,FALSE)+
VLOOKUP(ImportTable16[[#This Row],[Player]],ImportTable15[],10,FALSE)
)</f>
        <v>101</v>
      </c>
      <c r="K38" s="8">
        <f>(VLOOKUP(ImportTable16[[#This Row],[Player]],ImportTable[],11,FALSE)+
VLOOKUP(ImportTable16[[#This Row],[Player]],ImportTable15[],11,FALSE)
)</f>
        <v>112</v>
      </c>
    </row>
    <row r="39" spans="1:22">
      <c r="A39" s="8" t="s">
        <v>109</v>
      </c>
      <c r="B39"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0.65795999999999999</v>
      </c>
      <c r="C39"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0.66087399999999996</v>
      </c>
      <c r="D39" s="8">
        <f>(VLOOKUP(ImportTable16[[#This Row],[Player]],ImportTable[],4,FALSE)+
VLOOKUP(ImportTable16[[#This Row],[Player]],ImportTable15[],4,FALSE)
)</f>
        <v>168</v>
      </c>
      <c r="E39" s="8">
        <f>(VLOOKUP(ImportTable16[[#This Row],[Player]],ImportTable[],5,FALSE)+
VLOOKUP(ImportTable16[[#This Row],[Player]],ImportTable15[],5,FALSE)
)</f>
        <v>194</v>
      </c>
      <c r="F39" s="8">
        <f>(VLOOKUP(ImportTable16[[#This Row],[Player]],ImportTable[],6,FALSE)+
VLOOKUP(ImportTable16[[#This Row],[Player]],ImportTable15[],6,FALSE)
)</f>
        <v>195</v>
      </c>
      <c r="G39" s="8">
        <f>(VLOOKUP(ImportTable16[[#This Row],[Player]],ImportTable[],7,FALSE)+
VLOOKUP(ImportTable16[[#This Row],[Player]],ImportTable15[],7,FALSE)
)</f>
        <v>157</v>
      </c>
      <c r="H39"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37.408329999999999</v>
      </c>
      <c r="I39"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49.075710000000001</v>
      </c>
      <c r="J39" s="8">
        <f>(VLOOKUP(ImportTable16[[#This Row],[Player]],ImportTable[],10,FALSE)+
VLOOKUP(ImportTable16[[#This Row],[Player]],ImportTable15[],10,FALSE)
)</f>
        <v>63</v>
      </c>
      <c r="K39" s="8">
        <f>(VLOOKUP(ImportTable16[[#This Row],[Player]],ImportTable[],11,FALSE)+
VLOOKUP(ImportTable16[[#This Row],[Player]],ImportTable15[],11,FALSE)
)</f>
        <v>48</v>
      </c>
    </row>
    <row r="40" spans="1:22">
      <c r="A40" s="8" t="s">
        <v>138</v>
      </c>
      <c r="B40"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1.072516</v>
      </c>
      <c r="C40"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1.054149</v>
      </c>
      <c r="D40" s="8">
        <f>(VLOOKUP(ImportTable16[[#This Row],[Player]],ImportTable[],4,FALSE)+
VLOOKUP(ImportTable16[[#This Row],[Player]],ImportTable15[],4,FALSE)
)</f>
        <v>143</v>
      </c>
      <c r="E40" s="8">
        <f>(VLOOKUP(ImportTable16[[#This Row],[Player]],ImportTable[],5,FALSE)+
VLOOKUP(ImportTable16[[#This Row],[Player]],ImportTable15[],5,FALSE)
)</f>
        <v>189</v>
      </c>
      <c r="F40" s="8">
        <f>(VLOOKUP(ImportTable16[[#This Row],[Player]],ImportTable[],6,FALSE)+
VLOOKUP(ImportTable16[[#This Row],[Player]],ImportTable15[],6,FALSE)
)</f>
        <v>200</v>
      </c>
      <c r="G40" s="8">
        <f>(VLOOKUP(ImportTable16[[#This Row],[Player]],ImportTable[],7,FALSE)+
VLOOKUP(ImportTable16[[#This Row],[Player]],ImportTable15[],7,FALSE)
)</f>
        <v>131</v>
      </c>
      <c r="H40"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51.048575</v>
      </c>
      <c r="I40"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58.171199999999999</v>
      </c>
      <c r="J40" s="8">
        <f>(VLOOKUP(ImportTable16[[#This Row],[Player]],ImportTable[],10,FALSE)+
VLOOKUP(ImportTable16[[#This Row],[Player]],ImportTable15[],10,FALSE)
)</f>
        <v>66</v>
      </c>
      <c r="K40" s="8">
        <f>(VLOOKUP(ImportTable16[[#This Row],[Player]],ImportTable[],11,FALSE)+
VLOOKUP(ImportTable16[[#This Row],[Player]],ImportTable15[],11,FALSE)
)</f>
        <v>60</v>
      </c>
    </row>
    <row r="41" spans="1:22">
      <c r="A41" s="8" t="s">
        <v>96</v>
      </c>
      <c r="B41"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0.71181300000000003</v>
      </c>
      <c r="C41"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1.0348495</v>
      </c>
      <c r="D41" s="8">
        <f>(VLOOKUP(ImportTable16[[#This Row],[Player]],ImportTable[],4,FALSE)+
VLOOKUP(ImportTable16[[#This Row],[Player]],ImportTable15[],4,FALSE)
)</f>
        <v>224</v>
      </c>
      <c r="E41" s="8">
        <f>(VLOOKUP(ImportTable16[[#This Row],[Player]],ImportTable[],5,FALSE)+
VLOOKUP(ImportTable16[[#This Row],[Player]],ImportTable15[],5,FALSE)
)</f>
        <v>281</v>
      </c>
      <c r="F41" s="8">
        <f>(VLOOKUP(ImportTable16[[#This Row],[Player]],ImportTable[],6,FALSE)+
VLOOKUP(ImportTable16[[#This Row],[Player]],ImportTable15[],6,FALSE)
)</f>
        <v>303</v>
      </c>
      <c r="G41" s="8">
        <f>(VLOOKUP(ImportTable16[[#This Row],[Player]],ImportTable[],7,FALSE)+
VLOOKUP(ImportTable16[[#This Row],[Player]],ImportTable15[],7,FALSE)
)</f>
        <v>187</v>
      </c>
      <c r="H41"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44.634115000000001</v>
      </c>
      <c r="I41"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52.071345000000001</v>
      </c>
      <c r="J41" s="8">
        <f>(VLOOKUP(ImportTable16[[#This Row],[Player]],ImportTable[],10,FALSE)+
VLOOKUP(ImportTable16[[#This Row],[Player]],ImportTable15[],10,FALSE)
)</f>
        <v>95</v>
      </c>
      <c r="K41" s="8">
        <f>(VLOOKUP(ImportTable16[[#This Row],[Player]],ImportTable[],11,FALSE)+
VLOOKUP(ImportTable16[[#This Row],[Player]],ImportTable15[],11,FALSE)
)</f>
        <v>76</v>
      </c>
    </row>
    <row r="42" spans="1:22">
      <c r="A42" s="8" t="s">
        <v>140</v>
      </c>
      <c r="B42"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1.2704150000000001</v>
      </c>
      <c r="C42"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0.93864449999999999</v>
      </c>
      <c r="D42" s="8">
        <f>(VLOOKUP(ImportTable16[[#This Row],[Player]],ImportTable[],4,FALSE)+
VLOOKUP(ImportTable16[[#This Row],[Player]],ImportTable15[],4,FALSE)
)</f>
        <v>63</v>
      </c>
      <c r="E42" s="8">
        <f>(VLOOKUP(ImportTable16[[#This Row],[Player]],ImportTable[],5,FALSE)+
VLOOKUP(ImportTable16[[#This Row],[Player]],ImportTable15[],5,FALSE)
)</f>
        <v>72</v>
      </c>
      <c r="F42" s="8">
        <f>(VLOOKUP(ImportTable16[[#This Row],[Player]],ImportTable[],6,FALSE)+
VLOOKUP(ImportTable16[[#This Row],[Player]],ImportTable15[],6,FALSE)
)</f>
        <v>106</v>
      </c>
      <c r="G42" s="8">
        <f>(VLOOKUP(ImportTable16[[#This Row],[Player]],ImportTable[],7,FALSE)+
VLOOKUP(ImportTable16[[#This Row],[Player]],ImportTable15[],7,FALSE)
)</f>
        <v>44</v>
      </c>
      <c r="H42"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57.262630000000001</v>
      </c>
      <c r="I42"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59.385215000000002</v>
      </c>
      <c r="J42" s="8">
        <f>(VLOOKUP(ImportTable16[[#This Row],[Player]],ImportTable[],10,FALSE)+
VLOOKUP(ImportTable16[[#This Row],[Player]],ImportTable15[],10,FALSE)
)</f>
        <v>27</v>
      </c>
      <c r="K42" s="8">
        <f>(VLOOKUP(ImportTable16[[#This Row],[Player]],ImportTable[],11,FALSE)+
VLOOKUP(ImportTable16[[#This Row],[Player]],ImportTable15[],11,FALSE)
)</f>
        <v>12</v>
      </c>
    </row>
    <row r="43" spans="1:22">
      <c r="A43" s="8" t="s">
        <v>121</v>
      </c>
      <c r="B43"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0.98521000000000003</v>
      </c>
      <c r="C43"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1.1309145</v>
      </c>
      <c r="D43" s="8">
        <f>(VLOOKUP(ImportTable16[[#This Row],[Player]],ImportTable[],4,FALSE)+
VLOOKUP(ImportTable16[[#This Row],[Player]],ImportTable15[],4,FALSE)
)</f>
        <v>432</v>
      </c>
      <c r="E43" s="8">
        <f>(VLOOKUP(ImportTable16[[#This Row],[Player]],ImportTable[],5,FALSE)+
VLOOKUP(ImportTable16[[#This Row],[Player]],ImportTable15[],5,FALSE)
)</f>
        <v>598</v>
      </c>
      <c r="F43" s="8">
        <f>(VLOOKUP(ImportTable16[[#This Row],[Player]],ImportTable[],6,FALSE)+
VLOOKUP(ImportTable16[[#This Row],[Player]],ImportTable15[],6,FALSE)
)</f>
        <v>595</v>
      </c>
      <c r="G43" s="8">
        <f>(VLOOKUP(ImportTable16[[#This Row],[Player]],ImportTable[],7,FALSE)+
VLOOKUP(ImportTable16[[#This Row],[Player]],ImportTable15[],7,FALSE)
)</f>
        <v>430</v>
      </c>
      <c r="H43"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55.736095000000006</v>
      </c>
      <c r="I43"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61.337415</v>
      </c>
      <c r="J43" s="8">
        <f>(VLOOKUP(ImportTable16[[#This Row],[Player]],ImportTable[],10,FALSE)+
VLOOKUP(ImportTable16[[#This Row],[Player]],ImportTable15[],10,FALSE)
)</f>
        <v>168</v>
      </c>
      <c r="K43" s="8">
        <f>(VLOOKUP(ImportTable16[[#This Row],[Player]],ImportTable[],11,FALSE)+
VLOOKUP(ImportTable16[[#This Row],[Player]],ImportTable15[],11,FALSE)
)</f>
        <v>164</v>
      </c>
    </row>
    <row r="44" spans="1:22">
      <c r="A44" s="8" t="s">
        <v>125</v>
      </c>
      <c r="B44"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0.70631650000000001</v>
      </c>
      <c r="C44"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0.78611600000000004</v>
      </c>
      <c r="D44" s="8">
        <f>(VLOOKUP(ImportTable16[[#This Row],[Player]],ImportTable[],4,FALSE)+
VLOOKUP(ImportTable16[[#This Row],[Player]],ImportTable15[],4,FALSE)
)</f>
        <v>89</v>
      </c>
      <c r="E44" s="8">
        <f>(VLOOKUP(ImportTable16[[#This Row],[Player]],ImportTable[],5,FALSE)+
VLOOKUP(ImportTable16[[#This Row],[Player]],ImportTable15[],5,FALSE)
)</f>
        <v>135</v>
      </c>
      <c r="F44" s="8">
        <f>(VLOOKUP(ImportTable16[[#This Row],[Player]],ImportTable[],6,FALSE)+
VLOOKUP(ImportTable16[[#This Row],[Player]],ImportTable15[],6,FALSE)
)</f>
        <v>128</v>
      </c>
      <c r="G44" s="8">
        <f>(VLOOKUP(ImportTable16[[#This Row],[Player]],ImportTable[],7,FALSE)+
VLOOKUP(ImportTable16[[#This Row],[Player]],ImportTable15[],7,FALSE)
)</f>
        <v>96</v>
      </c>
      <c r="H44"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50.592709999999997</v>
      </c>
      <c r="I44"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47.359335000000002</v>
      </c>
      <c r="J44" s="8">
        <f>(VLOOKUP(ImportTable16[[#This Row],[Player]],ImportTable[],10,FALSE)+
VLOOKUP(ImportTable16[[#This Row],[Player]],ImportTable15[],10,FALSE)
)</f>
        <v>40</v>
      </c>
      <c r="K44" s="8">
        <f>(VLOOKUP(ImportTable16[[#This Row],[Player]],ImportTable[],11,FALSE)+
VLOOKUP(ImportTable16[[#This Row],[Player]],ImportTable15[],11,FALSE)
)</f>
        <v>38</v>
      </c>
    </row>
    <row r="45" spans="1:22">
      <c r="A45" s="8" t="s">
        <v>113</v>
      </c>
      <c r="B45"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0.81666649999999996</v>
      </c>
      <c r="C45"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0.82291650000000005</v>
      </c>
      <c r="D45" s="8">
        <f>(VLOOKUP(ImportTable16[[#This Row],[Player]],ImportTable[],4,FALSE)+
VLOOKUP(ImportTable16[[#This Row],[Player]],ImportTable15[],4,FALSE)
)</f>
        <v>41</v>
      </c>
      <c r="E45" s="8">
        <f>(VLOOKUP(ImportTable16[[#This Row],[Player]],ImportTable[],5,FALSE)+
VLOOKUP(ImportTable16[[#This Row],[Player]],ImportTable15[],5,FALSE)
)</f>
        <v>54</v>
      </c>
      <c r="F45" s="8">
        <f>(VLOOKUP(ImportTable16[[#This Row],[Player]],ImportTable[],6,FALSE)+
VLOOKUP(ImportTable16[[#This Row],[Player]],ImportTable15[],6,FALSE)
)</f>
        <v>52</v>
      </c>
      <c r="G45" s="8">
        <f>(VLOOKUP(ImportTable16[[#This Row],[Player]],ImportTable[],7,FALSE)+
VLOOKUP(ImportTable16[[#This Row],[Player]],ImportTable15[],7,FALSE)
)</f>
        <v>38</v>
      </c>
      <c r="H45"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47.694375000000001</v>
      </c>
      <c r="I45"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47.824375000000003</v>
      </c>
      <c r="J45" s="8">
        <f>(VLOOKUP(ImportTable16[[#This Row],[Player]],ImportTable[],10,FALSE)+
VLOOKUP(ImportTable16[[#This Row],[Player]],ImportTable15[],10,FALSE)
)</f>
        <v>18</v>
      </c>
      <c r="K45" s="8">
        <f>(VLOOKUP(ImportTable16[[#This Row],[Player]],ImportTable[],11,FALSE)+
VLOOKUP(ImportTable16[[#This Row],[Player]],ImportTable15[],11,FALSE)
)</f>
        <v>15</v>
      </c>
    </row>
    <row r="46" spans="1:22">
      <c r="A46" s="8" t="s">
        <v>152</v>
      </c>
      <c r="B46"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0.92506850000000007</v>
      </c>
      <c r="C46"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1.1281715000000001</v>
      </c>
      <c r="D46" s="8">
        <f>(VLOOKUP(ImportTable16[[#This Row],[Player]],ImportTable[],4,FALSE)+
VLOOKUP(ImportTable16[[#This Row],[Player]],ImportTable15[],4,FALSE)
)</f>
        <v>309</v>
      </c>
      <c r="E46" s="8">
        <f>(VLOOKUP(ImportTable16[[#This Row],[Player]],ImportTable[],5,FALSE)+
VLOOKUP(ImportTable16[[#This Row],[Player]],ImportTable15[],5,FALSE)
)</f>
        <v>377</v>
      </c>
      <c r="F46" s="8">
        <f>(VLOOKUP(ImportTable16[[#This Row],[Player]],ImportTable[],6,FALSE)+
VLOOKUP(ImportTable16[[#This Row],[Player]],ImportTable15[],6,FALSE)
)</f>
        <v>411</v>
      </c>
      <c r="G46" s="8">
        <f>(VLOOKUP(ImportTable16[[#This Row],[Player]],ImportTable[],7,FALSE)+
VLOOKUP(ImportTable16[[#This Row],[Player]],ImportTable15[],7,FALSE)
)</f>
        <v>274</v>
      </c>
      <c r="H46"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52.615225000000002</v>
      </c>
      <c r="I46"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55.923095000000004</v>
      </c>
      <c r="J46" s="8">
        <f>(VLOOKUP(ImportTable16[[#This Row],[Player]],ImportTable[],10,FALSE)+
VLOOKUP(ImportTable16[[#This Row],[Player]],ImportTable15[],10,FALSE)
)</f>
        <v>125</v>
      </c>
      <c r="K46" s="8">
        <f>(VLOOKUP(ImportTable16[[#This Row],[Player]],ImportTable[],11,FALSE)+
VLOOKUP(ImportTable16[[#This Row],[Player]],ImportTable15[],11,FALSE)
)</f>
        <v>116</v>
      </c>
    </row>
    <row r="47" spans="1:22">
      <c r="A47" s="8" t="s">
        <v>154</v>
      </c>
      <c r="B47"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0.73333350000000008</v>
      </c>
      <c r="C47"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1.013889</v>
      </c>
      <c r="D47" s="8">
        <f>(VLOOKUP(ImportTable16[[#This Row],[Player]],ImportTable[],4,FALSE)+
VLOOKUP(ImportTable16[[#This Row],[Player]],ImportTable15[],4,FALSE)
)</f>
        <v>43</v>
      </c>
      <c r="E47" s="8">
        <f>(VLOOKUP(ImportTable16[[#This Row],[Player]],ImportTable[],5,FALSE)+
VLOOKUP(ImportTable16[[#This Row],[Player]],ImportTable15[],5,FALSE)
)</f>
        <v>78</v>
      </c>
      <c r="F47" s="8">
        <f>(VLOOKUP(ImportTable16[[#This Row],[Player]],ImportTable[],6,FALSE)+
VLOOKUP(ImportTable16[[#This Row],[Player]],ImportTable15[],6,FALSE)
)</f>
        <v>75</v>
      </c>
      <c r="G47" s="8">
        <f>(VLOOKUP(ImportTable16[[#This Row],[Player]],ImportTable[],7,FALSE)+
VLOOKUP(ImportTable16[[#This Row],[Player]],ImportTable15[],7,FALSE)
)</f>
        <v>50</v>
      </c>
      <c r="H47"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54.060249999999996</v>
      </c>
      <c r="I47"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64.346670000000003</v>
      </c>
      <c r="J47" s="8">
        <f>(VLOOKUP(ImportTable16[[#This Row],[Player]],ImportTable[],10,FALSE)+
VLOOKUP(ImportTable16[[#This Row],[Player]],ImportTable15[],10,FALSE)
)</f>
        <v>18</v>
      </c>
      <c r="K47" s="8">
        <f>(VLOOKUP(ImportTable16[[#This Row],[Player]],ImportTable[],11,FALSE)+
VLOOKUP(ImportTable16[[#This Row],[Player]],ImportTable15[],11,FALSE)
)</f>
        <v>27</v>
      </c>
    </row>
    <row r="48" spans="1:22">
      <c r="A48" s="8" t="s">
        <v>142</v>
      </c>
      <c r="B48"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1.1851039999999999</v>
      </c>
      <c r="C48"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1.430749</v>
      </c>
      <c r="D48" s="8">
        <f>(VLOOKUP(ImportTable16[[#This Row],[Player]],ImportTable[],4,FALSE)+
VLOOKUP(ImportTable16[[#This Row],[Player]],ImportTable15[],4,FALSE)
)</f>
        <v>124</v>
      </c>
      <c r="E48" s="8">
        <f>(VLOOKUP(ImportTable16[[#This Row],[Player]],ImportTable[],5,FALSE)+
VLOOKUP(ImportTable16[[#This Row],[Player]],ImportTable15[],5,FALSE)
)</f>
        <v>131</v>
      </c>
      <c r="F48" s="8">
        <f>(VLOOKUP(ImportTable16[[#This Row],[Player]],ImportTable[],6,FALSE)+
VLOOKUP(ImportTable16[[#This Row],[Player]],ImportTable15[],6,FALSE)
)</f>
        <v>138</v>
      </c>
      <c r="G48" s="8">
        <f>(VLOOKUP(ImportTable16[[#This Row],[Player]],ImportTable[],7,FALSE)+
VLOOKUP(ImportTable16[[#This Row],[Player]],ImportTable15[],7,FALSE)
)</f>
        <v>105</v>
      </c>
      <c r="H48"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56.021140000000003</v>
      </c>
      <c r="I48"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67.856854999999996</v>
      </c>
      <c r="J48" s="8">
        <f>(VLOOKUP(ImportTable16[[#This Row],[Player]],ImportTable[],10,FALSE)+
VLOOKUP(ImportTable16[[#This Row],[Player]],ImportTable15[],10,FALSE)
)</f>
        <v>41</v>
      </c>
      <c r="K48" s="8">
        <f>(VLOOKUP(ImportTable16[[#This Row],[Player]],ImportTable[],11,FALSE)+
VLOOKUP(ImportTable16[[#This Row],[Player]],ImportTable15[],11,FALSE)
)</f>
        <v>32</v>
      </c>
    </row>
    <row r="49" spans="1:11">
      <c r="A49" s="8" t="s">
        <v>144</v>
      </c>
      <c r="B49"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0.60399999999999998</v>
      </c>
      <c r="C49"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0.63645200000000002</v>
      </c>
      <c r="D49" s="8">
        <f>(VLOOKUP(ImportTable16[[#This Row],[Player]],ImportTable[],4,FALSE)+
VLOOKUP(ImportTable16[[#This Row],[Player]],ImportTable15[],4,FALSE)
)</f>
        <v>85</v>
      </c>
      <c r="E49" s="8">
        <f>(VLOOKUP(ImportTable16[[#This Row],[Player]],ImportTable[],5,FALSE)+
VLOOKUP(ImportTable16[[#This Row],[Player]],ImportTable15[],5,FALSE)
)</f>
        <v>121</v>
      </c>
      <c r="F49" s="8">
        <f>(VLOOKUP(ImportTable16[[#This Row],[Player]],ImportTable[],6,FALSE)+
VLOOKUP(ImportTable16[[#This Row],[Player]],ImportTable15[],6,FALSE)
)</f>
        <v>108</v>
      </c>
      <c r="G49" s="8">
        <f>(VLOOKUP(ImportTable16[[#This Row],[Player]],ImportTable[],7,FALSE)+
VLOOKUP(ImportTable16[[#This Row],[Player]],ImportTable15[],7,FALSE)
)</f>
        <v>82</v>
      </c>
      <c r="H49"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43.174700000000001</v>
      </c>
      <c r="I49"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46.668454999999994</v>
      </c>
      <c r="J49" s="8">
        <f>(VLOOKUP(ImportTable16[[#This Row],[Player]],ImportTable[],10,FALSE)+
VLOOKUP(ImportTable16[[#This Row],[Player]],ImportTable15[],10,FALSE)
)</f>
        <v>33</v>
      </c>
      <c r="K49" s="8">
        <f>(VLOOKUP(ImportTable16[[#This Row],[Player]],ImportTable[],11,FALSE)+
VLOOKUP(ImportTable16[[#This Row],[Player]],ImportTable15[],11,FALSE)
)</f>
        <v>31</v>
      </c>
    </row>
    <row r="50" spans="1:11">
      <c r="A50" s="8" t="s">
        <v>118</v>
      </c>
      <c r="B50"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0.72726550000000001</v>
      </c>
      <c r="C50"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0.9380949999999999</v>
      </c>
      <c r="D50" s="8">
        <f>(VLOOKUP(ImportTable16[[#This Row],[Player]],ImportTable[],4,FALSE)+
VLOOKUP(ImportTable16[[#This Row],[Player]],ImportTable15[],4,FALSE)
)</f>
        <v>214</v>
      </c>
      <c r="E50" s="8">
        <f>(VLOOKUP(ImportTable16[[#This Row],[Player]],ImportTable[],5,FALSE)+
VLOOKUP(ImportTable16[[#This Row],[Player]],ImportTable15[],5,FALSE)
)</f>
        <v>332</v>
      </c>
      <c r="F50" s="8">
        <f>(VLOOKUP(ImportTable16[[#This Row],[Player]],ImportTable[],6,FALSE)+
VLOOKUP(ImportTable16[[#This Row],[Player]],ImportTable15[],6,FALSE)
)</f>
        <v>332</v>
      </c>
      <c r="G50" s="8">
        <f>(VLOOKUP(ImportTable16[[#This Row],[Player]],ImportTable[],7,FALSE)+
VLOOKUP(ImportTable16[[#This Row],[Player]],ImportTable15[],7,FALSE)
)</f>
        <v>212</v>
      </c>
      <c r="H50"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48.72683</v>
      </c>
      <c r="I50"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64.234399999999994</v>
      </c>
      <c r="J50" s="8">
        <f>(VLOOKUP(ImportTable16[[#This Row],[Player]],ImportTable[],10,FALSE)+
VLOOKUP(ImportTable16[[#This Row],[Player]],ImportTable15[],10,FALSE)
)</f>
        <v>83</v>
      </c>
      <c r="K50" s="8">
        <f>(VLOOKUP(ImportTable16[[#This Row],[Player]],ImportTable[],11,FALSE)+
VLOOKUP(ImportTable16[[#This Row],[Player]],ImportTable15[],11,FALSE)
)</f>
        <v>84</v>
      </c>
    </row>
    <row r="51" spans="1:11">
      <c r="A51" s="8" t="s">
        <v>163</v>
      </c>
      <c r="B51"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0.65679650000000001</v>
      </c>
      <c r="C51"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0.85052899999999998</v>
      </c>
      <c r="D51" s="8">
        <f>(VLOOKUP(ImportTable16[[#This Row],[Player]],ImportTable[],4,FALSE)+
VLOOKUP(ImportTable16[[#This Row],[Player]],ImportTable15[],4,FALSE)
)</f>
        <v>106</v>
      </c>
      <c r="E51" s="8">
        <f>(VLOOKUP(ImportTable16[[#This Row],[Player]],ImportTable[],5,FALSE)+
VLOOKUP(ImportTable16[[#This Row],[Player]],ImportTable15[],5,FALSE)
)</f>
        <v>103</v>
      </c>
      <c r="F51" s="8">
        <f>(VLOOKUP(ImportTable16[[#This Row],[Player]],ImportTable[],6,FALSE)+
VLOOKUP(ImportTable16[[#This Row],[Player]],ImportTable15[],6,FALSE)
)</f>
        <v>111</v>
      </c>
      <c r="G51" s="8">
        <f>(VLOOKUP(ImportTable16[[#This Row],[Player]],ImportTable[],7,FALSE)+
VLOOKUP(ImportTable16[[#This Row],[Player]],ImportTable15[],7,FALSE)
)</f>
        <v>80</v>
      </c>
      <c r="H51"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49.001189999999994</v>
      </c>
      <c r="I51"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62.858334999999997</v>
      </c>
      <c r="J51" s="8">
        <f>(VLOOKUP(ImportTable16[[#This Row],[Player]],ImportTable[],10,FALSE)+
VLOOKUP(ImportTable16[[#This Row],[Player]],ImportTable15[],10,FALSE)
)</f>
        <v>38</v>
      </c>
      <c r="K51" s="8">
        <f>(VLOOKUP(ImportTable16[[#This Row],[Player]],ImportTable[],11,FALSE)+
VLOOKUP(ImportTable16[[#This Row],[Player]],ImportTable15[],11,FALSE)
)</f>
        <v>45</v>
      </c>
    </row>
    <row r="52" spans="1:11">
      <c r="A52" s="8" t="s">
        <v>150</v>
      </c>
      <c r="B52"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0.91818200000000005</v>
      </c>
      <c r="C52"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1.0208330000000001</v>
      </c>
      <c r="D52" s="8">
        <f>(VLOOKUP(ImportTable16[[#This Row],[Player]],ImportTable[],4,FALSE)+
VLOOKUP(ImportTable16[[#This Row],[Player]],ImportTable15[],4,FALSE)
)</f>
        <v>67</v>
      </c>
      <c r="E52" s="8">
        <f>(VLOOKUP(ImportTable16[[#This Row],[Player]],ImportTable[],5,FALSE)+
VLOOKUP(ImportTable16[[#This Row],[Player]],ImportTable15[],5,FALSE)
)</f>
        <v>78</v>
      </c>
      <c r="F52" s="8">
        <f>(VLOOKUP(ImportTable16[[#This Row],[Player]],ImportTable[],6,FALSE)+
VLOOKUP(ImportTable16[[#This Row],[Player]],ImportTable15[],6,FALSE)
)</f>
        <v>84</v>
      </c>
      <c r="G52" s="8">
        <f>(VLOOKUP(ImportTable16[[#This Row],[Player]],ImportTable[],7,FALSE)+
VLOOKUP(ImportTable16[[#This Row],[Player]],ImportTable15[],7,FALSE)
)</f>
        <v>63</v>
      </c>
      <c r="H52"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55.087139999999998</v>
      </c>
      <c r="I52"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47.63438</v>
      </c>
      <c r="J52" s="8">
        <f>(VLOOKUP(ImportTable16[[#This Row],[Player]],ImportTable[],10,FALSE)+
VLOOKUP(ImportTable16[[#This Row],[Player]],ImportTable15[],10,FALSE)
)</f>
        <v>28</v>
      </c>
      <c r="K52" s="8">
        <f>(VLOOKUP(ImportTable16[[#This Row],[Player]],ImportTable[],11,FALSE)+
VLOOKUP(ImportTable16[[#This Row],[Player]],ImportTable15[],11,FALSE)
)</f>
        <v>25</v>
      </c>
    </row>
    <row r="53" spans="1:11">
      <c r="A53" s="8" t="s">
        <v>91</v>
      </c>
      <c r="B53"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1.0763855</v>
      </c>
      <c r="C53"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1.1350935</v>
      </c>
      <c r="D53" s="8">
        <f>(VLOOKUP(ImportTable16[[#This Row],[Player]],ImportTable[],4,FALSE)+
VLOOKUP(ImportTable16[[#This Row],[Player]],ImportTable15[],4,FALSE)
)</f>
        <v>214</v>
      </c>
      <c r="E53" s="8">
        <f>(VLOOKUP(ImportTable16[[#This Row],[Player]],ImportTable[],5,FALSE)+
VLOOKUP(ImportTable16[[#This Row],[Player]],ImportTable15[],5,FALSE)
)</f>
        <v>264</v>
      </c>
      <c r="F53" s="8">
        <f>(VLOOKUP(ImportTable16[[#This Row],[Player]],ImportTable[],6,FALSE)+
VLOOKUP(ImportTable16[[#This Row],[Player]],ImportTable15[],6,FALSE)
)</f>
        <v>273</v>
      </c>
      <c r="G53" s="8">
        <f>(VLOOKUP(ImportTable16[[#This Row],[Player]],ImportTable[],7,FALSE)+
VLOOKUP(ImportTable16[[#This Row],[Player]],ImportTable15[],7,FALSE)
)</f>
        <v>189</v>
      </c>
      <c r="H53"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49.266530000000003</v>
      </c>
      <c r="I53"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60.679285</v>
      </c>
      <c r="J53" s="8">
        <f>(VLOOKUP(ImportTable16[[#This Row],[Player]],ImportTable[],10,FALSE)+
VLOOKUP(ImportTable16[[#This Row],[Player]],ImportTable15[],10,FALSE)
)</f>
        <v>81</v>
      </c>
      <c r="K53" s="8">
        <f>(VLOOKUP(ImportTable16[[#This Row],[Player]],ImportTable[],11,FALSE)+
VLOOKUP(ImportTable16[[#This Row],[Player]],ImportTable15[],11,FALSE)
)</f>
        <v>85</v>
      </c>
    </row>
    <row r="54" spans="1:11">
      <c r="A54" s="8" t="s">
        <v>148</v>
      </c>
      <c r="B54"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0.65375249999999996</v>
      </c>
      <c r="C54"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0.73996850000000003</v>
      </c>
      <c r="D54" s="8">
        <f>(VLOOKUP(ImportTable16[[#This Row],[Player]],ImportTable[],4,FALSE)+
VLOOKUP(ImportTable16[[#This Row],[Player]],ImportTable15[],4,FALSE)
)</f>
        <v>121</v>
      </c>
      <c r="E54" s="8">
        <f>(VLOOKUP(ImportTable16[[#This Row],[Player]],ImportTable[],5,FALSE)+
VLOOKUP(ImportTable16[[#This Row],[Player]],ImportTable15[],5,FALSE)
)</f>
        <v>195</v>
      </c>
      <c r="F54" s="8">
        <f>(VLOOKUP(ImportTable16[[#This Row],[Player]],ImportTable[],6,FALSE)+
VLOOKUP(ImportTable16[[#This Row],[Player]],ImportTable15[],6,FALSE)
)</f>
        <v>176</v>
      </c>
      <c r="G54" s="8">
        <f>(VLOOKUP(ImportTable16[[#This Row],[Player]],ImportTable[],7,FALSE)+
VLOOKUP(ImportTable16[[#This Row],[Player]],ImportTable15[],7,FALSE)
)</f>
        <v>141</v>
      </c>
      <c r="H54"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40.848649999999999</v>
      </c>
      <c r="I54"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53.642899999999997</v>
      </c>
      <c r="J54" s="8">
        <f>(VLOOKUP(ImportTable16[[#This Row],[Player]],ImportTable[],10,FALSE)+
VLOOKUP(ImportTable16[[#This Row],[Player]],ImportTable15[],10,FALSE)
)</f>
        <v>42</v>
      </c>
      <c r="K54" s="8">
        <f>(VLOOKUP(ImportTable16[[#This Row],[Player]],ImportTable[],11,FALSE)+
VLOOKUP(ImportTable16[[#This Row],[Player]],ImportTable15[],11,FALSE)
)</f>
        <v>56</v>
      </c>
    </row>
    <row r="55" spans="1:11">
      <c r="A55" s="8" t="s">
        <v>164</v>
      </c>
      <c r="B55"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1.2385385</v>
      </c>
      <c r="C55"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1.517199</v>
      </c>
      <c r="D55" s="8">
        <f>(VLOOKUP(ImportTable16[[#This Row],[Player]],ImportTable[],4,FALSE)+
VLOOKUP(ImportTable16[[#This Row],[Player]],ImportTable15[],4,FALSE)
)</f>
        <v>94</v>
      </c>
      <c r="E55" s="8">
        <f>(VLOOKUP(ImportTable16[[#This Row],[Player]],ImportTable[],5,FALSE)+
VLOOKUP(ImportTable16[[#This Row],[Player]],ImportTable15[],5,FALSE)
)</f>
        <v>128</v>
      </c>
      <c r="F55" s="8">
        <f>(VLOOKUP(ImportTable16[[#This Row],[Player]],ImportTable[],6,FALSE)+
VLOOKUP(ImportTable16[[#This Row],[Player]],ImportTable15[],6,FALSE)
)</f>
        <v>146</v>
      </c>
      <c r="G55" s="8">
        <f>(VLOOKUP(ImportTable16[[#This Row],[Player]],ImportTable[],7,FALSE)+
VLOOKUP(ImportTable16[[#This Row],[Player]],ImportTable15[],7,FALSE)
)</f>
        <v>83</v>
      </c>
      <c r="H55"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61.040714999999999</v>
      </c>
      <c r="I55"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72.082120000000003</v>
      </c>
      <c r="J55" s="8">
        <f>(VLOOKUP(ImportTable16[[#This Row],[Player]],ImportTable[],10,FALSE)+
VLOOKUP(ImportTable16[[#This Row],[Player]],ImportTable15[],10,FALSE)
)</f>
        <v>43</v>
      </c>
      <c r="K55" s="8">
        <f>(VLOOKUP(ImportTable16[[#This Row],[Player]],ImportTable[],11,FALSE)+
VLOOKUP(ImportTable16[[#This Row],[Player]],ImportTable15[],11,FALSE)
)</f>
        <v>35</v>
      </c>
    </row>
    <row r="56" spans="1:11">
      <c r="A56" s="80" t="s">
        <v>159</v>
      </c>
      <c r="B56"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v>
      </c>
      <c r="C56"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v>
      </c>
      <c r="D56" s="8">
        <f>(VLOOKUP(ImportTable16[[#This Row],[Player]],ImportTable[],4,FALSE)+
VLOOKUP(ImportTable16[[#This Row],[Player]],ImportTable15[],4,FALSE)
)</f>
        <v>0</v>
      </c>
      <c r="E56" s="8">
        <f>(VLOOKUP(ImportTable16[[#This Row],[Player]],ImportTable[],5,FALSE)+
VLOOKUP(ImportTable16[[#This Row],[Player]],ImportTable15[],5,FALSE)
)</f>
        <v>0</v>
      </c>
      <c r="F56" s="8">
        <f>(VLOOKUP(ImportTable16[[#This Row],[Player]],ImportTable[],6,FALSE)+
VLOOKUP(ImportTable16[[#This Row],[Player]],ImportTable15[],6,FALSE)
)</f>
        <v>0</v>
      </c>
      <c r="G56" s="8">
        <f>(VLOOKUP(ImportTable16[[#This Row],[Player]],ImportTable[],7,FALSE)+
VLOOKUP(ImportTable16[[#This Row],[Player]],ImportTable15[],7,FALSE)
)</f>
        <v>0</v>
      </c>
      <c r="H56"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0</v>
      </c>
      <c r="I56"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0</v>
      </c>
      <c r="J56" s="8">
        <f>(VLOOKUP(ImportTable16[[#This Row],[Player]],ImportTable[],10,FALSE)+
VLOOKUP(ImportTable16[[#This Row],[Player]],ImportTable15[],10,FALSE)
)</f>
        <v>0</v>
      </c>
      <c r="K56" s="8">
        <f>(VLOOKUP(ImportTable16[[#This Row],[Player]],ImportTable[],11,FALSE)+
VLOOKUP(ImportTable16[[#This Row],[Player]],ImportTable15[],11,FALSE)
)</f>
        <v>0</v>
      </c>
    </row>
    <row r="57" spans="1:11">
      <c r="A57" s="82" t="s">
        <v>157</v>
      </c>
      <c r="B57"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v>
      </c>
      <c r="C57"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v>
      </c>
      <c r="D57" s="8">
        <f>(VLOOKUP(ImportTable16[[#This Row],[Player]],ImportTable[],4,FALSE)+
VLOOKUP(ImportTable16[[#This Row],[Player]],ImportTable15[],4,FALSE)
)</f>
        <v>0</v>
      </c>
      <c r="E57" s="8">
        <f>(VLOOKUP(ImportTable16[[#This Row],[Player]],ImportTable[],5,FALSE)+
VLOOKUP(ImportTable16[[#This Row],[Player]],ImportTable15[],5,FALSE)
)</f>
        <v>0</v>
      </c>
      <c r="F57" s="8">
        <f>(VLOOKUP(ImportTable16[[#This Row],[Player]],ImportTable[],6,FALSE)+
VLOOKUP(ImportTable16[[#This Row],[Player]],ImportTable15[],6,FALSE)
)</f>
        <v>0</v>
      </c>
      <c r="G57" s="8">
        <f>(VLOOKUP(ImportTable16[[#This Row],[Player]],ImportTable[],7,FALSE)+
VLOOKUP(ImportTable16[[#This Row],[Player]],ImportTable15[],7,FALSE)
)</f>
        <v>0</v>
      </c>
      <c r="H57"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0</v>
      </c>
      <c r="I57"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0</v>
      </c>
      <c r="J57" s="8">
        <f>(VLOOKUP(ImportTable16[[#This Row],[Player]],ImportTable[],10,FALSE)+
VLOOKUP(ImportTable16[[#This Row],[Player]],ImportTable15[],10,FALSE)
)</f>
        <v>0</v>
      </c>
      <c r="K57" s="8">
        <f>(VLOOKUP(ImportTable16[[#This Row],[Player]],ImportTable[],11,FALSE)+
VLOOKUP(ImportTable16[[#This Row],[Player]],ImportTable15[],11,FALSE)
)</f>
        <v>0</v>
      </c>
    </row>
    <row r="58" spans="1:11">
      <c r="A58" s="8" t="s">
        <v>100</v>
      </c>
      <c r="B58"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0.94245000000000001</v>
      </c>
      <c r="C58"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1.5188995000000001</v>
      </c>
      <c r="D58" s="8">
        <f>(VLOOKUP(ImportTable16[[#This Row],[Player]],ImportTable[],4,FALSE)+
VLOOKUP(ImportTable16[[#This Row],[Player]],ImportTable15[],4,FALSE)
)</f>
        <v>148</v>
      </c>
      <c r="E58" s="8">
        <f>(VLOOKUP(ImportTable16[[#This Row],[Player]],ImportTable[],5,FALSE)+
VLOOKUP(ImportTable16[[#This Row],[Player]],ImportTable15[],5,FALSE)
)</f>
        <v>161</v>
      </c>
      <c r="F58" s="8">
        <f>(VLOOKUP(ImportTable16[[#This Row],[Player]],ImportTable[],6,FALSE)+
VLOOKUP(ImportTable16[[#This Row],[Player]],ImportTable15[],6,FALSE)
)</f>
        <v>190</v>
      </c>
      <c r="G58" s="8">
        <f>(VLOOKUP(ImportTable16[[#This Row],[Player]],ImportTable[],7,FALSE)+
VLOOKUP(ImportTable16[[#This Row],[Player]],ImportTable15[],7,FALSE)
)</f>
        <v>138</v>
      </c>
      <c r="H58"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55.60134</v>
      </c>
      <c r="I58"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69.445705000000004</v>
      </c>
      <c r="J58" s="8">
        <f>(VLOOKUP(ImportTable16[[#This Row],[Player]],ImportTable[],10,FALSE)+
VLOOKUP(ImportTable16[[#This Row],[Player]],ImportTable15[],10,FALSE)
)</f>
        <v>58</v>
      </c>
      <c r="K58" s="8">
        <f>(VLOOKUP(ImportTable16[[#This Row],[Player]],ImportTable[],11,FALSE)+
VLOOKUP(ImportTable16[[#This Row],[Player]],ImportTable15[],11,FALSE)
)</f>
        <v>63</v>
      </c>
    </row>
    <row r="59" spans="1:11">
      <c r="A59" s="8" t="s">
        <v>155</v>
      </c>
      <c r="B59"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v>
      </c>
      <c r="C59"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0</v>
      </c>
      <c r="D59" s="8">
        <f>(VLOOKUP(ImportTable16[[#This Row],[Player]],ImportTable[],4,FALSE)+
VLOOKUP(ImportTable16[[#This Row],[Player]],ImportTable15[],4,FALSE)
)</f>
        <v>0</v>
      </c>
      <c r="E59" s="8">
        <f>(VLOOKUP(ImportTable16[[#This Row],[Player]],ImportTable[],5,FALSE)+
VLOOKUP(ImportTable16[[#This Row],[Player]],ImportTable15[],5,FALSE)
)</f>
        <v>0</v>
      </c>
      <c r="F59" s="8">
        <f>(VLOOKUP(ImportTable16[[#This Row],[Player]],ImportTable[],6,FALSE)+
VLOOKUP(ImportTable16[[#This Row],[Player]],ImportTable15[],6,FALSE)
)</f>
        <v>0</v>
      </c>
      <c r="G59" s="8">
        <f>(VLOOKUP(ImportTable16[[#This Row],[Player]],ImportTable[],7,FALSE)+
VLOOKUP(ImportTable16[[#This Row],[Player]],ImportTable15[],7,FALSE)
)</f>
        <v>0</v>
      </c>
      <c r="H59"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0</v>
      </c>
      <c r="I59"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0</v>
      </c>
      <c r="J59" s="8">
        <f>(VLOOKUP(ImportTable16[[#This Row],[Player]],ImportTable[],10,FALSE)+
VLOOKUP(ImportTable16[[#This Row],[Player]],ImportTable15[],10,FALSE)
)</f>
        <v>0</v>
      </c>
      <c r="K59" s="8">
        <f>(VLOOKUP(ImportTable16[[#This Row],[Player]],ImportTable[],11,FALSE)+
VLOOKUP(ImportTable16[[#This Row],[Player]],ImportTable15[],11,FALSE)
)</f>
        <v>0</v>
      </c>
    </row>
    <row r="60" spans="1:11">
      <c r="A60" s="8" t="s">
        <v>123</v>
      </c>
      <c r="B60"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0.93193700000000002</v>
      </c>
      <c r="C60"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1.1280490000000001</v>
      </c>
      <c r="D60" s="8">
        <f>(VLOOKUP(ImportTable16[[#This Row],[Player]],ImportTable[],4,FALSE)+
VLOOKUP(ImportTable16[[#This Row],[Player]],ImportTable15[],4,FALSE)
)</f>
        <v>233</v>
      </c>
      <c r="E60" s="8">
        <f>(VLOOKUP(ImportTable16[[#This Row],[Player]],ImportTable[],5,FALSE)+
VLOOKUP(ImportTable16[[#This Row],[Player]],ImportTable15[],5,FALSE)
)</f>
        <v>290</v>
      </c>
      <c r="F60" s="8">
        <f>(VLOOKUP(ImportTable16[[#This Row],[Player]],ImportTable[],6,FALSE)+
VLOOKUP(ImportTable16[[#This Row],[Player]],ImportTable15[],6,FALSE)
)</f>
        <v>294</v>
      </c>
      <c r="G60" s="8">
        <f>(VLOOKUP(ImportTable16[[#This Row],[Player]],ImportTable[],7,FALSE)+
VLOOKUP(ImportTable16[[#This Row],[Player]],ImportTable15[],7,FALSE)
)</f>
        <v>199</v>
      </c>
      <c r="H60"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59.490589999999997</v>
      </c>
      <c r="I60"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59.18</v>
      </c>
      <c r="J60" s="8">
        <f>(VLOOKUP(ImportTable16[[#This Row],[Player]],ImportTable[],10,FALSE)+
VLOOKUP(ImportTable16[[#This Row],[Player]],ImportTable15[],10,FALSE)
)</f>
        <v>90</v>
      </c>
      <c r="K60" s="8">
        <f>(VLOOKUP(ImportTable16[[#This Row],[Player]],ImportTable[],11,FALSE)+
VLOOKUP(ImportTable16[[#This Row],[Player]],ImportTable15[],11,FALSE)
)</f>
        <v>79</v>
      </c>
    </row>
    <row r="61" spans="1:11">
      <c r="A61" s="8" t="s">
        <v>165</v>
      </c>
      <c r="B61" s="8">
        <f>(IF(VLOOKUP(ImportTable16[[#This Row],[Player]], ImportTable[], 2, FALSE) &lt;&gt; 0, VLOOKUP(ImportTable16[[#This Row],[Player]], ImportTable[], 2, FALSE), 0)
+ IF(VLOOKUP(ImportTable16[[#This Row],[Player]], ImportTable15[], 2, FALSE) &lt;&gt; 0, VLOOKUP(ImportTable16[[#This Row],[Player]], ImportTable15[], 2, FALSE), 0))
/ MAX(1, (IF(VLOOKUP(ImportTable16[[#This Row],[Player]], ImportTable[], 2, FALSE) &lt;&gt; 0, 1, 0)
+ IF(VLOOKUP(ImportTable16[[#This Row],[Player]], ImportTable15[], 2, FALSE) &lt;&gt; 0, 1, 0)))</f>
        <v>1.1707320000000001</v>
      </c>
      <c r="C61" s="8">
        <f>(IF(VLOOKUP(ImportTable16[[#This Row],[Player]], ImportTable[], 3, FALSE) &lt;&gt; 0, VLOOKUP(ImportTable16[[#This Row],[Player]], ImportTable[], 3, FALSE), 0)
+ IF(VLOOKUP(ImportTable16[[#This Row],[Player]], ImportTable15[], 3, FALSE) &lt;&gt; 0, VLOOKUP(ImportTable16[[#This Row],[Player]], ImportTable15[], 3, FALSE), 0))
/ MAX(1, (IF(VLOOKUP(ImportTable16[[#This Row],[Player]], ImportTable[], 3, FALSE) &lt;&gt; 0, 1, 0)
+ IF(VLOOKUP(ImportTable16[[#This Row],[Player]], ImportTable15[], 3, FALSE) &lt;&gt; 0, 1, 0)))</f>
        <v>1.628571</v>
      </c>
      <c r="D61" s="8">
        <f>(VLOOKUP(ImportTable16[[#This Row],[Player]],ImportTable[],4,FALSE)+
VLOOKUP(ImportTable16[[#This Row],[Player]],ImportTable15[],4,FALSE)
)</f>
        <v>54</v>
      </c>
      <c r="E61" s="8">
        <f>(VLOOKUP(ImportTable16[[#This Row],[Player]],ImportTable[],5,FALSE)+
VLOOKUP(ImportTable16[[#This Row],[Player]],ImportTable15[],5,FALSE)
)</f>
        <v>59</v>
      </c>
      <c r="F61" s="8">
        <f>(VLOOKUP(ImportTable16[[#This Row],[Player]],ImportTable[],6,FALSE)+
VLOOKUP(ImportTable16[[#This Row],[Player]],ImportTable15[],6,FALSE)
)</f>
        <v>69</v>
      </c>
      <c r="G61" s="8">
        <f>(VLOOKUP(ImportTable16[[#This Row],[Player]],ImportTable[],7,FALSE)+
VLOOKUP(ImportTable16[[#This Row],[Player]],ImportTable15[],7,FALSE)
)</f>
        <v>44</v>
      </c>
      <c r="H61" s="8">
        <f>(IF(VLOOKUP(ImportTable16[[#This Row],[Player]], ImportTable[], 8, FALSE) &lt;&gt; 0, VLOOKUP(ImportTable16[[#This Row],[Player]], ImportTable[], 8, FALSE), 0)
+ IF(VLOOKUP(ImportTable16[[#This Row],[Player]], ImportTable15[], 8, FALSE) &lt;&gt; 0, VLOOKUP(ImportTable16[[#This Row],[Player]], ImportTable15[], 8, FALSE), 0))
/ MAX(1, (IF(VLOOKUP(ImportTable16[[#This Row],[Player]], ImportTable[], 8, FALSE) &lt;&gt; 0, 1, 0)
+ IF(VLOOKUP(ImportTable16[[#This Row],[Player]], ImportTable15[], 8, FALSE) &lt;&gt; 0, 1, 0)))</f>
        <v>63.366669999999999</v>
      </c>
      <c r="I61" s="8">
        <f>(IF(VLOOKUP(ImportTable16[[#This Row],[Player]], ImportTable[], 9, FALSE) &lt;&gt; 0, VLOOKUP(ImportTable16[[#This Row],[Player]], ImportTable[], 9, FALSE), 0)
+ IF(VLOOKUP(ImportTable16[[#This Row],[Player]], ImportTable15[], 9, FALSE) &lt;&gt; 0, VLOOKUP(ImportTable16[[#This Row],[Player]], ImportTable15[], 9, FALSE), 0))
/ MAX(1, (IF(VLOOKUP(ImportTable16[[#This Row],[Player]], ImportTable[], 9, FALSE) &lt;&gt; 0, 1, 0)
+ IF(VLOOKUP(ImportTable16[[#This Row],[Player]], ImportTable15[], 9, FALSE) &lt;&gt; 0, 1, 0)))</f>
        <v>60.261249999999997</v>
      </c>
      <c r="J61" s="8">
        <f>(VLOOKUP(ImportTable16[[#This Row],[Player]],ImportTable[],10,FALSE)+
VLOOKUP(ImportTable16[[#This Row],[Player]],ImportTable15[],10,FALSE)
)</f>
        <v>113</v>
      </c>
      <c r="K61" s="8">
        <f>(VLOOKUP(ImportTable16[[#This Row],[Player]],ImportTable[],11,FALSE)+
VLOOKUP(ImportTable16[[#This Row],[Player]],ImportTable15[],11,FALSE)
)</f>
        <v>93</v>
      </c>
    </row>
    <row r="79" ht="43.5" customHeight="1"/>
  </sheetData>
  <mergeCells count="20">
    <mergeCell ref="X15:AB15"/>
    <mergeCell ref="A30:K30"/>
    <mergeCell ref="Y8:AF8"/>
    <mergeCell ref="AG8:AM8"/>
    <mergeCell ref="Y9:AF9"/>
    <mergeCell ref="AG9:AM9"/>
    <mergeCell ref="X13:AB13"/>
    <mergeCell ref="X14:AB14"/>
    <mergeCell ref="Y5:AF5"/>
    <mergeCell ref="AG5:AM5"/>
    <mergeCell ref="Y6:AF6"/>
    <mergeCell ref="AG6:AM6"/>
    <mergeCell ref="Y7:AF7"/>
    <mergeCell ref="AG7:AM7"/>
    <mergeCell ref="Y2:AF2"/>
    <mergeCell ref="AG2:AM2"/>
    <mergeCell ref="Y3:AF3"/>
    <mergeCell ref="AG3:AM3"/>
    <mergeCell ref="Y4:AF4"/>
    <mergeCell ref="AG4:AM4"/>
  </mergeCells>
  <conditionalFormatting sqref="A2:A29 B3:B23">
    <cfRule type="containsText" dxfId="1069" priority="491" operator="containsText" text="TIER 8">
      <formula>NOT(ISERROR(SEARCH("TIER 8",A2)))</formula>
    </cfRule>
    <cfRule type="containsText" dxfId="1068" priority="492" operator="containsText" text="TIER 7">
      <formula>NOT(ISERROR(SEARCH("TIER 7",A2)))</formula>
    </cfRule>
    <cfRule type="containsText" dxfId="1067" priority="493" operator="containsText" text="TIER 6">
      <formula>NOT(ISERROR(SEARCH("TIER 6",A2)))</formula>
    </cfRule>
    <cfRule type="containsText" dxfId="1066" priority="494" operator="containsText" text="TIER 5">
      <formula>NOT(ISERROR(SEARCH("TIER 5",A2)))</formula>
    </cfRule>
    <cfRule type="containsText" dxfId="1065" priority="495" operator="containsText" text="TIER 4">
      <formula>NOT(ISERROR(SEARCH("TIER 4",A2)))</formula>
    </cfRule>
    <cfRule type="containsText" dxfId="1064" priority="496" operator="containsText" text="TIER 3">
      <formula>NOT(ISERROR(SEARCH("TIER 3",A2)))</formula>
    </cfRule>
    <cfRule type="containsText" dxfId="1063" priority="497" operator="containsText" text="TIER 2">
      <formula>NOT(ISERROR(SEARCH("TIER 2",A2)))</formula>
    </cfRule>
    <cfRule type="containsText" dxfId="1062" priority="498" operator="containsText" text="TIER 1">
      <formula>NOT(ISERROR(SEARCH("TIER 1",A2)))</formula>
    </cfRule>
  </conditionalFormatting>
  <conditionalFormatting sqref="A57">
    <cfRule type="containsText" dxfId="1061" priority="68" operator="containsText" text="Dlehard">
      <formula>NOT(ISERROR(SEARCH("Dlehard",A57)))</formula>
    </cfRule>
    <cfRule type="containsText" dxfId="1060" priority="69" operator="containsText" text="Strix">
      <formula>NOT(ISERROR(SEARCH("Strix",A57)))</formula>
    </cfRule>
    <cfRule type="containsText" dxfId="1059" priority="70" operator="containsText" text="Struggler">
      <formula>NOT(ISERROR(SEARCH("Struggler",A57)))</formula>
    </cfRule>
    <cfRule type="containsText" dxfId="1058" priority="71" operator="containsText" text="Koyeetchi">
      <formula>NOT(ISERROR(SEARCH("Koyeetchi",A57)))</formula>
    </cfRule>
    <cfRule type="containsText" dxfId="1057" priority="72" operator="containsText" text="Mauricio">
      <formula>NOT(ISERROR(SEARCH("Mauricio",A57)))</formula>
    </cfRule>
    <cfRule type="containsText" dxfId="1056" priority="73" operator="containsText" text="Glonk">
      <formula>NOT(ISERROR(SEARCH("Glonk",A57)))</formula>
    </cfRule>
    <cfRule type="containsText" dxfId="1055" priority="74" operator="containsText" text="Chris">
      <formula>NOT(ISERROR(SEARCH("Chris",A57)))</formula>
    </cfRule>
    <cfRule type="containsText" dxfId="1054" priority="75" operator="containsText" text="Ranger">
      <formula>NOT(ISERROR(SEARCH("Ranger",A57)))</formula>
    </cfRule>
    <cfRule type="containsText" dxfId="1053" priority="76" operator="containsText" text="Rat">
      <formula>NOT(ISERROR(SEARCH("Rat",A57)))</formula>
    </cfRule>
    <cfRule type="containsText" dxfId="1052" priority="77" operator="containsText" text="Boomer">
      <formula>NOT(ISERROR(SEARCH("Boomer",A57)))</formula>
    </cfRule>
    <cfRule type="containsText" dxfId="1051" priority="78" operator="containsText" text="Tim">
      <formula>NOT(ISERROR(SEARCH("Tim",A57)))</formula>
    </cfRule>
    <cfRule type="containsText" dxfId="1050" priority="79" operator="containsText" text="Mason">
      <formula>NOT(ISERROR(SEARCH("Mason",A57)))</formula>
    </cfRule>
    <cfRule type="containsText" dxfId="1049" priority="80" operator="containsText" text="Blade">
      <formula>NOT(ISERROR(SEARCH("Blade",A57)))</formula>
    </cfRule>
    <cfRule type="containsText" dxfId="1048" priority="81" operator="containsText" text="Andrew">
      <formula>NOT(ISERROR(SEARCH("Andrew",A57)))</formula>
    </cfRule>
    <cfRule type="containsText" dxfId="1047" priority="82" operator="containsText" text="Shyam">
      <formula>NOT(ISERROR(SEARCH("Shyam",A57)))</formula>
    </cfRule>
    <cfRule type="containsText" dxfId="1046" priority="83" operator="containsText" text="IUseArch">
      <formula>NOT(ISERROR(SEARCH("IUseArch",A57)))</formula>
    </cfRule>
    <cfRule type="containsText" dxfId="1045" priority="84" operator="containsText" text="Colonizer">
      <formula>NOT(ISERROR(SEARCH("Colonizer",A57)))</formula>
    </cfRule>
    <cfRule type="containsText" dxfId="1044" priority="85" operator="containsText" text="Lappland">
      <formula>NOT(ISERROR(SEARCH("Lappland",A57)))</formula>
    </cfRule>
    <cfRule type="containsText" dxfId="1043" priority="86" operator="containsText" text="Diehard">
      <formula>NOT(ISERROR(SEARCH("Diehard",A57)))</formula>
    </cfRule>
    <cfRule type="containsText" dxfId="1042" priority="87" operator="containsText" text="Louis">
      <formula>NOT(ISERROR(SEARCH("Louis",A57)))</formula>
    </cfRule>
    <cfRule type="containsText" dxfId="1041" priority="88" operator="containsText" text="Cortex">
      <formula>NOT(ISERROR(SEARCH("Cortex",A57)))</formula>
    </cfRule>
    <cfRule type="containsText" dxfId="1040" priority="89" operator="containsText" text="Acceptable">
      <formula>NOT(ISERROR(SEARCH("Acceptable",A57)))</formula>
    </cfRule>
    <cfRule type="containsText" dxfId="1039" priority="90" operator="containsText" text="Minimum">
      <formula>NOT(ISERROR(SEARCH("Minimum",A57)))</formula>
    </cfRule>
    <cfRule type="containsText" dxfId="1038" priority="91" operator="containsText" text="_">
      <formula>NOT(ISERROR(SEARCH("_",A57)))</formula>
    </cfRule>
  </conditionalFormatting>
  <conditionalFormatting sqref="B27:C27">
    <cfRule type="beginsWith" dxfId="1037" priority="19" operator="beginsWith" text="-">
      <formula>LEFT(B27,LEN("-"))="-"</formula>
    </cfRule>
    <cfRule type="containsText" dxfId="1036" priority="20" operator="containsText" text="Dlehard">
      <formula>NOT(ISERROR(SEARCH("Dlehard",B27)))</formula>
    </cfRule>
    <cfRule type="containsText" dxfId="1035" priority="21" operator="containsText" text="Strix">
      <formula>NOT(ISERROR(SEARCH("Strix",B27)))</formula>
    </cfRule>
    <cfRule type="containsText" dxfId="1034" priority="22" operator="containsText" text="Struggler">
      <formula>NOT(ISERROR(SEARCH("Struggler",B27)))</formula>
    </cfRule>
    <cfRule type="containsText" dxfId="1033" priority="23" operator="containsText" text="Koyeetchi">
      <formula>NOT(ISERROR(SEARCH("Koyeetchi",B27)))</formula>
    </cfRule>
    <cfRule type="containsText" dxfId="1032" priority="24" operator="containsText" text="Mauricio">
      <formula>NOT(ISERROR(SEARCH("Mauricio",B27)))</formula>
    </cfRule>
    <cfRule type="containsText" dxfId="1031" priority="25" operator="containsText" text="Glonk">
      <formula>NOT(ISERROR(SEARCH("Glonk",B27)))</formula>
    </cfRule>
    <cfRule type="containsText" dxfId="1030" priority="26" operator="containsText" text="Chris">
      <formula>NOT(ISERROR(SEARCH("Chris",B27)))</formula>
    </cfRule>
    <cfRule type="containsText" dxfId="1029" priority="27" operator="containsText" text="Ranger">
      <formula>NOT(ISERROR(SEARCH("Ranger",B27)))</formula>
    </cfRule>
    <cfRule type="containsText" dxfId="1028" priority="28" operator="containsText" text="Rat">
      <formula>NOT(ISERROR(SEARCH("Rat",B27)))</formula>
    </cfRule>
    <cfRule type="containsText" dxfId="1027" priority="29" operator="containsText" text="Boomer">
      <formula>NOT(ISERROR(SEARCH("Boomer",B27)))</formula>
    </cfRule>
    <cfRule type="containsText" dxfId="1026" priority="30" operator="containsText" text="Tim">
      <formula>NOT(ISERROR(SEARCH("Tim",B27)))</formula>
    </cfRule>
    <cfRule type="containsText" dxfId="1025" priority="31" operator="containsText" text="Mason">
      <formula>NOT(ISERROR(SEARCH("Mason",B27)))</formula>
    </cfRule>
    <cfRule type="containsText" dxfId="1024" priority="32" operator="containsText" text="Blade">
      <formula>NOT(ISERROR(SEARCH("Blade",B27)))</formula>
    </cfRule>
    <cfRule type="containsText" dxfId="1023" priority="33" operator="containsText" text="Andrew">
      <formula>NOT(ISERROR(SEARCH("Andrew",B27)))</formula>
    </cfRule>
    <cfRule type="containsText" dxfId="1022" priority="34" operator="containsText" text="Shyam">
      <formula>NOT(ISERROR(SEARCH("Shyam",B27)))</formula>
    </cfRule>
    <cfRule type="containsText" dxfId="1021" priority="35" operator="containsText" text="IUseArch">
      <formula>NOT(ISERROR(SEARCH("IUseArch",B27)))</formula>
    </cfRule>
    <cfRule type="containsText" dxfId="1020" priority="36" operator="containsText" text="Colonizer">
      <formula>NOT(ISERROR(SEARCH("Colonizer",B27)))</formula>
    </cfRule>
    <cfRule type="containsText" dxfId="1019" priority="37" operator="containsText" text="Lappland">
      <formula>NOT(ISERROR(SEARCH("Lappland",B27)))</formula>
    </cfRule>
    <cfRule type="containsText" dxfId="1018" priority="38" operator="containsText" text="Diehard">
      <formula>NOT(ISERROR(SEARCH("Diehard",B27)))</formula>
    </cfRule>
    <cfRule type="containsText" dxfId="1017" priority="39" operator="containsText" text="Louis">
      <formula>NOT(ISERROR(SEARCH("Louis",B27)))</formula>
    </cfRule>
    <cfRule type="containsText" dxfId="1016" priority="40" operator="containsText" text="Cortex">
      <formula>NOT(ISERROR(SEARCH("Cortex",B27)))</formula>
    </cfRule>
    <cfRule type="containsText" dxfId="1015" priority="41" operator="containsText" text="Acceptable">
      <formula>NOT(ISERROR(SEARCH("Acceptable",B27)))</formula>
    </cfRule>
    <cfRule type="containsText" dxfId="1014" priority="42" operator="containsText" text="Minimum">
      <formula>NOT(ISERROR(SEARCH("Minimum",B27)))</formula>
    </cfRule>
    <cfRule type="containsText" dxfId="1013" priority="43" operator="containsText" text="_">
      <formula>NOT(ISERROR(SEARCH("_",B27)))</formula>
    </cfRule>
  </conditionalFormatting>
  <conditionalFormatting sqref="B29:C29">
    <cfRule type="containsText" dxfId="1012" priority="44" operator="containsText" text="Dlehard">
      <formula>NOT(ISERROR(SEARCH("Dlehard",B29)))</formula>
    </cfRule>
    <cfRule type="containsText" dxfId="1011" priority="45" operator="containsText" text="Strix">
      <formula>NOT(ISERROR(SEARCH("Strix",B29)))</formula>
    </cfRule>
    <cfRule type="containsText" dxfId="1010" priority="46" operator="containsText" text="Struggler">
      <formula>NOT(ISERROR(SEARCH("Struggler",B29)))</formula>
    </cfRule>
    <cfRule type="containsText" dxfId="1009" priority="47" operator="containsText" text="Koyeetchi">
      <formula>NOT(ISERROR(SEARCH("Koyeetchi",B29)))</formula>
    </cfRule>
    <cfRule type="containsText" dxfId="1008" priority="48" operator="containsText" text="Mauricio">
      <formula>NOT(ISERROR(SEARCH("Mauricio",B29)))</formula>
    </cfRule>
    <cfRule type="containsText" dxfId="1007" priority="49" operator="containsText" text="Glonk">
      <formula>NOT(ISERROR(SEARCH("Glonk",B29)))</formula>
    </cfRule>
    <cfRule type="containsText" dxfId="1006" priority="50" operator="containsText" text="Chris">
      <formula>NOT(ISERROR(SEARCH("Chris",B29)))</formula>
    </cfRule>
    <cfRule type="containsText" dxfId="1005" priority="51" operator="containsText" text="Ranger">
      <formula>NOT(ISERROR(SEARCH("Ranger",B29)))</formula>
    </cfRule>
    <cfRule type="containsText" dxfId="1004" priority="52" operator="containsText" text="Rat">
      <formula>NOT(ISERROR(SEARCH("Rat",B29)))</formula>
    </cfRule>
    <cfRule type="containsText" dxfId="1003" priority="53" operator="containsText" text="Boomer">
      <formula>NOT(ISERROR(SEARCH("Boomer",B29)))</formula>
    </cfRule>
    <cfRule type="containsText" dxfId="1002" priority="54" operator="containsText" text="Tim">
      <formula>NOT(ISERROR(SEARCH("Tim",B29)))</formula>
    </cfRule>
    <cfRule type="containsText" dxfId="1001" priority="55" operator="containsText" text="Mason">
      <formula>NOT(ISERROR(SEARCH("Mason",B29)))</formula>
    </cfRule>
    <cfRule type="containsText" dxfId="1000" priority="56" operator="containsText" text="Blade">
      <formula>NOT(ISERROR(SEARCH("Blade",B29)))</formula>
    </cfRule>
    <cfRule type="containsText" dxfId="999" priority="57" operator="containsText" text="Andrew">
      <formula>NOT(ISERROR(SEARCH("Andrew",B29)))</formula>
    </cfRule>
    <cfRule type="containsText" dxfId="998" priority="58" operator="containsText" text="Shyam">
      <formula>NOT(ISERROR(SEARCH("Shyam",B29)))</formula>
    </cfRule>
    <cfRule type="containsText" dxfId="997" priority="59" operator="containsText" text="IUseArch">
      <formula>NOT(ISERROR(SEARCH("IUseArch",B29)))</formula>
    </cfRule>
    <cfRule type="containsText" dxfId="996" priority="60" operator="containsText" text="Colonizer">
      <formula>NOT(ISERROR(SEARCH("Colonizer",B29)))</formula>
    </cfRule>
    <cfRule type="containsText" dxfId="995" priority="61" operator="containsText" text="Lappland">
      <formula>NOT(ISERROR(SEARCH("Lappland",B29)))</formula>
    </cfRule>
    <cfRule type="containsText" dxfId="994" priority="62" operator="containsText" text="Diehard">
      <formula>NOT(ISERROR(SEARCH("Diehard",B29)))</formula>
    </cfRule>
    <cfRule type="containsText" dxfId="993" priority="63" operator="containsText" text="Louis">
      <formula>NOT(ISERROR(SEARCH("Louis",B29)))</formula>
    </cfRule>
    <cfRule type="containsText" dxfId="992" priority="64" operator="containsText" text="Cortex">
      <formula>NOT(ISERROR(SEARCH("Cortex",B29)))</formula>
    </cfRule>
    <cfRule type="containsText" dxfId="991" priority="65" operator="containsText" text="Acceptable">
      <formula>NOT(ISERROR(SEARCH("Acceptable",B29)))</formula>
    </cfRule>
    <cfRule type="containsText" dxfId="990" priority="66" operator="containsText" text="Minimum">
      <formula>NOT(ISERROR(SEARCH("Minimum",B29)))</formula>
    </cfRule>
    <cfRule type="containsText" dxfId="989" priority="67" operator="containsText" text="_">
      <formula>NOT(ISERROR(SEARCH("_",B29)))</formula>
    </cfRule>
  </conditionalFormatting>
  <conditionalFormatting sqref="D9:E9">
    <cfRule type="colorScale" priority="1">
      <colorScale>
        <cfvo type="min"/>
        <cfvo type="percentile" val="50"/>
        <cfvo type="max"/>
        <color rgb="FFF8696B"/>
        <color rgb="FFFFEB84"/>
        <color rgb="FF63BE7B"/>
      </colorScale>
    </cfRule>
  </conditionalFormatting>
  <conditionalFormatting sqref="E2">
    <cfRule type="colorScale" priority="142">
      <colorScale>
        <cfvo type="min"/>
        <cfvo type="percentile" val="50"/>
        <cfvo type="max"/>
        <color rgb="FFF8696B"/>
        <color rgb="FFFFEB84"/>
        <color rgb="FF63BE7B"/>
      </colorScale>
    </cfRule>
  </conditionalFormatting>
  <conditionalFormatting sqref="E3:E8 D2:D8 D10:E29">
    <cfRule type="colorScale" priority="509">
      <colorScale>
        <cfvo type="min"/>
        <cfvo type="percentile" val="50"/>
        <cfvo type="max"/>
        <color rgb="FFF8696B"/>
        <color rgb="FFFFEB84"/>
        <color rgb="FF63BE7B"/>
      </colorScale>
    </cfRule>
  </conditionalFormatting>
  <conditionalFormatting sqref="J2:J8 K2 J10:J29">
    <cfRule type="colorScale" priority="512">
      <colorScale>
        <cfvo type="min"/>
        <cfvo type="percentile" val="50"/>
        <cfvo type="max"/>
        <color rgb="FFF8696B"/>
        <color rgb="FFFFEB84"/>
        <color rgb="FF63BE7B"/>
      </colorScale>
    </cfRule>
  </conditionalFormatting>
  <conditionalFormatting sqref="J9">
    <cfRule type="colorScale" priority="3">
      <colorScale>
        <cfvo type="min"/>
        <cfvo type="percentile" val="50"/>
        <cfvo type="max"/>
        <color rgb="FFF8696B"/>
        <color rgb="FFFFEB84"/>
        <color rgb="FF63BE7B"/>
      </colorScale>
    </cfRule>
  </conditionalFormatting>
  <conditionalFormatting sqref="K3:K8 K10:K29">
    <cfRule type="colorScale" priority="510">
      <colorScale>
        <cfvo type="min"/>
        <cfvo type="percentile" val="50"/>
        <cfvo type="max"/>
        <color rgb="FFF8696B"/>
        <color rgb="FFFFEB84"/>
        <color rgb="FF63BE7B"/>
      </colorScale>
    </cfRule>
  </conditionalFormatting>
  <conditionalFormatting sqref="K9">
    <cfRule type="colorScale" priority="2">
      <colorScale>
        <cfvo type="min"/>
        <cfvo type="percentile" val="50"/>
        <cfvo type="max"/>
        <color rgb="FFF8696B"/>
        <color rgb="FFFFEB84"/>
        <color rgb="FF63BE7B"/>
      </colorScale>
    </cfRule>
  </conditionalFormatting>
  <conditionalFormatting sqref="N2:N29">
    <cfRule type="colorScale" priority="517">
      <colorScale>
        <cfvo type="min"/>
        <cfvo type="percentile" val="50"/>
        <cfvo type="max"/>
        <color rgb="FFF8696B"/>
        <color rgb="FFFFEB84"/>
        <color rgb="FF63BE7B"/>
      </colorScale>
    </cfRule>
  </conditionalFormatting>
  <conditionalFormatting sqref="O2:O29">
    <cfRule type="colorScale" priority="514">
      <colorScale>
        <cfvo type="min"/>
        <cfvo type="percentile" val="50"/>
        <cfvo type="max"/>
        <color rgb="FFF8696B"/>
        <color rgb="FFFFEB84"/>
        <color rgb="FF63BE7B"/>
      </colorScale>
    </cfRule>
  </conditionalFormatting>
  <conditionalFormatting sqref="P2:P29">
    <cfRule type="colorScale" priority="515">
      <colorScale>
        <cfvo type="min"/>
        <cfvo type="percentile" val="50"/>
        <cfvo type="max"/>
        <color rgb="FFF8696B"/>
        <color rgb="FFFFEB84"/>
        <color rgb="FF63BE7B"/>
      </colorScale>
    </cfRule>
  </conditionalFormatting>
  <conditionalFormatting sqref="T2:T29">
    <cfRule type="colorScale" priority="513">
      <colorScale>
        <cfvo type="min"/>
        <cfvo type="percentile" val="50"/>
        <cfvo type="max"/>
        <color rgb="FFF8696B"/>
        <color rgb="FFFFEB84"/>
        <color rgb="FF63BE7B"/>
      </colorScale>
    </cfRule>
  </conditionalFormatting>
  <conditionalFormatting sqref="U2:U29">
    <cfRule type="colorScale" priority="516">
      <colorScale>
        <cfvo type="min"/>
        <cfvo type="percentile" val="50"/>
        <cfvo type="max"/>
        <color rgb="FFF8696B"/>
        <color rgb="FFFFEB84"/>
        <color rgb="FF63BE7B"/>
      </colorScale>
    </cfRule>
  </conditionalFormatting>
  <conditionalFormatting sqref="V2:V3 V20:V29">
    <cfRule type="colorScale" priority="508">
      <colorScale>
        <cfvo type="min"/>
        <cfvo type="percentile" val="50"/>
        <cfvo type="max"/>
        <color rgb="FF63BE7B"/>
        <color rgb="FFFFEB84"/>
        <color rgb="FFF8696B"/>
      </colorScale>
    </cfRule>
  </conditionalFormatting>
  <conditionalFormatting sqref="V4:V8 V10:V11">
    <cfRule type="colorScale" priority="504">
      <colorScale>
        <cfvo type="min"/>
        <cfvo type="percentile" val="50"/>
        <cfvo type="max"/>
        <color rgb="FF63BE7B"/>
        <color rgb="FFFFEB84"/>
        <color rgb="FFF8696B"/>
      </colorScale>
    </cfRule>
  </conditionalFormatting>
  <conditionalFormatting sqref="V9">
    <cfRule type="colorScale" priority="4">
      <colorScale>
        <cfvo type="min"/>
        <cfvo type="percentile" val="50"/>
        <cfvo type="max"/>
        <color rgb="FF63BE7B"/>
        <color rgb="FFFFEB84"/>
        <color rgb="FFF8696B"/>
      </colorScale>
    </cfRule>
  </conditionalFormatting>
  <conditionalFormatting sqref="V12:V19">
    <cfRule type="colorScale" priority="141">
      <colorScale>
        <cfvo type="min"/>
        <cfvo type="percentile" val="50"/>
        <cfvo type="max"/>
        <color rgb="FF63BE7B"/>
        <color rgb="FFFFEB84"/>
        <color rgb="FFF8696B"/>
      </colorScale>
    </cfRule>
  </conditionalFormatting>
  <conditionalFormatting sqref="W2:W29">
    <cfRule type="colorScale" priority="511">
      <colorScale>
        <cfvo type="min"/>
        <cfvo type="percentile" val="50"/>
        <cfvo type="max"/>
        <color rgb="FFF8696B"/>
        <color rgb="FFFFEB84"/>
        <color rgb="FF63BE7B"/>
      </colorScale>
    </cfRule>
  </conditionalFormatting>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056B-5E5C-4F22-B1D2-4377230E1E28}">
  <dimension ref="A1:R134"/>
  <sheetViews>
    <sheetView topLeftCell="I1" workbookViewId="0">
      <pane ySplit="1" topLeftCell="B41" activePane="bottomLeft" state="frozen"/>
      <selection pane="bottomLeft" activeCell="B41" sqref="B41"/>
      <selection activeCell="L1" sqref="L1"/>
    </sheetView>
  </sheetViews>
  <sheetFormatPr defaultRowHeight="15"/>
  <cols>
    <col min="1" max="1" width="8.85546875" customWidth="1"/>
    <col min="2" max="2" width="16" customWidth="1"/>
    <col min="3" max="4" width="18.42578125" customWidth="1"/>
    <col min="5" max="5" width="17" customWidth="1"/>
    <col min="6" max="6" width="15.85546875" bestFit="1" customWidth="1"/>
    <col min="7" max="7" width="7.85546875" style="39" bestFit="1" customWidth="1"/>
    <col min="8" max="8" width="8.140625" style="39" customWidth="1"/>
    <col min="9" max="9" width="8.85546875" style="33" customWidth="1"/>
    <col min="10" max="10" width="8.140625" customWidth="1"/>
    <col min="11" max="11" width="15.7109375" style="33" customWidth="1"/>
    <col min="12" max="12" width="74.42578125" style="70" customWidth="1"/>
    <col min="14" max="14" width="10.140625" bestFit="1" customWidth="1"/>
    <col min="15" max="15" width="11.85546875" bestFit="1" customWidth="1"/>
  </cols>
  <sheetData>
    <row r="1" spans="1:15" ht="24.75" customHeight="1">
      <c r="A1" t="s">
        <v>166</v>
      </c>
      <c r="B1" s="27" t="s">
        <v>167</v>
      </c>
      <c r="C1" s="28" t="s">
        <v>168</v>
      </c>
      <c r="D1" s="28" t="s">
        <v>169</v>
      </c>
      <c r="E1" s="28" t="s">
        <v>170</v>
      </c>
      <c r="F1" s="28" t="s">
        <v>171</v>
      </c>
      <c r="G1" s="36" t="s">
        <v>172</v>
      </c>
      <c r="H1" s="36" t="s">
        <v>173</v>
      </c>
      <c r="I1" s="37" t="s">
        <v>174</v>
      </c>
      <c r="J1" s="28" t="s">
        <v>175</v>
      </c>
      <c r="K1" s="34" t="s">
        <v>176</v>
      </c>
      <c r="L1" s="66" t="s">
        <v>177</v>
      </c>
    </row>
    <row r="2" spans="1:15" ht="15" customHeight="1">
      <c r="A2" s="40" t="str">
        <f>_xlfn.TEXTJOIN(",",TRUE,_xlfn._xlws.SORT(_xlfn.TEXTSPLIT(_xlfn.TEXTJOIN(",",TRUE,_xlfn._xlws.SORT($B2:$F2, 1, -1, FALSE)),"WWWWW",",")))</f>
        <v>Boomerjet123,Chromius.TAMU,Galahad21588</v>
      </c>
      <c r="B2" s="115" t="s">
        <v>77</v>
      </c>
      <c r="C2" s="101" t="s">
        <v>96</v>
      </c>
      <c r="D2" s="101" t="s">
        <v>109</v>
      </c>
      <c r="E2" s="101"/>
      <c r="F2" s="101"/>
      <c r="G2" s="108" t="e">
        <f>IFERROR(VLOOKUP(CombinedStack[[#This Row],[Dupes]],Y9S1[],7,FALSE), 0) +
IFERROR(VLOOKUP(CombinedStack[[#This Row],[Dupes]],Y8S4[],7,FALSE), 0)</f>
        <v>#VALUE!</v>
      </c>
      <c r="H2" s="40" t="e">
        <f>IFERROR(VLOOKUP(CombinedStack[[#This Row],[Dupes]],Y9S1[],8,FALSE), 0)+
IFERROR(VLOOKUP(CombinedStack[[#This Row],[Dupes]],Y8S4[],8,FALSE), 0)</f>
        <v>#VALUE!</v>
      </c>
      <c r="I2" s="40" t="e">
        <f>$G2+$H2</f>
        <v>#VALUE!</v>
      </c>
      <c r="J2" s="50" t="e">
        <f>G2/(H2+G2)</f>
        <v>#VALUE!</v>
      </c>
      <c r="K2" s="51" t="e">
        <f>(CombinedStack[[#This Row],[Wins]]-CombinedStack[[#This Row],[Losses]]/SUM(CombinedStack[Games Played]))/10</f>
        <v>#VALUE!</v>
      </c>
      <c r="L2" s="96"/>
    </row>
    <row r="3" spans="1:15" ht="15" customHeight="1">
      <c r="A3" s="40" t="str">
        <f>_xlfn.TEXTJOIN(",",TRUE,_xlfn._xlws.SORT(_xlfn.TEXTSPLIT(_xlfn.TEXTJOIN(",",TRUE,_xlfn._xlws.SORT($B3:$F3, 1, -1, FALSE)),"WWWWW",",")))</f>
        <v>Boomerjet123,Chromius.TAMU,Coolrocket.TAMU,Galahad21588,Timythiccums.MB</v>
      </c>
      <c r="B3" s="115" t="s">
        <v>77</v>
      </c>
      <c r="C3" s="101" t="s">
        <v>96</v>
      </c>
      <c r="D3" s="101" t="s">
        <v>138</v>
      </c>
      <c r="E3" s="101" t="s">
        <v>109</v>
      </c>
      <c r="F3" s="101" t="s">
        <v>81</v>
      </c>
      <c r="G3" s="108" t="e">
        <f>IFERROR(VLOOKUP(CombinedStack[[#This Row],[Dupes]],Y9S1[],7,FALSE), 0) +
IFERROR(VLOOKUP(CombinedStack[[#This Row],[Dupes]],Y8S4[],7,FALSE), 0)</f>
        <v>#VALUE!</v>
      </c>
      <c r="H3" s="40" t="e">
        <f>IFERROR(VLOOKUP(CombinedStack[[#This Row],[Dupes]],Y9S1[],8,FALSE), 0)+
IFERROR(VLOOKUP(CombinedStack[[#This Row],[Dupes]],Y8S4[],8,FALSE), 0)</f>
        <v>#VALUE!</v>
      </c>
      <c r="I3" s="40" t="e">
        <f>$G3+$H3</f>
        <v>#VALUE!</v>
      </c>
      <c r="J3" s="50" t="e">
        <f>G3/(H3+G3)</f>
        <v>#VALUE!</v>
      </c>
      <c r="K3" s="51" t="e">
        <f>(CombinedStack[[#This Row],[Wins]]-CombinedStack[[#This Row],[Losses]]/SUM(CombinedStack[Games Played]))/10</f>
        <v>#VALUE!</v>
      </c>
      <c r="L3" s="96"/>
      <c r="N3" t="s">
        <v>178</v>
      </c>
    </row>
    <row r="4" spans="1:15" ht="15" customHeight="1">
      <c r="A4" s="40" t="str">
        <f>_xlfn.TEXTJOIN(",",TRUE,_xlfn._xlws.SORT(_xlfn.TEXTSPLIT(_xlfn.TEXTJOIN(",",TRUE,_xlfn._xlws.SORT($B4:$F4, 1, -1, FALSE)),"WWWWW",",")))</f>
        <v>Chromius.TAMU,Coolrocket.TAMU,Glonk.MB,nobetterdough,Timythiccums.MB</v>
      </c>
      <c r="B4" s="115" t="s">
        <v>77</v>
      </c>
      <c r="C4" s="101" t="s">
        <v>162</v>
      </c>
      <c r="D4" s="101" t="s">
        <v>138</v>
      </c>
      <c r="E4" s="101" t="s">
        <v>179</v>
      </c>
      <c r="F4" s="101" t="s">
        <v>81</v>
      </c>
      <c r="G4" s="40" t="e">
        <f>IFERROR(VLOOKUP(CombinedStack[[#This Row],[Dupes]],Y9S1[],7,FALSE), 0) +
IFERROR(VLOOKUP(CombinedStack[[#This Row],[Dupes]],Y8S4[],7,FALSE), 0)</f>
        <v>#VALUE!</v>
      </c>
      <c r="H4" s="40" t="e">
        <f>IFERROR(VLOOKUP(CombinedStack[[#This Row],[Dupes]],Y9S1[],8,FALSE), 0)+
IFERROR(VLOOKUP(CombinedStack[[#This Row],[Dupes]],Y8S4[],8,FALSE), 0)</f>
        <v>#VALUE!</v>
      </c>
      <c r="I4" s="40" t="e">
        <f>$G4+$H4</f>
        <v>#VALUE!</v>
      </c>
      <c r="J4" s="50" t="e">
        <f>G4/(H4+G4)</f>
        <v>#VALUE!</v>
      </c>
      <c r="K4" s="51" t="e">
        <f>(CombinedStack[[#This Row],[Wins]]-CombinedStack[[#This Row],[Losses]]/SUM(CombinedStack[Games Played]))/10</f>
        <v>#VALUE!</v>
      </c>
      <c r="L4" s="96"/>
      <c r="M4" t="s">
        <v>77</v>
      </c>
      <c r="N4" s="9">
        <v>45371</v>
      </c>
      <c r="O4" s="10">
        <v>0.6118055555555556</v>
      </c>
    </row>
    <row r="5" spans="1:15" ht="15" customHeight="1">
      <c r="A5" s="40" t="str">
        <f>_xlfn.TEXTJOIN(",",TRUE,_xlfn._xlws.SORT(_xlfn.TEXTSPLIT(_xlfn.TEXTJOIN(",",TRUE,_xlfn._xlws.SORT($B5:$F5, 1, -1, FALSE)),"WWWWW",",")))</f>
        <v>Chromius.TAMU,Galahad21588,Glonk.MB</v>
      </c>
      <c r="B5" s="115" t="s">
        <v>77</v>
      </c>
      <c r="C5" s="42" t="s">
        <v>162</v>
      </c>
      <c r="D5" s="101" t="s">
        <v>96</v>
      </c>
      <c r="E5" s="126" t="s">
        <v>180</v>
      </c>
      <c r="F5" s="126" t="s">
        <v>180</v>
      </c>
      <c r="G5" s="108" t="e">
        <f>IFERROR(VLOOKUP(CombinedStack[[#This Row],[Dupes]],Y9S1[],7,FALSE), 0) +
IFERROR(VLOOKUP(CombinedStack[[#This Row],[Dupes]],Y8S4[],7,FALSE), 0)</f>
        <v>#VALUE!</v>
      </c>
      <c r="H5" s="40" t="e">
        <f>IFERROR(VLOOKUP(CombinedStack[[#This Row],[Dupes]],Y9S1[],8,FALSE), 0)+
IFERROR(VLOOKUP(CombinedStack[[#This Row],[Dupes]],Y8S4[],8,FALSE), 0)</f>
        <v>#VALUE!</v>
      </c>
      <c r="I5" s="40" t="e">
        <f>$G5+$H5</f>
        <v>#VALUE!</v>
      </c>
      <c r="J5" s="50" t="e">
        <f>G5/(H5+G5)</f>
        <v>#VALUE!</v>
      </c>
      <c r="K5" s="51" t="e">
        <f>(CombinedStack[[#This Row],[Wins]]-CombinedStack[[#This Row],[Losses]]/SUM(CombinedStack[Games Played]))/10</f>
        <v>#VALUE!</v>
      </c>
      <c r="L5" s="68" t="s">
        <v>181</v>
      </c>
      <c r="M5" t="s">
        <v>182</v>
      </c>
      <c r="N5" s="9">
        <v>45361</v>
      </c>
      <c r="O5" s="26" t="s">
        <v>183</v>
      </c>
    </row>
    <row r="6" spans="1:15" ht="16.5" customHeight="1">
      <c r="A6" s="40" t="str">
        <f>_xlfn.TEXTJOIN(",",TRUE,_xlfn._xlws.SORT(_xlfn.TEXTSPLIT(_xlfn.TEXTJOIN(",",TRUE,_xlfn._xlws.SORT($B6:$F6, 1, -1, FALSE)),"WWWWW",",")))</f>
        <v>Chromius.TAMU,Glonk.MB,Kermitt.MB</v>
      </c>
      <c r="B6" s="115" t="s">
        <v>77</v>
      </c>
      <c r="C6" s="42" t="s">
        <v>162</v>
      </c>
      <c r="D6" s="101" t="s">
        <v>118</v>
      </c>
      <c r="E6" s="126" t="s">
        <v>180</v>
      </c>
      <c r="F6" s="126" t="s">
        <v>180</v>
      </c>
      <c r="G6" s="108" t="e">
        <f>IFERROR(VLOOKUP(CombinedStack[[#This Row],[Dupes]],Y9S1[],7,FALSE), 0) +
IFERROR(VLOOKUP(CombinedStack[[#This Row],[Dupes]],Y8S4[],7,FALSE), 0)</f>
        <v>#VALUE!</v>
      </c>
      <c r="H6" s="40" t="e">
        <f>IFERROR(VLOOKUP(CombinedStack[[#This Row],[Dupes]],Y9S1[],8,FALSE), 0)+
IFERROR(VLOOKUP(CombinedStack[[#This Row],[Dupes]],Y8S4[],8,FALSE), 0)</f>
        <v>#VALUE!</v>
      </c>
      <c r="I6" s="40" t="e">
        <f>$G6+$H6</f>
        <v>#VALUE!</v>
      </c>
      <c r="J6" s="50" t="e">
        <f>G6/(H6+G6)</f>
        <v>#VALUE!</v>
      </c>
      <c r="K6" s="51" t="e">
        <f>(CombinedStack[[#This Row],[Wins]]-CombinedStack[[#This Row],[Losses]]/SUM(CombinedStack[Games Played]))/10</f>
        <v>#VALUE!</v>
      </c>
      <c r="L6" s="68"/>
    </row>
    <row r="7" spans="1:15" ht="15" customHeight="1">
      <c r="A7" s="40" t="str">
        <f>_xlfn.TEXTJOIN(",",TRUE,_xlfn._xlws.SORT(_xlfn.TEXTSPLIT(_xlfn.TEXTJOIN(",",TRUE,_xlfn._xlws.SORT($B7:$F7, 1, -1, FALSE)),"WWWWW",",")))</f>
        <v>Chromius.TAMU,Galahad21588,Glonk.MB,Kermitt.MB,NotLappland</v>
      </c>
      <c r="B7" s="115" t="s">
        <v>77</v>
      </c>
      <c r="C7" s="101" t="s">
        <v>162</v>
      </c>
      <c r="D7" s="101" t="s">
        <v>118</v>
      </c>
      <c r="E7" s="101" t="s">
        <v>96</v>
      </c>
      <c r="F7" s="101" t="s">
        <v>142</v>
      </c>
      <c r="G7" s="40" t="e">
        <f>IFERROR(VLOOKUP(CombinedStack[[#This Row],[Dupes]],Y9S1[],7,FALSE), 0) +
IFERROR(VLOOKUP(CombinedStack[[#This Row],[Dupes]],Y8S4[],7,FALSE), 0)</f>
        <v>#VALUE!</v>
      </c>
      <c r="H7" s="40" t="e">
        <f>IFERROR(VLOOKUP(CombinedStack[[#This Row],[Dupes]],Y9S1[],8,FALSE), 0)+
IFERROR(VLOOKUP(CombinedStack[[#This Row],[Dupes]],Y8S4[],8,FALSE), 0)</f>
        <v>#VALUE!</v>
      </c>
      <c r="I7" s="40" t="e">
        <f>$G7+$H7</f>
        <v>#VALUE!</v>
      </c>
      <c r="J7" s="50" t="e">
        <f>G7/(H7+G7)</f>
        <v>#VALUE!</v>
      </c>
      <c r="K7" s="51" t="e">
        <f>(CombinedStack[[#This Row],[Wins]]-CombinedStack[[#This Row],[Losses]]/SUM(CombinedStack[Games Played]))/10</f>
        <v>#VALUE!</v>
      </c>
      <c r="L7" s="96"/>
    </row>
    <row r="8" spans="1:15" ht="15" customHeight="1">
      <c r="A8" s="40" t="str">
        <f>_xlfn.TEXTJOIN(",",TRUE,_xlfn._xlws.SORT(_xlfn.TEXTSPLIT(_xlfn.TEXTJOIN(",",TRUE,_xlfn._xlws.SORT($B8:$F8, 1, -1, FALSE)),"WWWWW",",")))</f>
        <v>Chromius.TAMU,Glonk.MB,Kermitt.MB,PincheConcha,Timythiccums.MB</v>
      </c>
      <c r="B8" s="115" t="s">
        <v>77</v>
      </c>
      <c r="C8" s="115" t="s">
        <v>162</v>
      </c>
      <c r="D8" s="101" t="s">
        <v>118</v>
      </c>
      <c r="E8" s="133" t="s">
        <v>91</v>
      </c>
      <c r="F8" s="101" t="s">
        <v>81</v>
      </c>
      <c r="G8" s="40" t="e">
        <f>IFERROR(VLOOKUP(CombinedStack[[#This Row],[Dupes]],Y9S1[],7,FALSE), 0) +
IFERROR(VLOOKUP(CombinedStack[[#This Row],[Dupes]],Y8S4[],7,FALSE), 0)</f>
        <v>#VALUE!</v>
      </c>
      <c r="H8" s="40" t="e">
        <f>IFERROR(VLOOKUP(CombinedStack[[#This Row],[Dupes]],Y9S1[],8,FALSE), 0)+
IFERROR(VLOOKUP(CombinedStack[[#This Row],[Dupes]],Y8S4[],8,FALSE), 0)</f>
        <v>#VALUE!</v>
      </c>
      <c r="I8" s="40" t="e">
        <f>$G8+$H8</f>
        <v>#VALUE!</v>
      </c>
      <c r="J8" s="50" t="e">
        <f>G8/(H8+G8)</f>
        <v>#VALUE!</v>
      </c>
      <c r="K8" s="51" t="e">
        <f>(CombinedStack[[#This Row],[Wins]]-CombinedStack[[#This Row],[Losses]]/SUM(CombinedStack[Games Played]))/10</f>
        <v>#VALUE!</v>
      </c>
      <c r="L8" s="96"/>
    </row>
    <row r="9" spans="1:15">
      <c r="A9" s="40" t="str">
        <f>_xlfn.TEXTJOIN(",",TRUE,_xlfn._xlws.SORT(_xlfn.TEXTSPLIT(_xlfn.TEXTJOIN(",",TRUE,_xlfn._xlws.SORT($B9:$F9, 1, -1, FALSE)),"WWWWW",",")))</f>
        <v>Chromius.TAMU,Glonk.MB,Notlappland,Timythiccums.MB</v>
      </c>
      <c r="B9" s="115" t="s">
        <v>77</v>
      </c>
      <c r="C9" s="101" t="s">
        <v>162</v>
      </c>
      <c r="D9" s="101" t="s">
        <v>81</v>
      </c>
      <c r="E9" s="101" t="s">
        <v>184</v>
      </c>
      <c r="F9" s="126" t="s">
        <v>180</v>
      </c>
      <c r="G9" s="108" t="e">
        <f>IFERROR(VLOOKUP(CombinedStack[[#This Row],[Dupes]],Y9S1[],7,FALSE), 0) +
IFERROR(VLOOKUP(CombinedStack[[#This Row],[Dupes]],Y8S4[],7,FALSE), 0)</f>
        <v>#VALUE!</v>
      </c>
      <c r="H9" s="40" t="e">
        <f>IFERROR(VLOOKUP(CombinedStack[[#This Row],[Dupes]],Y9S1[],8,FALSE), 0)+
IFERROR(VLOOKUP(CombinedStack[[#This Row],[Dupes]],Y8S4[],8,FALSE), 0)</f>
        <v>#VALUE!</v>
      </c>
      <c r="I9" s="40" t="e">
        <f>$G9+$H9</f>
        <v>#VALUE!</v>
      </c>
      <c r="J9" s="50" t="e">
        <f>G9/(H9+G9)</f>
        <v>#VALUE!</v>
      </c>
      <c r="K9" s="51" t="e">
        <f>(CombinedStack[[#This Row],[Wins]]-CombinedStack[[#This Row],[Losses]]/SUM(CombinedStack[Games Played]))/10</f>
        <v>#VALUE!</v>
      </c>
      <c r="L9" s="68"/>
    </row>
    <row r="10" spans="1:15">
      <c r="A10" s="40" t="str">
        <f>_xlfn.TEXTJOIN(",",TRUE,_xlfn._xlws.SORT(_xlfn.TEXTSPLIT(_xlfn.TEXTJOIN(",",TRUE,_xlfn._xlws.SORT($B10:$F10, 1, -1, FALSE)),"WWWWW",",")))</f>
        <v>catsanddog123,Chromius.TAMU,Glonk.MB,Ronc.-,Viests.</v>
      </c>
      <c r="B10" s="115" t="s">
        <v>77</v>
      </c>
      <c r="C10" s="101" t="s">
        <v>162</v>
      </c>
      <c r="D10" s="101" t="s">
        <v>185</v>
      </c>
      <c r="E10" s="133" t="s">
        <v>157</v>
      </c>
      <c r="F10" s="101" t="s">
        <v>186</v>
      </c>
      <c r="G10" s="40" t="e">
        <f>IFERROR(VLOOKUP(CombinedStack[[#This Row],[Dupes]],Y9S1[],7,FALSE), 0) +
IFERROR(VLOOKUP(CombinedStack[[#This Row],[Dupes]],Y8S4[],7,FALSE), 0)</f>
        <v>#VALUE!</v>
      </c>
      <c r="H10" s="40" t="e">
        <f>IFERROR(VLOOKUP(CombinedStack[[#This Row],[Dupes]],Y9S1[],8,FALSE), 0)+
IFERROR(VLOOKUP(CombinedStack[[#This Row],[Dupes]],Y8S4[],8,FALSE), 0)</f>
        <v>#VALUE!</v>
      </c>
      <c r="I10" s="40" t="e">
        <f>$G10+$H10</f>
        <v>#VALUE!</v>
      </c>
      <c r="J10" s="50" t="e">
        <f>G10/(H10+G10)</f>
        <v>#VALUE!</v>
      </c>
      <c r="K10" s="51" t="e">
        <f>(CombinedStack[[#This Row],[Wins]]-CombinedStack[[#This Row],[Losses]]/SUM(CombinedStack[Games Played]))/10</f>
        <v>#VALUE!</v>
      </c>
      <c r="L10" s="96"/>
    </row>
    <row r="11" spans="1:15">
      <c r="A11" s="40" t="str">
        <f>_xlfn.TEXTJOIN(",",TRUE,_xlfn._xlws.SORT(_xlfn.TEXTSPLIT(_xlfn.TEXTJOIN(",",TRUE,_xlfn._xlws.SORT($B11:$F11, 1, -1, FALSE)),"WWWWW",",")))</f>
        <v>Chromius.TAMU,Timythiccums.MB</v>
      </c>
      <c r="B11" s="115" t="s">
        <v>77</v>
      </c>
      <c r="C11" s="115" t="s">
        <v>81</v>
      </c>
      <c r="D11" s="126" t="s">
        <v>180</v>
      </c>
      <c r="E11" s="126" t="s">
        <v>180</v>
      </c>
      <c r="F11" s="126" t="s">
        <v>180</v>
      </c>
      <c r="G11" s="108" t="e">
        <f>IFERROR(VLOOKUP(CombinedStack[[#This Row],[Dupes]],Y9S1[],7,FALSE), 0) +
IFERROR(VLOOKUP(CombinedStack[[#This Row],[Dupes]],Y8S4[],7,FALSE), 0)</f>
        <v>#VALUE!</v>
      </c>
      <c r="H11" s="40" t="e">
        <f>IFERROR(VLOOKUP(CombinedStack[[#This Row],[Dupes]],Y9S1[],8,FALSE), 0)+
IFERROR(VLOOKUP(CombinedStack[[#This Row],[Dupes]],Y8S4[],8,FALSE), 0)</f>
        <v>#VALUE!</v>
      </c>
      <c r="I11" s="40" t="e">
        <f>$G11+$H11</f>
        <v>#VALUE!</v>
      </c>
      <c r="J11" s="50" t="e">
        <f>G11/(H11+G11)</f>
        <v>#VALUE!</v>
      </c>
      <c r="K11" s="51" t="e">
        <f>(CombinedStack[[#This Row],[Wins]]-CombinedStack[[#This Row],[Losses]]/SUM(CombinedStack[Games Played]))/10</f>
        <v>#VALUE!</v>
      </c>
      <c r="L11" s="68"/>
    </row>
    <row r="12" spans="1:15">
      <c r="A12" s="40" t="str">
        <f>_xlfn.TEXTJOIN(",",TRUE,_xlfn._xlws.SORT(_xlfn.TEXTSPLIT(_xlfn.TEXTJOIN(",",TRUE,_xlfn._xlws.SORT($B12:$F12, 1, -1, FALSE)),"WWWWW",",")))</f>
        <v>Chromius.TAMU,Kermitt.MB,Timythiccums.MB</v>
      </c>
      <c r="B12" s="41" t="s">
        <v>77</v>
      </c>
      <c r="C12" s="42" t="s">
        <v>81</v>
      </c>
      <c r="D12" s="42" t="s">
        <v>118</v>
      </c>
      <c r="E12" s="125" t="s">
        <v>180</v>
      </c>
      <c r="F12" s="125" t="s">
        <v>180</v>
      </c>
      <c r="G12" s="108" t="e">
        <f>IFERROR(VLOOKUP(CombinedStack[[#This Row],[Dupes]],Y9S1[],7,FALSE), 0) +
IFERROR(VLOOKUP(CombinedStack[[#This Row],[Dupes]],Y8S4[],7,FALSE), 0)</f>
        <v>#VALUE!</v>
      </c>
      <c r="H12" s="40" t="e">
        <f>IFERROR(VLOOKUP(CombinedStack[[#This Row],[Dupes]],Y9S1[],8,FALSE), 0)+
IFERROR(VLOOKUP(CombinedStack[[#This Row],[Dupes]],Y8S4[],8,FALSE), 0)</f>
        <v>#VALUE!</v>
      </c>
      <c r="I12" s="40" t="e">
        <f>$G12+$H12</f>
        <v>#VALUE!</v>
      </c>
      <c r="J12" s="43" t="e">
        <f>G12/(H12+G12)</f>
        <v>#VALUE!</v>
      </c>
      <c r="K12" s="44" t="e">
        <f>(CombinedStack[[#This Row],[Wins]]-CombinedStack[[#This Row],[Losses]]/SUM(CombinedStack[Games Played]))/10</f>
        <v>#VALUE!</v>
      </c>
      <c r="L12" s="67"/>
    </row>
    <row r="13" spans="1:15" ht="15" customHeight="1">
      <c r="A13" s="40" t="str">
        <f>_xlfn.TEXTJOIN(",",TRUE,_xlfn._xlws.SORT(_xlfn.TEXTSPLIT(_xlfn.TEXTJOIN(",",TRUE,_xlfn._xlws.SORT($B13:$F13, 1, -1, FALSE)),"WWWWW",",")))</f>
        <v>Chromius.TAMU,Kermitt.MB,nobetterdough,Timythiccums.MB</v>
      </c>
      <c r="B13" s="115" t="s">
        <v>77</v>
      </c>
      <c r="C13" s="101" t="s">
        <v>81</v>
      </c>
      <c r="D13" s="101" t="s">
        <v>118</v>
      </c>
      <c r="E13" s="101" t="s">
        <v>179</v>
      </c>
      <c r="F13" s="101"/>
      <c r="G13" s="40" t="e">
        <f>IFERROR(VLOOKUP(CombinedStack[[#This Row],[Dupes]],Y9S1[],7,FALSE), 0) +
IFERROR(VLOOKUP(CombinedStack[[#This Row],[Dupes]],Y8S4[],7,FALSE), 0)</f>
        <v>#VALUE!</v>
      </c>
      <c r="H13" s="40" t="e">
        <f>IFERROR(VLOOKUP(CombinedStack[[#This Row],[Dupes]],Y9S1[],8,FALSE), 0)+
IFERROR(VLOOKUP(CombinedStack[[#This Row],[Dupes]],Y8S4[],8,FALSE), 0)</f>
        <v>#VALUE!</v>
      </c>
      <c r="I13" s="40" t="e">
        <f>$G13+$H13</f>
        <v>#VALUE!</v>
      </c>
      <c r="J13" s="50" t="e">
        <f>G13/(H13+G13)</f>
        <v>#VALUE!</v>
      </c>
      <c r="K13" s="51" t="e">
        <f>(CombinedStack[[#This Row],[Wins]]-CombinedStack[[#This Row],[Losses]]/SUM(CombinedStack[Games Played]))/10</f>
        <v>#VALUE!</v>
      </c>
      <c r="L13" s="96"/>
    </row>
    <row r="14" spans="1:15" ht="15" customHeight="1">
      <c r="A14" s="40" t="str">
        <f>_xlfn.TEXTJOIN(",",TRUE,_xlfn._xlws.SORT(_xlfn.TEXTSPLIT(_xlfn.TEXTJOIN(",",TRUE,_xlfn._xlws.SORT($B14:$F14, 1, -1, FALSE)),"WWWWW",",")))</f>
        <v>Chromius.TAMU,Glonk.MB,Kermitt.MB,nobetterdough,Timythiccums.MB</v>
      </c>
      <c r="B14" s="115" t="s">
        <v>77</v>
      </c>
      <c r="C14" s="101" t="s">
        <v>81</v>
      </c>
      <c r="D14" s="101" t="s">
        <v>118</v>
      </c>
      <c r="E14" s="101" t="s">
        <v>179</v>
      </c>
      <c r="F14" s="101" t="s">
        <v>162</v>
      </c>
      <c r="G14" s="40" t="e">
        <f>IFERROR(VLOOKUP(CombinedStack[[#This Row],[Dupes]],Y9S1[],7,FALSE), 0) +
IFERROR(VLOOKUP(CombinedStack[[#This Row],[Dupes]],Y8S4[],7,FALSE), 0)</f>
        <v>#VALUE!</v>
      </c>
      <c r="H14" s="40" t="e">
        <f>IFERROR(VLOOKUP(CombinedStack[[#This Row],[Dupes]],Y9S1[],8,FALSE), 0)+
IFERROR(VLOOKUP(CombinedStack[[#This Row],[Dupes]],Y8S4[],8,FALSE), 0)</f>
        <v>#VALUE!</v>
      </c>
      <c r="I14" s="40" t="e">
        <f>$G14+$H14</f>
        <v>#VALUE!</v>
      </c>
      <c r="J14" s="50" t="e">
        <f>G14/(H14+G14)</f>
        <v>#VALUE!</v>
      </c>
      <c r="K14" s="51" t="e">
        <f>(CombinedStack[[#This Row],[Wins]]-CombinedStack[[#This Row],[Losses]]/SUM(CombinedStack[Games Played]))/10</f>
        <v>#VALUE!</v>
      </c>
      <c r="L14" s="96"/>
    </row>
    <row r="15" spans="1:15" ht="15" customHeight="1">
      <c r="A15" s="40" t="str">
        <f>_xlfn.TEXTJOIN(",",TRUE,_xlfn._xlws.SORT(_xlfn.TEXTSPLIT(_xlfn.TEXTJOIN(",",TRUE,_xlfn._xlws.SORT($B15:$F15, 1, -1, FALSE)),"WWWWW",",")))</f>
        <v>Chromius.TAMU,Kermitt.MB,mason10_10,nobetterdough,Timythiccums.MB</v>
      </c>
      <c r="B15" s="115" t="s">
        <v>77</v>
      </c>
      <c r="C15" s="101" t="s">
        <v>81</v>
      </c>
      <c r="D15" s="101" t="s">
        <v>118</v>
      </c>
      <c r="E15" s="101" t="s">
        <v>179</v>
      </c>
      <c r="F15" s="132" t="s">
        <v>163</v>
      </c>
      <c r="G15" s="40" t="e">
        <f>IFERROR(VLOOKUP(CombinedStack[[#This Row],[Dupes]],Y9S1[],7,FALSE), 0) +
IFERROR(VLOOKUP(CombinedStack[[#This Row],[Dupes]],Y8S4[],7,FALSE), 0)</f>
        <v>#VALUE!</v>
      </c>
      <c r="H15" s="40" t="e">
        <f>IFERROR(VLOOKUP(CombinedStack[[#This Row],[Dupes]],Y9S1[],8,FALSE), 0)+
IFERROR(VLOOKUP(CombinedStack[[#This Row],[Dupes]],Y8S4[],8,FALSE), 0)</f>
        <v>#VALUE!</v>
      </c>
      <c r="I15" s="40" t="e">
        <f>$G15+$H15</f>
        <v>#VALUE!</v>
      </c>
      <c r="J15" s="50" t="e">
        <f>G15/(H15+G15)</f>
        <v>#VALUE!</v>
      </c>
      <c r="K15" s="51" t="e">
        <f>(CombinedStack[[#This Row],[Wins]]-CombinedStack[[#This Row],[Losses]]/SUM(CombinedStack[Games Played]))/10</f>
        <v>#VALUE!</v>
      </c>
      <c r="L15" s="96"/>
      <c r="N15" s="102"/>
    </row>
    <row r="16" spans="1:15">
      <c r="A16" s="40" t="str">
        <f>_xlfn.TEXTJOIN(",",TRUE,_xlfn._xlws.SORT(_xlfn.TEXTSPLIT(_xlfn.TEXTJOIN(",",TRUE,_xlfn._xlws.SORT($B16:$F16, 1, -1, FALSE)),"WWWWW",",")))</f>
        <v>Chromius.TAMU,Kermitt.MB,Strugg1er.,Timythiccums.MB</v>
      </c>
      <c r="B16" s="115" t="s">
        <v>77</v>
      </c>
      <c r="C16" s="101" t="s">
        <v>81</v>
      </c>
      <c r="D16" s="101" t="s">
        <v>118</v>
      </c>
      <c r="E16" s="101" t="s">
        <v>111</v>
      </c>
      <c r="F16" s="101"/>
      <c r="G16" s="40" t="e">
        <f>IFERROR(VLOOKUP(CombinedStack[[#This Row],[Dupes]],Y9S1[],7,FALSE), 0) +
IFERROR(VLOOKUP(CombinedStack[[#This Row],[Dupes]],Y8S4[],7,FALSE), 0)</f>
        <v>#VALUE!</v>
      </c>
      <c r="H16" s="40" t="e">
        <f>IFERROR(VLOOKUP(CombinedStack[[#This Row],[Dupes]],Y9S1[],8,FALSE), 0)+
IFERROR(VLOOKUP(CombinedStack[[#This Row],[Dupes]],Y8S4[],8,FALSE), 0)</f>
        <v>#VALUE!</v>
      </c>
      <c r="I16" s="40" t="e">
        <f>$G16+$H16</f>
        <v>#VALUE!</v>
      </c>
      <c r="J16" s="50" t="e">
        <f>G16/(H16+G16)</f>
        <v>#VALUE!</v>
      </c>
      <c r="K16" s="51" t="e">
        <f>(CombinedStack[[#This Row],[Wins]]-CombinedStack[[#This Row],[Losses]]/SUM(CombinedStack[Games Played]))/10</f>
        <v>#VALUE!</v>
      </c>
      <c r="L16" s="96"/>
    </row>
    <row r="17" spans="1:15" ht="15.75" customHeight="1">
      <c r="A17" s="40" t="str">
        <f>_xlfn.TEXTJOIN(",",TRUE,_xlfn._xlws.SORT(_xlfn.TEXTSPLIT(_xlfn.TEXTJOIN(",",TRUE,_xlfn._xlws.SORT($B17:$F17, 1, -1, FALSE)),"WWWWW",",")))</f>
        <v>Chromius.TAMU,Glonk.MB,Kermitt.MB,Strugg1er.,Timythiccums.MB</v>
      </c>
      <c r="B17" s="115" t="s">
        <v>77</v>
      </c>
      <c r="C17" s="101" t="s">
        <v>81</v>
      </c>
      <c r="D17" s="101" t="s">
        <v>118</v>
      </c>
      <c r="E17" s="101" t="s">
        <v>111</v>
      </c>
      <c r="F17" s="101" t="s">
        <v>162</v>
      </c>
      <c r="G17" s="40" t="e">
        <f>IFERROR(VLOOKUP(CombinedStack[[#This Row],[Dupes]],Y9S1[],7,FALSE), 0) +
IFERROR(VLOOKUP(CombinedStack[[#This Row],[Dupes]],Y8S4[],7,FALSE), 0)</f>
        <v>#VALUE!</v>
      </c>
      <c r="H17" s="40" t="e">
        <f>IFERROR(VLOOKUP(CombinedStack[[#This Row],[Dupes]],Y9S1[],8,FALSE), 0)+
IFERROR(VLOOKUP(CombinedStack[[#This Row],[Dupes]],Y8S4[],8,FALSE), 0)</f>
        <v>#VALUE!</v>
      </c>
      <c r="I17" s="40" t="e">
        <f>$G17+$H17</f>
        <v>#VALUE!</v>
      </c>
      <c r="J17" s="50" t="e">
        <f>G17/(H17+G17)</f>
        <v>#VALUE!</v>
      </c>
      <c r="K17" s="51" t="e">
        <f>(CombinedStack[[#This Row],[Wins]]-CombinedStack[[#This Row],[Losses]]/SUM(CombinedStack[Games Played]))/10</f>
        <v>#VALUE!</v>
      </c>
      <c r="L17" s="96"/>
    </row>
    <row r="18" spans="1:15">
      <c r="A18" s="40" t="str">
        <f>_xlfn.TEXTJOIN(",",TRUE,_xlfn._xlws.SORT(_xlfn.TEXTSPLIT(_xlfn.TEXTJOIN(",",TRUE,_xlfn._xlws.SORT($B18:$F18, 1, -1, FALSE)),"WWWWW",",")))</f>
        <v>Chromius.TAMU,Glonk.MB,Kermitt.MB,m,TexAg21</v>
      </c>
      <c r="B18" s="115" t="s">
        <v>77</v>
      </c>
      <c r="C18" s="115" t="s">
        <v>187</v>
      </c>
      <c r="D18" s="101" t="s">
        <v>118</v>
      </c>
      <c r="E18" s="145" t="s">
        <v>188</v>
      </c>
      <c r="F18" s="132" t="s">
        <v>162</v>
      </c>
      <c r="G18" s="40">
        <f>IFERROR(VLOOKUP(CombinedStack[[#This Row],[Dupes]],Y9S1[],7,FALSE), 0) +
IFERROR(VLOOKUP(CombinedStack[[#This Row],[Dupes]],Y8S4[],7,FALSE), 0)</f>
        <v>0</v>
      </c>
      <c r="H18" s="40">
        <f>IFERROR(VLOOKUP(CombinedStack[[#This Row],[Dupes]],Y9S1[],8,FALSE), 0)+
IFERROR(VLOOKUP(CombinedStack[[#This Row],[Dupes]],Y8S4[],8,FALSE), 0)</f>
        <v>0</v>
      </c>
      <c r="I18" s="40">
        <f>$G18+$H18</f>
        <v>0</v>
      </c>
      <c r="J18" s="50" t="e">
        <f>G18/(H18+G18)</f>
        <v>#DIV/0!</v>
      </c>
      <c r="K18" s="51" t="e">
        <f>(CombinedStack[[#This Row],[Wins]]-CombinedStack[[#This Row],[Losses]]/SUM(CombinedStack[Games Played]))/10</f>
        <v>#VALUE!</v>
      </c>
      <c r="L18" s="96"/>
    </row>
    <row r="19" spans="1:15">
      <c r="A19" s="40" t="str">
        <f>_xlfn.TEXTJOIN(",",TRUE,_xlfn._xlws.SORT(_xlfn.TEXTSPLIT(_xlfn.TEXTJOIN(",",TRUE,_xlfn._xlws.SORT($B19:$F19, 1, -1, FALSE)),"WWWWW",",")))</f>
        <v>Chromius.TAMU,Kermitt.MB,nobetterdough,TexAg21,Timythiccums.MB</v>
      </c>
      <c r="B19" s="115" t="s">
        <v>77</v>
      </c>
      <c r="C19" s="115" t="s">
        <v>81</v>
      </c>
      <c r="D19" s="101" t="s">
        <v>118</v>
      </c>
      <c r="E19" s="145" t="s">
        <v>188</v>
      </c>
      <c r="F19" s="101" t="s">
        <v>179</v>
      </c>
      <c r="G19" s="40" t="e">
        <f>IFERROR(VLOOKUP(CombinedStack[[#This Row],[Dupes]],Y9S1[],7,FALSE), 0) +
IFERROR(VLOOKUP(CombinedStack[[#This Row],[Dupes]],Y8S4[],7,FALSE), 0)</f>
        <v>#VALUE!</v>
      </c>
      <c r="H19" s="40" t="e">
        <f>IFERROR(VLOOKUP(CombinedStack[[#This Row],[Dupes]],Y9S1[],8,FALSE), 0)+
IFERROR(VLOOKUP(CombinedStack[[#This Row],[Dupes]],Y8S4[],8,FALSE), 0)</f>
        <v>#VALUE!</v>
      </c>
      <c r="I19" s="40" t="e">
        <f>$G19+$H19</f>
        <v>#VALUE!</v>
      </c>
      <c r="J19" s="50" t="e">
        <f>G19/(H19+G19)</f>
        <v>#VALUE!</v>
      </c>
      <c r="K19" s="51" t="e">
        <f>(CombinedStack[[#This Row],[Wins]]-CombinedStack[[#This Row],[Losses]]/SUM(CombinedStack[Games Played]))/10</f>
        <v>#VALUE!</v>
      </c>
      <c r="L19" s="96"/>
    </row>
    <row r="20" spans="1:15">
      <c r="A20" s="40" t="str">
        <f>_xlfn.TEXTJOIN(",",TRUE,_xlfn._xlws.SORT(_xlfn.TEXTSPLIT(_xlfn.TEXTJOIN(",",TRUE,_xlfn._xlws.SORT($B20:$F20, 1, -1, FALSE)),"WWWWW",",")))</f>
        <v>Chromius.TAMU,LostArkWhale,Timythiccums.MB</v>
      </c>
      <c r="B20" s="115" t="s">
        <v>77</v>
      </c>
      <c r="C20" s="101" t="s">
        <v>81</v>
      </c>
      <c r="D20" s="101" t="s">
        <v>189</v>
      </c>
      <c r="E20" s="101"/>
      <c r="F20" s="101"/>
      <c r="G20" s="40">
        <f>IFERROR(VLOOKUP(CombinedStack[[#This Row],[Dupes]],Y9S1[],7,FALSE), 0) +
IFERROR(VLOOKUP(CombinedStack[[#This Row],[Dupes]],Y8S4[],7,FALSE), 0)</f>
        <v>0</v>
      </c>
      <c r="H20" s="40">
        <f>IFERROR(VLOOKUP(CombinedStack[[#This Row],[Dupes]],Y9S1[],8,FALSE), 0)+
IFERROR(VLOOKUP(CombinedStack[[#This Row],[Dupes]],Y8S4[],8,FALSE), 0)</f>
        <v>0</v>
      </c>
      <c r="I20" s="40">
        <f>$G20+$H20</f>
        <v>0</v>
      </c>
      <c r="J20" s="50" t="e">
        <f>G20/(H20+G20)</f>
        <v>#DIV/0!</v>
      </c>
      <c r="K20" s="51" t="e">
        <f>(CombinedStack[[#This Row],[Wins]]-CombinedStack[[#This Row],[Losses]]/SUM(CombinedStack[Games Played]))/10</f>
        <v>#VALUE!</v>
      </c>
      <c r="L20" s="96"/>
    </row>
    <row r="21" spans="1:15">
      <c r="A21" s="40" t="str">
        <f>_xlfn.TEXTJOIN(",",TRUE,_xlfn._xlws.SORT(_xlfn.TEXTSPLIT(_xlfn.TEXTJOIN(",",TRUE,_xlfn._xlws.SORT($B21:$F21, 1, -1, FALSE)),"WWWWW",",")))</f>
        <v>Glonk.MB</v>
      </c>
      <c r="B21" s="41" t="s">
        <v>162</v>
      </c>
      <c r="C21" s="174" t="s">
        <v>180</v>
      </c>
      <c r="D21" s="125" t="s">
        <v>180</v>
      </c>
      <c r="E21" s="125" t="s">
        <v>180</v>
      </c>
      <c r="F21" s="125" t="s">
        <v>180</v>
      </c>
      <c r="G21" s="108" t="e">
        <f>IFERROR(VLOOKUP(CombinedStack[[#This Row],[Dupes]],Y9S1[],7,FALSE), 0) +
IFERROR(VLOOKUP(CombinedStack[[#This Row],[Dupes]],Y8S4[],7,FALSE), 0)</f>
        <v>#VALUE!</v>
      </c>
      <c r="H21" s="40" t="e">
        <f>IFERROR(VLOOKUP(CombinedStack[[#This Row],[Dupes]],Y9S1[],8,FALSE), 0)+
IFERROR(VLOOKUP(CombinedStack[[#This Row],[Dupes]],Y8S4[],8,FALSE), 0)</f>
        <v>#VALUE!</v>
      </c>
      <c r="I21" s="40" t="e">
        <f>$G21+$H21</f>
        <v>#VALUE!</v>
      </c>
      <c r="J21" s="43" t="e">
        <f>G21/(H21+G21)</f>
        <v>#VALUE!</v>
      </c>
      <c r="K21" s="44" t="e">
        <f>(CombinedStack[[#This Row],[Wins]]-CombinedStack[[#This Row],[Losses]]/SUM(CombinedStack[Games Played]))/10</f>
        <v>#VALUE!</v>
      </c>
      <c r="L21" s="67"/>
    </row>
    <row r="22" spans="1:15">
      <c r="A22" s="40" t="str">
        <f>_xlfn.TEXTJOIN(",",TRUE,_xlfn._xlws.SORT(_xlfn.TEXTSPLIT(_xlfn.TEXTJOIN(",",TRUE,_xlfn._xlws.SORT($B22:$F22, 1, -1, FALSE)),"WWWWW",",")))</f>
        <v>Chromius.TAMU,Glonk.MB</v>
      </c>
      <c r="B22" s="41" t="s">
        <v>162</v>
      </c>
      <c r="C22" s="115" t="s">
        <v>77</v>
      </c>
      <c r="D22" s="126"/>
      <c r="E22" s="126"/>
      <c r="F22" s="126" t="s">
        <v>180</v>
      </c>
      <c r="G22" s="108" t="e">
        <f>IFERROR(VLOOKUP(CombinedStack[[#This Row],[Dupes]],Y9S1[],7,FALSE), 0) +
IFERROR(VLOOKUP(CombinedStack[[#This Row],[Dupes]],Y8S4[],7,FALSE), 0)</f>
        <v>#VALUE!</v>
      </c>
      <c r="H22" s="40" t="e">
        <f>IFERROR(VLOOKUP(CombinedStack[[#This Row],[Dupes]],Y9S1[],8,FALSE), 0)+
IFERROR(VLOOKUP(CombinedStack[[#This Row],[Dupes]],Y8S4[],8,FALSE), 0)</f>
        <v>#VALUE!</v>
      </c>
      <c r="I22" s="40" t="e">
        <f>$G22+$H22</f>
        <v>#VALUE!</v>
      </c>
      <c r="J22" s="50" t="e">
        <f>G22/(H22+G22)</f>
        <v>#VALUE!</v>
      </c>
      <c r="K22" s="51" t="e">
        <f>(CombinedStack[[#This Row],[Wins]]-CombinedStack[[#This Row],[Losses]]/SUM(CombinedStack[Games Played]))/10</f>
        <v>#VALUE!</v>
      </c>
      <c r="L22" s="68"/>
      <c r="N22" s="1"/>
      <c r="O22" s="1"/>
    </row>
    <row r="23" spans="1:15">
      <c r="A23" s="40" t="str">
        <f>_xlfn.TEXTJOIN(",",TRUE,_xlfn._xlws.SORT(_xlfn.TEXTSPLIT(_xlfn.TEXTJOIN(",",TRUE,_xlfn._xlws.SORT($B23:$F23, 1, -1, FALSE)),"WWWWW",",")))</f>
        <v>Colonizer.BU,Glonk.MB</v>
      </c>
      <c r="B23" s="41" t="s">
        <v>162</v>
      </c>
      <c r="C23" s="115" t="s">
        <v>154</v>
      </c>
      <c r="D23" s="126" t="s">
        <v>180</v>
      </c>
      <c r="E23" s="126" t="s">
        <v>180</v>
      </c>
      <c r="F23" s="126" t="s">
        <v>180</v>
      </c>
      <c r="G23" s="108" t="e">
        <f>IFERROR(VLOOKUP(CombinedStack[[#This Row],[Dupes]],Y9S1[],7,FALSE), 0) +
IFERROR(VLOOKUP(CombinedStack[[#This Row],[Dupes]],Y8S4[],7,FALSE), 0)</f>
        <v>#VALUE!</v>
      </c>
      <c r="H23" s="40" t="e">
        <f>IFERROR(VLOOKUP(CombinedStack[[#This Row],[Dupes]],Y9S1[],8,FALSE), 0)+
IFERROR(VLOOKUP(CombinedStack[[#This Row],[Dupes]],Y8S4[],8,FALSE), 0)</f>
        <v>#VALUE!</v>
      </c>
      <c r="I23" s="40" t="e">
        <f>$G23+$H23</f>
        <v>#VALUE!</v>
      </c>
      <c r="J23" s="50" t="e">
        <f>G23/(H23+G23)</f>
        <v>#VALUE!</v>
      </c>
      <c r="K23" s="51" t="e">
        <f>(CombinedStack[[#This Row],[Wins]]-CombinedStack[[#This Row],[Losses]]/SUM(CombinedStack[Games Played]))/10</f>
        <v>#VALUE!</v>
      </c>
      <c r="L23" s="68"/>
    </row>
    <row r="24" spans="1:15">
      <c r="A24" s="40" t="str">
        <f>_xlfn.TEXTJOIN(",",TRUE,_xlfn._xlws.SORT(_xlfn.TEXTSPLIT(_xlfn.TEXTJOIN(",",TRUE,_xlfn._xlws.SORT($B24:$F24, 1, -1, FALSE)),"WWWWW",",")))</f>
        <v>Galahad21588,Glonk.MB</v>
      </c>
      <c r="B24" s="115" t="s">
        <v>162</v>
      </c>
      <c r="C24" s="101" t="s">
        <v>96</v>
      </c>
      <c r="D24" s="101"/>
      <c r="E24" s="101"/>
      <c r="F24" s="101"/>
      <c r="G24" s="40" t="e">
        <f>IFERROR(VLOOKUP(CombinedStack[[#This Row],[Dupes]],Y9S1[],7,FALSE), 0) +
IFERROR(VLOOKUP(CombinedStack[[#This Row],[Dupes]],Y8S4[],7,FALSE), 0)</f>
        <v>#VALUE!</v>
      </c>
      <c r="H24" s="40" t="e">
        <f>IFERROR(VLOOKUP(CombinedStack[[#This Row],[Dupes]],Y9S1[],8,FALSE), 0)+
IFERROR(VLOOKUP(CombinedStack[[#This Row],[Dupes]],Y8S4[],8,FALSE), 0)</f>
        <v>#VALUE!</v>
      </c>
      <c r="I24" s="40" t="e">
        <f>$G24+$H24</f>
        <v>#VALUE!</v>
      </c>
      <c r="J24" s="43" t="e">
        <f>G24/(H24+G24)</f>
        <v>#VALUE!</v>
      </c>
      <c r="K24" s="44" t="e">
        <f>(CombinedStack[[#This Row],[Wins]]-CombinedStack[[#This Row],[Losses]]/SUM(CombinedStack[Games Played]))/10</f>
        <v>#VALUE!</v>
      </c>
      <c r="L24" s="67"/>
    </row>
    <row r="25" spans="1:15">
      <c r="A25" s="40" t="str">
        <f>_xlfn.TEXTJOIN(",",TRUE,_xlfn._xlws.SORT(_xlfn.TEXTSPLIT(_xlfn.TEXTJOIN(",",TRUE,_xlfn._xlws.SORT($B25:$F25, 1, -1, FALSE)),"WWWWW",",")))</f>
        <v>Galahad21588,Glonk.MB,TheFifthSuit</v>
      </c>
      <c r="B25" s="115" t="s">
        <v>162</v>
      </c>
      <c r="C25" s="115" t="s">
        <v>96</v>
      </c>
      <c r="D25" s="101" t="s">
        <v>190</v>
      </c>
      <c r="E25" s="101"/>
      <c r="F25" s="101"/>
      <c r="G25" s="108" t="e">
        <f>IFERROR(VLOOKUP(CombinedStack[[#This Row],[Dupes]],Y9S1[],7,FALSE), 0) +
IFERROR(VLOOKUP(CombinedStack[[#This Row],[Dupes]],Y8S4[],7,FALSE), 0)</f>
        <v>#VALUE!</v>
      </c>
      <c r="H25" s="40" t="e">
        <f>IFERROR(VLOOKUP(CombinedStack[[#This Row],[Dupes]],Y9S1[],8,FALSE), 0)+
IFERROR(VLOOKUP(CombinedStack[[#This Row],[Dupes]],Y8S4[],8,FALSE), 0)</f>
        <v>#VALUE!</v>
      </c>
      <c r="I25" s="40" t="e">
        <f>$G25+$H25</f>
        <v>#VALUE!</v>
      </c>
      <c r="J25" s="43" t="e">
        <f>G25/(H25+G25)</f>
        <v>#VALUE!</v>
      </c>
      <c r="K25" s="44" t="e">
        <f>(CombinedStack[[#This Row],[Wins]]-CombinedStack[[#This Row],[Losses]]/SUM(CombinedStack[Games Played]))/10</f>
        <v>#VALUE!</v>
      </c>
      <c r="L25" s="67"/>
    </row>
    <row r="26" spans="1:15">
      <c r="A26" s="40" t="str">
        <f>_xlfn.TEXTJOIN(",",TRUE,_xlfn._xlws.SORT(_xlfn.TEXTSPLIT(_xlfn.TEXTJOIN(",",TRUE,_xlfn._xlws.SORT($B26:$F26, 1, -1, FALSE)),"WWWWW",",")))</f>
        <v>Glonk.MB,NotLappland,PincheConcha,Rat_Squilla</v>
      </c>
      <c r="B26" s="41" t="s">
        <v>162</v>
      </c>
      <c r="C26" s="41" t="s">
        <v>91</v>
      </c>
      <c r="D26" s="126" t="s">
        <v>152</v>
      </c>
      <c r="E26" s="126" t="s">
        <v>142</v>
      </c>
      <c r="F26" s="126" t="s">
        <v>180</v>
      </c>
      <c r="G26" s="108">
        <f>IFERROR(VLOOKUP(CombinedStack[[#This Row],[Dupes]],Y9S1[],7,FALSE), 0) +
IFERROR(VLOOKUP(CombinedStack[[#This Row],[Dupes]],Y8S4[],7,FALSE), 0)</f>
        <v>0</v>
      </c>
      <c r="H26" s="40">
        <f>IFERROR(VLOOKUP(CombinedStack[[#This Row],[Dupes]],Y9S1[],8,FALSE), 0)+
IFERROR(VLOOKUP(CombinedStack[[#This Row],[Dupes]],Y8S4[],8,FALSE), 0)</f>
        <v>0</v>
      </c>
      <c r="I26" s="40">
        <f>$G26+$H26</f>
        <v>0</v>
      </c>
      <c r="J26" s="43" t="e">
        <f>G26/(H26+G26)</f>
        <v>#DIV/0!</v>
      </c>
      <c r="K26" s="44" t="e">
        <f>(CombinedStack[[#This Row],[Wins]]-CombinedStack[[#This Row],[Losses]]/SUM(CombinedStack[Games Played]))/10</f>
        <v>#VALUE!</v>
      </c>
      <c r="L26" s="67" t="s">
        <v>191</v>
      </c>
    </row>
    <row r="27" spans="1:15">
      <c r="A27" s="40" t="str">
        <f>_xlfn.TEXTJOIN(",",TRUE,_xlfn._xlws.SORT(_xlfn.TEXTSPLIT(_xlfn.TEXTJOIN(",",TRUE,_xlfn._xlws.SORT($B27:$F27, 1, -1, FALSE)),"WWWWW",",")))</f>
        <v>Boomerjet123,Chromius.TAMU,Fallen.Cortex,Fallen.Rqnger,Notlappland</v>
      </c>
      <c r="B27" s="41" t="s">
        <v>77</v>
      </c>
      <c r="C27" s="41" t="s">
        <v>109</v>
      </c>
      <c r="D27" s="42" t="s">
        <v>86</v>
      </c>
      <c r="E27" s="124" t="s">
        <v>140</v>
      </c>
      <c r="F27" s="125" t="s">
        <v>184</v>
      </c>
      <c r="G27" s="108">
        <f>IFERROR(VLOOKUP(CombinedStack[[#This Row],[Dupes]],Y9S1[],7,FALSE), 0) +
IFERROR(VLOOKUP(CombinedStack[[#This Row],[Dupes]],Y8S4[],7,FALSE), 0)</f>
        <v>3</v>
      </c>
      <c r="H27" s="40">
        <f>IFERROR(VLOOKUP(CombinedStack[[#This Row],[Dupes]],Y9S1[],8,FALSE), 0)+
IFERROR(VLOOKUP(CombinedStack[[#This Row],[Dupes]],Y8S4[],8,FALSE), 0)</f>
        <v>0</v>
      </c>
      <c r="I27" s="40">
        <f>$G27+$H27</f>
        <v>3</v>
      </c>
      <c r="J27" s="43">
        <f>G27/(H27+G27)</f>
        <v>1</v>
      </c>
      <c r="K27" s="44" t="e">
        <f>(CombinedStack[[#This Row],[Wins]]-CombinedStack[[#This Row],[Losses]]/SUM(CombinedStack[Games Played]))/10</f>
        <v>#VALUE!</v>
      </c>
      <c r="L27" s="67" t="s">
        <v>192</v>
      </c>
    </row>
    <row r="28" spans="1:15">
      <c r="A28" s="40" t="str">
        <f>_xlfn.TEXTJOIN(",",TRUE,_xlfn._xlws.SORT(_xlfn.TEXTSPLIT(_xlfn.TEXTJOIN(",",TRUE,_xlfn._xlws.SORT($B28:$F28, 1, -1, FALSE)),"WWWWW",",")))</f>
        <v>Boomerjet123,Chromius.TAMU,Fallen.Rqnger,Notlappland</v>
      </c>
      <c r="B28" s="41" t="s">
        <v>77</v>
      </c>
      <c r="C28" s="42" t="s">
        <v>109</v>
      </c>
      <c r="D28" s="42" t="s">
        <v>86</v>
      </c>
      <c r="E28" s="42" t="s">
        <v>184</v>
      </c>
      <c r="F28" s="125" t="s">
        <v>180</v>
      </c>
      <c r="G28" s="108">
        <f>IFERROR(VLOOKUP(CombinedStack[[#This Row],[Dupes]],Y9S1[],7,FALSE), 0) +
IFERROR(VLOOKUP(CombinedStack[[#This Row],[Dupes]],Y8S4[],7,FALSE), 0)</f>
        <v>1</v>
      </c>
      <c r="H28" s="40">
        <f>IFERROR(VLOOKUP(CombinedStack[[#This Row],[Dupes]],Y9S1[],8,FALSE), 0)+
IFERROR(VLOOKUP(CombinedStack[[#This Row],[Dupes]],Y8S4[],8,FALSE), 0)</f>
        <v>0</v>
      </c>
      <c r="I28" s="40">
        <f>$G28+$H28</f>
        <v>1</v>
      </c>
      <c r="J28" s="43">
        <f>G28/(H28+G28)</f>
        <v>1</v>
      </c>
      <c r="K28" s="44" t="e">
        <f>(CombinedStack[[#This Row],[Wins]]-CombinedStack[[#This Row],[Losses]]/SUM(CombinedStack[Games Played]))/10</f>
        <v>#VALUE!</v>
      </c>
      <c r="L28" s="67"/>
    </row>
    <row r="29" spans="1:15">
      <c r="A29" s="40" t="str">
        <f>_xlfn.TEXTJOIN(",",TRUE,_xlfn._xlws.SORT(_xlfn.TEXTSPLIT(_xlfn.TEXTJOIN(",",TRUE,_xlfn._xlws.SORT($B29:$F29, 1, -1, FALSE)),"WWWWW",",")))</f>
        <v>Boomerjet123,Chromius.TAMU,Fallen.Rqnger,Notlappland,Strugg1er.</v>
      </c>
      <c r="B29" s="41" t="s">
        <v>77</v>
      </c>
      <c r="C29" s="42" t="s">
        <v>109</v>
      </c>
      <c r="D29" s="42" t="s">
        <v>86</v>
      </c>
      <c r="E29" s="42" t="s">
        <v>184</v>
      </c>
      <c r="F29" s="42" t="s">
        <v>111</v>
      </c>
      <c r="G29" s="108">
        <f>IFERROR(VLOOKUP(CombinedStack[[#This Row],[Dupes]],Y9S1[],7,FALSE), 0) +
IFERROR(VLOOKUP(CombinedStack[[#This Row],[Dupes]],Y8S4[],7,FALSE), 0)</f>
        <v>2</v>
      </c>
      <c r="H29" s="40">
        <f>IFERROR(VLOOKUP(CombinedStack[[#This Row],[Dupes]],Y9S1[],8,FALSE), 0)+
IFERROR(VLOOKUP(CombinedStack[[#This Row],[Dupes]],Y8S4[],8,FALSE), 0)</f>
        <v>0</v>
      </c>
      <c r="I29" s="40">
        <f>$G29+$H29</f>
        <v>2</v>
      </c>
      <c r="J29" s="43">
        <f>G29/(H29+G29)</f>
        <v>1</v>
      </c>
      <c r="K29" s="44" t="e">
        <f>(CombinedStack[[#This Row],[Wins]]-CombinedStack[[#This Row],[Losses]]/SUM(CombinedStack[Games Played]))/10</f>
        <v>#VALUE!</v>
      </c>
      <c r="L29" s="67"/>
    </row>
    <row r="30" spans="1:15">
      <c r="A30" s="40" t="str">
        <f>_xlfn.TEXTJOIN(",",TRUE,_xlfn._xlws.SORT(_xlfn.TEXTSPLIT(_xlfn.TEXTJOIN(",",TRUE,_xlfn._xlws.SORT($B30:$F30, 1, -1, FALSE)),"WWWWW",",")))</f>
        <v xml:space="preserve">Chromius.TAMU,Dlehard.,Galahad21588 </v>
      </c>
      <c r="B30" s="41" t="s">
        <v>77</v>
      </c>
      <c r="C30" s="42" t="s">
        <v>121</v>
      </c>
      <c r="D30" s="42" t="s">
        <v>193</v>
      </c>
      <c r="E30" s="125" t="s">
        <v>180</v>
      </c>
      <c r="F30" s="125" t="s">
        <v>180</v>
      </c>
      <c r="G30" s="108">
        <f>IFERROR(VLOOKUP(CombinedStack[[#This Row],[Dupes]],Y9S1[],7,FALSE), 0) +
IFERROR(VLOOKUP(CombinedStack[[#This Row],[Dupes]],Y8S4[],7,FALSE), 0)</f>
        <v>1</v>
      </c>
      <c r="H30" s="40">
        <f>IFERROR(VLOOKUP(CombinedStack[[#This Row],[Dupes]],Y9S1[],8,FALSE), 0)+
IFERROR(VLOOKUP(CombinedStack[[#This Row],[Dupes]],Y8S4[],8,FALSE), 0)</f>
        <v>0</v>
      </c>
      <c r="I30" s="40">
        <f>$G30+$H30</f>
        <v>1</v>
      </c>
      <c r="J30" s="43">
        <f>G30/(H30+G30)</f>
        <v>1</v>
      </c>
      <c r="K30" s="44" t="e">
        <f>(CombinedStack[[#This Row],[Wins]]-CombinedStack[[#This Row],[Losses]]/SUM(CombinedStack[Games Played]))/10</f>
        <v>#VALUE!</v>
      </c>
      <c r="L30" s="67"/>
      <c r="N30" s="1"/>
      <c r="O30" s="1"/>
    </row>
    <row r="31" spans="1:15">
      <c r="A31" s="40" t="str">
        <f>_xlfn.TEXTJOIN(",",TRUE,_xlfn._xlws.SORT(_xlfn.TEXTSPLIT(_xlfn.TEXTJOIN(",",TRUE,_xlfn._xlws.SORT($B31:$F31, 1, -1, FALSE)),"WWWWW",",")))</f>
        <v>Chromius.TAMU,Fallen.Cortex</v>
      </c>
      <c r="B31" s="115" t="s">
        <v>77</v>
      </c>
      <c r="C31" s="101" t="s">
        <v>140</v>
      </c>
      <c r="D31" s="126" t="s">
        <v>180</v>
      </c>
      <c r="E31" s="126" t="s">
        <v>180</v>
      </c>
      <c r="F31" s="126" t="s">
        <v>180</v>
      </c>
      <c r="G31" s="108">
        <f>IFERROR(VLOOKUP(CombinedStack[[#This Row],[Dupes]],Y9S1[],7,FALSE), 0) +
IFERROR(VLOOKUP(CombinedStack[[#This Row],[Dupes]],Y8S4[],7,FALSE), 0)</f>
        <v>2</v>
      </c>
      <c r="H31" s="40">
        <f>IFERROR(VLOOKUP(CombinedStack[[#This Row],[Dupes]],Y9S1[],8,FALSE), 0)+
IFERROR(VLOOKUP(CombinedStack[[#This Row],[Dupes]],Y8S4[],8,FALSE), 0)</f>
        <v>0</v>
      </c>
      <c r="I31" s="40">
        <f>$G31+$H31</f>
        <v>2</v>
      </c>
      <c r="J31" s="50">
        <f>G31/(H31+G31)</f>
        <v>1</v>
      </c>
      <c r="K31" s="51" t="e">
        <f>(CombinedStack[[#This Row],[Wins]]-CombinedStack[[#This Row],[Losses]]/SUM(CombinedStack[Games Played]))/10</f>
        <v>#VALUE!</v>
      </c>
      <c r="L31" s="68"/>
      <c r="N31" s="1"/>
      <c r="O31" s="1"/>
    </row>
    <row r="32" spans="1:15">
      <c r="A32" s="40" t="str">
        <f>_xlfn.TEXTJOIN(",",TRUE,_xlfn._xlws.SORT(_xlfn.TEXTSPLIT(_xlfn.TEXTJOIN(",",TRUE,_xlfn._xlws.SORT($B32:$F32, 1, -1, FALSE)),"WWWWW",",")))</f>
        <v>Chromius.TAMU,Fallen.Cortex,Fallen.Rqnger</v>
      </c>
      <c r="B32" s="115" t="s">
        <v>77</v>
      </c>
      <c r="C32" s="101" t="s">
        <v>140</v>
      </c>
      <c r="D32" s="101" t="s">
        <v>86</v>
      </c>
      <c r="E32" s="126" t="s">
        <v>180</v>
      </c>
      <c r="F32" s="129" t="s">
        <v>180</v>
      </c>
      <c r="G32" s="108">
        <f>IFERROR(VLOOKUP(CombinedStack[[#This Row],[Dupes]],Y9S1[],7,FALSE), 0) +
IFERROR(VLOOKUP(CombinedStack[[#This Row],[Dupes]],Y8S4[],7,FALSE), 0)</f>
        <v>1</v>
      </c>
      <c r="H32" s="40">
        <f>IFERROR(VLOOKUP(CombinedStack[[#This Row],[Dupes]],Y9S1[],8,FALSE), 0)+
IFERROR(VLOOKUP(CombinedStack[[#This Row],[Dupes]],Y8S4[],8,FALSE), 0)</f>
        <v>0</v>
      </c>
      <c r="I32" s="40">
        <f>$G32+$H32</f>
        <v>1</v>
      </c>
      <c r="J32" s="50">
        <f>G32/(H32+G32)</f>
        <v>1</v>
      </c>
      <c r="K32" s="51" t="e">
        <f>(CombinedStack[[#This Row],[Wins]]-CombinedStack[[#This Row],[Losses]]/SUM(CombinedStack[Games Played]))/10</f>
        <v>#VALUE!</v>
      </c>
      <c r="L32" s="68"/>
      <c r="N32" s="1"/>
      <c r="O32" s="1"/>
    </row>
    <row r="33" spans="1:15">
      <c r="A33" s="40" t="str">
        <f>_xlfn.TEXTJOIN(",",TRUE,_xlfn._xlws.SORT(_xlfn.TEXTSPLIT(_xlfn.TEXTJOIN(",",TRUE,_xlfn._xlws.SORT($B33:$F33, 1, -1, FALSE)),"WWWWW",",")))</f>
        <v>Blade2420,Chromius.TAMU,Galahad21588,Kermitt.MB,Koyeetchi</v>
      </c>
      <c r="B33" s="41" t="s">
        <v>77</v>
      </c>
      <c r="C33" s="42" t="s">
        <v>96</v>
      </c>
      <c r="D33" s="127" t="s">
        <v>113</v>
      </c>
      <c r="E33" s="42" t="s">
        <v>144</v>
      </c>
      <c r="F33" s="42" t="s">
        <v>118</v>
      </c>
      <c r="G33" s="108">
        <f>IFERROR(VLOOKUP(CombinedStack[[#This Row],[Dupes]],Y9S1[],7,FALSE), 0) +
IFERROR(VLOOKUP(CombinedStack[[#This Row],[Dupes]],Y8S4[],7,FALSE), 0)</f>
        <v>1</v>
      </c>
      <c r="H33" s="40">
        <f>IFERROR(VLOOKUP(CombinedStack[[#This Row],[Dupes]],Y9S1[],8,FALSE), 0)+
IFERROR(VLOOKUP(CombinedStack[[#This Row],[Dupes]],Y8S4[],8,FALSE), 0)</f>
        <v>0</v>
      </c>
      <c r="I33" s="40">
        <f>$G33+$H33</f>
        <v>1</v>
      </c>
      <c r="J33" s="43">
        <f>G33/(H33+G33)</f>
        <v>1</v>
      </c>
      <c r="K33" s="44" t="e">
        <f>(CombinedStack[[#This Row],[Wins]]-CombinedStack[[#This Row],[Losses]]/SUM(CombinedStack[Games Played]))/10</f>
        <v>#VALUE!</v>
      </c>
      <c r="L33" s="67"/>
      <c r="N33" s="1"/>
      <c r="O33" s="1"/>
    </row>
    <row r="34" spans="1:15">
      <c r="A34" s="40" t="str">
        <f>_xlfn.TEXTJOIN(",",TRUE,_xlfn._xlws.SORT(_xlfn.TEXTSPLIT(_xlfn.TEXTJOIN(",",TRUE,_xlfn._xlws.SORT($B34:$F34, 1, -1, FALSE)),"WWWWW",",")))</f>
        <v>Chromius.TAMU,Fallen.Cortex,Fallen.Rqnger,Glonk.MB,Kermitt.MB</v>
      </c>
      <c r="B34" s="115" t="s">
        <v>77</v>
      </c>
      <c r="C34" s="41" t="s">
        <v>162</v>
      </c>
      <c r="D34" s="101" t="s">
        <v>86</v>
      </c>
      <c r="E34" s="42" t="s">
        <v>140</v>
      </c>
      <c r="F34" s="126" t="s">
        <v>118</v>
      </c>
      <c r="G34" s="108">
        <f>IFERROR(VLOOKUP(CombinedStack[[#This Row],[Dupes]],Y9S1[],7,FALSE), 0) +
IFERROR(VLOOKUP(CombinedStack[[#This Row],[Dupes]],Y8S4[],7,FALSE), 0)</f>
        <v>1</v>
      </c>
      <c r="H34" s="40">
        <f>IFERROR(VLOOKUP(CombinedStack[[#This Row],[Dupes]],Y9S1[],8,FALSE), 0)+
IFERROR(VLOOKUP(CombinedStack[[#This Row],[Dupes]],Y8S4[],8,FALSE), 0)</f>
        <v>0</v>
      </c>
      <c r="I34" s="40">
        <f>$G34+$H34</f>
        <v>1</v>
      </c>
      <c r="J34" s="50">
        <f>G34/(H34+G34)</f>
        <v>1</v>
      </c>
      <c r="K34" s="51" t="e">
        <f>(CombinedStack[[#This Row],[Wins]]-CombinedStack[[#This Row],[Losses]]/SUM(CombinedStack[Games Played]))/10</f>
        <v>#VALUE!</v>
      </c>
      <c r="L34" s="68"/>
      <c r="N34" s="1"/>
      <c r="O34" s="1"/>
    </row>
    <row r="35" spans="1:15">
      <c r="A35" s="40" t="str">
        <f>_xlfn.TEXTJOIN(",",TRUE,_xlfn._xlws.SORT(_xlfn.TEXTSPLIT(_xlfn.TEXTJOIN(",",TRUE,_xlfn._xlws.SORT($B35:$F35, 1, -1, FALSE)),"WWWWW",",")))</f>
        <v>Chromius.TAMU,Fallen.Rqnger,Glonk.MB,Nobetterdough</v>
      </c>
      <c r="B35" s="115" t="s">
        <v>77</v>
      </c>
      <c r="C35" s="42" t="s">
        <v>162</v>
      </c>
      <c r="D35" s="101" t="s">
        <v>86</v>
      </c>
      <c r="E35" s="42" t="s">
        <v>125</v>
      </c>
      <c r="F35" s="126" t="s">
        <v>180</v>
      </c>
      <c r="G35" s="108">
        <f>IFERROR(VLOOKUP(CombinedStack[[#This Row],[Dupes]],Y9S1[],7,FALSE), 0) +
IFERROR(VLOOKUP(CombinedStack[[#This Row],[Dupes]],Y8S4[],7,FALSE), 0)</f>
        <v>1</v>
      </c>
      <c r="H35" s="40">
        <f>IFERROR(VLOOKUP(CombinedStack[[#This Row],[Dupes]],Y9S1[],8,FALSE), 0)+
IFERROR(VLOOKUP(CombinedStack[[#This Row],[Dupes]],Y8S4[],8,FALSE), 0)</f>
        <v>0</v>
      </c>
      <c r="I35" s="40">
        <f>$G35+$H35</f>
        <v>1</v>
      </c>
      <c r="J35" s="50">
        <f>G35/(H35+G35)</f>
        <v>1</v>
      </c>
      <c r="K35" s="51" t="e">
        <f>(CombinedStack[[#This Row],[Wins]]-CombinedStack[[#This Row],[Losses]]/SUM(CombinedStack[Games Played]))/10</f>
        <v>#VALUE!</v>
      </c>
      <c r="L35" s="68"/>
      <c r="N35" s="1"/>
      <c r="O35" s="1"/>
    </row>
    <row r="36" spans="1:15">
      <c r="A36" s="40" t="str">
        <f>_xlfn.TEXTJOIN(",",TRUE,_xlfn._xlws.SORT(_xlfn.TEXTSPLIT(_xlfn.TEXTJOIN(",",TRUE,_xlfn._xlws.SORT($B36:$F36, 1, -1, FALSE)),"WWWWW",",")))</f>
        <v>Chromius.TAMU,Fallen.Rqnger,Glonk.MB,Nobetterdough,Strugg1er.</v>
      </c>
      <c r="B36" s="115" t="s">
        <v>77</v>
      </c>
      <c r="C36" s="42" t="s">
        <v>162</v>
      </c>
      <c r="D36" s="101" t="s">
        <v>86</v>
      </c>
      <c r="E36" s="42" t="s">
        <v>125</v>
      </c>
      <c r="F36" s="126" t="s">
        <v>111</v>
      </c>
      <c r="G36" s="108">
        <f>IFERROR(VLOOKUP(CombinedStack[[#This Row],[Dupes]],Y9S1[],7,FALSE), 0) +
IFERROR(VLOOKUP(CombinedStack[[#This Row],[Dupes]],Y8S4[],7,FALSE), 0)</f>
        <v>2</v>
      </c>
      <c r="H36" s="40">
        <f>IFERROR(VLOOKUP(CombinedStack[[#This Row],[Dupes]],Y9S1[],8,FALSE), 0)+
IFERROR(VLOOKUP(CombinedStack[[#This Row],[Dupes]],Y8S4[],8,FALSE), 0)</f>
        <v>0</v>
      </c>
      <c r="I36" s="40">
        <f>$G36+$H36</f>
        <v>2</v>
      </c>
      <c r="J36" s="50">
        <f>G36/(H36+G36)</f>
        <v>1</v>
      </c>
      <c r="K36" s="51" t="e">
        <f>(CombinedStack[[#This Row],[Wins]]-CombinedStack[[#This Row],[Losses]]/SUM(CombinedStack[Games Played]))/10</f>
        <v>#VALUE!</v>
      </c>
      <c r="L36" s="68"/>
    </row>
    <row r="37" spans="1:15">
      <c r="A37" s="40" t="str">
        <f>_xlfn.TEXTJOIN(",",TRUE,_xlfn._xlws.SORT(_xlfn.TEXTSPLIT(_xlfn.TEXTJOIN(",",TRUE,_xlfn._xlws.SORT($B37:$F37, 1, -1, FALSE)),"WWWWW",",")))</f>
        <v>Asherzs,Chromius.TAMU,Glonk.MB,lostarkwhale</v>
      </c>
      <c r="B37" s="41" t="s">
        <v>77</v>
      </c>
      <c r="C37" s="42" t="s">
        <v>162</v>
      </c>
      <c r="D37" s="131" t="s">
        <v>164</v>
      </c>
      <c r="E37" s="131" t="s">
        <v>100</v>
      </c>
      <c r="F37" s="126" t="s">
        <v>180</v>
      </c>
      <c r="G37" s="108">
        <f>IFERROR(VLOOKUP(CombinedStack[[#This Row],[Dupes]],Y9S1[],7,FALSE), 0) +
IFERROR(VLOOKUP(CombinedStack[[#This Row],[Dupes]],Y8S4[],7,FALSE), 0)</f>
        <v>3</v>
      </c>
      <c r="H37" s="40">
        <f>IFERROR(VLOOKUP(CombinedStack[[#This Row],[Dupes]],Y9S1[],8,FALSE), 0)+
IFERROR(VLOOKUP(CombinedStack[[#This Row],[Dupes]],Y8S4[],8,FALSE), 0)</f>
        <v>0</v>
      </c>
      <c r="I37" s="40">
        <f>$G37+$H37</f>
        <v>3</v>
      </c>
      <c r="J37" s="43">
        <f>G37/(H37+G37)</f>
        <v>1</v>
      </c>
      <c r="K37" s="44" t="e">
        <f>(CombinedStack[[#This Row],[Wins]]-CombinedStack[[#This Row],[Losses]]/SUM(CombinedStack[Games Played]))/10</f>
        <v>#VALUE!</v>
      </c>
      <c r="L37" s="67"/>
    </row>
    <row r="38" spans="1:15">
      <c r="A38" s="40" t="str">
        <f>_xlfn.TEXTJOIN(",",TRUE,_xlfn._xlws.SORT(_xlfn.TEXTSPLIT(_xlfn.TEXTJOIN(",",TRUE,_xlfn._xlws.SORT($B38:$F38, 1, -1, FALSE)),"WWWWW",",")))</f>
        <v>Chromius.TAMU,Coolrocket.TAMU,Glonk.MB,Kermitt.MB,Rat_Squilla</v>
      </c>
      <c r="B38" s="115" t="s">
        <v>77</v>
      </c>
      <c r="C38" s="42" t="s">
        <v>162</v>
      </c>
      <c r="D38" s="126" t="s">
        <v>152</v>
      </c>
      <c r="E38" s="126" t="s">
        <v>118</v>
      </c>
      <c r="F38" s="134" t="s">
        <v>138</v>
      </c>
      <c r="G38" s="108">
        <f>IFERROR(VLOOKUP(CombinedStack[[#This Row],[Dupes]],Y9S1[],7,FALSE), 0) +
IFERROR(VLOOKUP(CombinedStack[[#This Row],[Dupes]],Y8S4[],7,FALSE), 0)</f>
        <v>1</v>
      </c>
      <c r="H38" s="40">
        <f>IFERROR(VLOOKUP(CombinedStack[[#This Row],[Dupes]],Y9S1[],8,FALSE), 0)+
IFERROR(VLOOKUP(CombinedStack[[#This Row],[Dupes]],Y8S4[],8,FALSE), 0)</f>
        <v>0</v>
      </c>
      <c r="I38" s="40">
        <f>$G38+$H38</f>
        <v>1</v>
      </c>
      <c r="J38" s="50">
        <f>G38/(H38+G38)</f>
        <v>1</v>
      </c>
      <c r="K38" s="51" t="e">
        <f>(CombinedStack[[#This Row],[Wins]]-CombinedStack[[#This Row],[Losses]]/SUM(CombinedStack[Games Played]))/10</f>
        <v>#VALUE!</v>
      </c>
      <c r="L38" s="68"/>
    </row>
    <row r="39" spans="1:15">
      <c r="A39" s="40" t="str">
        <f>_xlfn.TEXTJOIN(",",TRUE,_xlfn._xlws.SORT(_xlfn.TEXTSPLIT(_xlfn.TEXTJOIN(",",TRUE,_xlfn._xlws.SORT($B39:$F39, 1, -1, FALSE)),"WWWWW",",")))</f>
        <v>Chromius.TAMU,Glonk.MB,Notlappland,Strugg1er.,Timythiccums.MB</v>
      </c>
      <c r="B39" s="115" t="s">
        <v>77</v>
      </c>
      <c r="C39" s="42" t="s">
        <v>162</v>
      </c>
      <c r="D39" s="101" t="s">
        <v>111</v>
      </c>
      <c r="E39" s="130" t="s">
        <v>184</v>
      </c>
      <c r="F39" s="101" t="s">
        <v>81</v>
      </c>
      <c r="G39" s="108">
        <f>IFERROR(VLOOKUP(CombinedStack[[#This Row],[Dupes]],Y9S1[],7,FALSE), 0) +
IFERROR(VLOOKUP(CombinedStack[[#This Row],[Dupes]],Y8S4[],7,FALSE), 0)</f>
        <v>1</v>
      </c>
      <c r="H39" s="40">
        <f>IFERROR(VLOOKUP(CombinedStack[[#This Row],[Dupes]],Y9S1[],8,FALSE), 0)+
IFERROR(VLOOKUP(CombinedStack[[#This Row],[Dupes]],Y8S4[],8,FALSE), 0)</f>
        <v>0</v>
      </c>
      <c r="I39" s="40">
        <f>$G39+$H39</f>
        <v>1</v>
      </c>
      <c r="J39" s="50">
        <f>G39/(H39+G39)</f>
        <v>1</v>
      </c>
      <c r="K39" s="51" t="e">
        <f>(CombinedStack[[#This Row],[Wins]]-CombinedStack[[#This Row],[Losses]]/SUM(CombinedStack[Games Played]))/10</f>
        <v>#VALUE!</v>
      </c>
      <c r="L39" s="68"/>
    </row>
    <row r="40" spans="1:15">
      <c r="A40" s="40" t="str">
        <f>_xlfn.TEXTJOIN(",",TRUE,_xlfn._xlws.SORT(_xlfn.TEXTSPLIT(_xlfn.TEXTJOIN(",",TRUE,_xlfn._xlws.SORT($B40:$F40, 1, -1, FALSE)),"WWWWW",",")))</f>
        <v>Chromius.TAMU,Fallen.Rqnger,Glonk.MB,Timythiccums.MB</v>
      </c>
      <c r="B40" s="41" t="s">
        <v>77</v>
      </c>
      <c r="C40" s="42" t="s">
        <v>162</v>
      </c>
      <c r="D40" s="42" t="s">
        <v>81</v>
      </c>
      <c r="E40" s="124" t="s">
        <v>86</v>
      </c>
      <c r="F40" s="125" t="s">
        <v>180</v>
      </c>
      <c r="G40" s="108">
        <f>IFERROR(VLOOKUP(CombinedStack[[#This Row],[Dupes]],Y9S1[],7,FALSE), 0) +
IFERROR(VLOOKUP(CombinedStack[[#This Row],[Dupes]],Y8S4[],7,FALSE), 0)</f>
        <v>1</v>
      </c>
      <c r="H40" s="40">
        <f>IFERROR(VLOOKUP(CombinedStack[[#This Row],[Dupes]],Y9S1[],8,FALSE), 0)+
IFERROR(VLOOKUP(CombinedStack[[#This Row],[Dupes]],Y8S4[],8,FALSE), 0)</f>
        <v>0</v>
      </c>
      <c r="I40" s="40">
        <f>$G40+$H40</f>
        <v>1</v>
      </c>
      <c r="J40" s="43">
        <f>G40/(H40+G40)</f>
        <v>1</v>
      </c>
      <c r="K40" s="44" t="e">
        <f>(CombinedStack[[#This Row],[Wins]]-CombinedStack[[#This Row],[Losses]]/SUM(CombinedStack[Games Played]))/10</f>
        <v>#VALUE!</v>
      </c>
      <c r="L40" s="67"/>
    </row>
    <row r="41" spans="1:15">
      <c r="A41" s="40" t="str">
        <f>_xlfn.TEXTJOIN(",",TRUE,_xlfn._xlws.SORT(_xlfn.TEXTSPLIT(_xlfn.TEXTJOIN(",",TRUE,_xlfn._xlws.SORT($B41:$F41, 1, -1, FALSE)),"WWWWW",",")))</f>
        <v>Boomerjet123,Chromius.TAMU,Fallen.Rqnger,Glonk.MB,Timythiccums.MB</v>
      </c>
      <c r="B41" s="41" t="s">
        <v>77</v>
      </c>
      <c r="C41" s="42" t="s">
        <v>162</v>
      </c>
      <c r="D41" s="117" t="s">
        <v>81</v>
      </c>
      <c r="E41" s="124" t="s">
        <v>86</v>
      </c>
      <c r="F41" s="125" t="s">
        <v>109</v>
      </c>
      <c r="G41" s="108">
        <f>IFERROR(VLOOKUP(CombinedStack[[#This Row],[Dupes]],Y9S1[],7,FALSE), 0) +
IFERROR(VLOOKUP(CombinedStack[[#This Row],[Dupes]],Y8S4[],7,FALSE), 0)</f>
        <v>1</v>
      </c>
      <c r="H41" s="40">
        <f>IFERROR(VLOOKUP(CombinedStack[[#This Row],[Dupes]],Y9S1[],8,FALSE), 0)+
IFERROR(VLOOKUP(CombinedStack[[#This Row],[Dupes]],Y8S4[],8,FALSE), 0)</f>
        <v>0</v>
      </c>
      <c r="I41" s="40">
        <f>$G41+$H41</f>
        <v>1</v>
      </c>
      <c r="J41" s="43">
        <f>G41/(H41+G41)</f>
        <v>1</v>
      </c>
      <c r="K41" s="44" t="e">
        <f>(CombinedStack[[#This Row],[Wins]]-CombinedStack[[#This Row],[Losses]]/SUM(CombinedStack[Games Played]))/10</f>
        <v>#VALUE!</v>
      </c>
      <c r="L41" s="67"/>
    </row>
    <row r="42" spans="1:15">
      <c r="A42" s="40" t="str">
        <f>_xlfn.TEXTJOIN(",",TRUE,_xlfn._xlws.SORT(_xlfn.TEXTSPLIT(_xlfn.TEXTJOIN(",",TRUE,_xlfn._xlws.SORT($B42:$F42, 1, -1, FALSE)),"WWWWW",",")))</f>
        <v>Chromius.TAMU,Galahad21588,Glonk.MB,Nobetterdough,Timythiccums.MB</v>
      </c>
      <c r="B42" s="115" t="s">
        <v>77</v>
      </c>
      <c r="C42" s="41" t="s">
        <v>162</v>
      </c>
      <c r="D42" s="175" t="s">
        <v>81</v>
      </c>
      <c r="E42" s="42" t="s">
        <v>96</v>
      </c>
      <c r="F42" s="126" t="s">
        <v>125</v>
      </c>
      <c r="G42" s="108">
        <f>IFERROR(VLOOKUP(CombinedStack[[#This Row],[Dupes]],Y9S1[],7,FALSE), 0) +
IFERROR(VLOOKUP(CombinedStack[[#This Row],[Dupes]],Y8S4[],7,FALSE), 0)</f>
        <v>1</v>
      </c>
      <c r="H42" s="40">
        <f>IFERROR(VLOOKUP(CombinedStack[[#This Row],[Dupes]],Y9S1[],8,FALSE), 0)+
IFERROR(VLOOKUP(CombinedStack[[#This Row],[Dupes]],Y8S4[],8,FALSE), 0)</f>
        <v>0</v>
      </c>
      <c r="I42" s="40">
        <f>$G42+$H42</f>
        <v>1</v>
      </c>
      <c r="J42" s="50">
        <f>G42/(H42+G42)</f>
        <v>1</v>
      </c>
      <c r="K42" s="51" t="e">
        <f>(CombinedStack[[#This Row],[Wins]]-CombinedStack[[#This Row],[Losses]]/SUM(CombinedStack[Games Played]))/10</f>
        <v>#VALUE!</v>
      </c>
      <c r="L42" s="68"/>
    </row>
    <row r="43" spans="1:15">
      <c r="A43" s="40" t="str">
        <f>_xlfn.TEXTJOIN(",",TRUE,_xlfn._xlws.SORT(_xlfn.TEXTSPLIT(_xlfn.TEXTJOIN(",",TRUE,_xlfn._xlws.SORT($B43:$F43, 1, -1, FALSE)),"WWWWW",",")))</f>
        <v>Chromius.TAMU,Fallen.Cortex,Kermitt.MB</v>
      </c>
      <c r="B43" s="41" t="s">
        <v>77</v>
      </c>
      <c r="C43" s="41" t="s">
        <v>118</v>
      </c>
      <c r="D43" s="42" t="s">
        <v>140</v>
      </c>
      <c r="E43" s="125" t="s">
        <v>180</v>
      </c>
      <c r="F43" s="128" t="s">
        <v>180</v>
      </c>
      <c r="G43" s="108">
        <f>IFERROR(VLOOKUP(CombinedStack[[#This Row],[Dupes]],Y9S1[],7,FALSE), 0) +
IFERROR(VLOOKUP(CombinedStack[[#This Row],[Dupes]],Y8S4[],7,FALSE), 0)</f>
        <v>1</v>
      </c>
      <c r="H43" s="40">
        <f>IFERROR(VLOOKUP(CombinedStack[[#This Row],[Dupes]],Y9S1[],8,FALSE), 0)+
IFERROR(VLOOKUP(CombinedStack[[#This Row],[Dupes]],Y8S4[],8,FALSE), 0)</f>
        <v>0</v>
      </c>
      <c r="I43" s="40">
        <f>$G43+$H43</f>
        <v>1</v>
      </c>
      <c r="J43" s="43">
        <f>G43/(H43+G43)</f>
        <v>1</v>
      </c>
      <c r="K43" s="44" t="e">
        <f>(CombinedStack[[#This Row],[Wins]]-CombinedStack[[#This Row],[Losses]]/SUM(CombinedStack[Games Played]))/10</f>
        <v>#VALUE!</v>
      </c>
      <c r="L43" s="67" t="s">
        <v>194</v>
      </c>
    </row>
    <row r="44" spans="1:15">
      <c r="A44" s="40" t="str">
        <f>_xlfn.TEXTJOIN(",",TRUE,_xlfn._xlws.SORT(_xlfn.TEXTSPLIT(_xlfn.TEXTJOIN(",",TRUE,_xlfn._xlws.SORT($B44:$F44, 1, -1, FALSE)),"WWWWW",",")))</f>
        <v>Chromius.TAMU,Fallen.Cortex,Kermitt.MB,Rat_Squilla</v>
      </c>
      <c r="B44" s="41" t="s">
        <v>77</v>
      </c>
      <c r="C44" s="42" t="s">
        <v>118</v>
      </c>
      <c r="D44" s="42" t="s">
        <v>140</v>
      </c>
      <c r="E44" s="126" t="s">
        <v>152</v>
      </c>
      <c r="F44" s="125" t="s">
        <v>180</v>
      </c>
      <c r="G44" s="108">
        <f>IFERROR(VLOOKUP(CombinedStack[[#This Row],[Dupes]],Y9S1[],7,FALSE), 0) +
IFERROR(VLOOKUP(CombinedStack[[#This Row],[Dupes]],Y8S4[],7,FALSE), 0)</f>
        <v>1</v>
      </c>
      <c r="H44" s="40">
        <f>IFERROR(VLOOKUP(CombinedStack[[#This Row],[Dupes]],Y9S1[],8,FALSE), 0)+
IFERROR(VLOOKUP(CombinedStack[[#This Row],[Dupes]],Y8S4[],8,FALSE), 0)</f>
        <v>0</v>
      </c>
      <c r="I44" s="40">
        <f>$G44+$H44</f>
        <v>1</v>
      </c>
      <c r="J44" s="43">
        <f>G44/(H44+G44)</f>
        <v>1</v>
      </c>
      <c r="K44" s="44" t="e">
        <f>(CombinedStack[[#This Row],[Wins]]-CombinedStack[[#This Row],[Losses]]/SUM(CombinedStack[Games Played]))/10</f>
        <v>#VALUE!</v>
      </c>
      <c r="L44" s="67" t="s">
        <v>195</v>
      </c>
    </row>
    <row r="45" spans="1:15">
      <c r="A45" s="40" t="str">
        <f>_xlfn.TEXTJOIN(",",TRUE,_xlfn._xlws.SORT(_xlfn.TEXTSPLIT(_xlfn.TEXTJOIN(",",TRUE,_xlfn._xlws.SORT($B45:$F45, 1, -1, FALSE)),"WWWWW",",")))</f>
        <v>Chromius.TAMU,Kermitt.MB,Koyeetchi,Rat_Squilla,Timythiccums.MB</v>
      </c>
      <c r="B45" s="41" t="s">
        <v>77</v>
      </c>
      <c r="C45" s="42" t="s">
        <v>118</v>
      </c>
      <c r="D45" s="42" t="s">
        <v>144</v>
      </c>
      <c r="E45" s="126" t="s">
        <v>152</v>
      </c>
      <c r="F45" s="125" t="s">
        <v>81</v>
      </c>
      <c r="G45" s="108">
        <f>IFERROR(VLOOKUP(CombinedStack[[#This Row],[Dupes]],Y9S1[],7,FALSE), 0) +
IFERROR(VLOOKUP(CombinedStack[[#This Row],[Dupes]],Y8S4[],7,FALSE), 0)</f>
        <v>1</v>
      </c>
      <c r="H45" s="40">
        <f>IFERROR(VLOOKUP(CombinedStack[[#This Row],[Dupes]],Y9S1[],8,FALSE), 0)+
IFERROR(VLOOKUP(CombinedStack[[#This Row],[Dupes]],Y8S4[],8,FALSE), 0)</f>
        <v>0</v>
      </c>
      <c r="I45" s="40">
        <f>$G45+$H45</f>
        <v>1</v>
      </c>
      <c r="J45" s="43">
        <f>G45/(H45+G45)</f>
        <v>1</v>
      </c>
      <c r="K45" s="44" t="e">
        <f>(CombinedStack[[#This Row],[Wins]]-CombinedStack[[#This Row],[Losses]]/SUM(CombinedStack[Games Played]))/10</f>
        <v>#VALUE!</v>
      </c>
      <c r="L45" s="67" t="s">
        <v>196</v>
      </c>
    </row>
    <row r="46" spans="1:15">
      <c r="A46" s="40" t="str">
        <f>_xlfn.TEXTJOIN(",",TRUE,_xlfn._xlws.SORT(_xlfn.TEXTSPLIT(_xlfn.TEXTJOIN(",",TRUE,_xlfn._xlws.SORT($B46:$F46, 1, -1, FALSE)),"WWWWW",",")))</f>
        <v>Chromius.TAMU,Fallen.Cortex,Fallen.Rqnger,Kermitt.MB,Timythiccums.MB</v>
      </c>
      <c r="B46" s="115" t="s">
        <v>77</v>
      </c>
      <c r="C46" s="115" t="s">
        <v>81</v>
      </c>
      <c r="D46" s="101" t="s">
        <v>86</v>
      </c>
      <c r="E46" s="42" t="s">
        <v>140</v>
      </c>
      <c r="F46" s="126" t="s">
        <v>118</v>
      </c>
      <c r="G46" s="108">
        <f>IFERROR(VLOOKUP(CombinedStack[[#This Row],[Dupes]],Y9S1[],7,FALSE), 0) +
IFERROR(VLOOKUP(CombinedStack[[#This Row],[Dupes]],Y8S4[],7,FALSE), 0)</f>
        <v>1</v>
      </c>
      <c r="H46" s="40">
        <f>IFERROR(VLOOKUP(CombinedStack[[#This Row],[Dupes]],Y9S1[],8,FALSE), 0)+
IFERROR(VLOOKUP(CombinedStack[[#This Row],[Dupes]],Y8S4[],8,FALSE), 0)</f>
        <v>0</v>
      </c>
      <c r="I46" s="40">
        <f>$G46+$H46</f>
        <v>1</v>
      </c>
      <c r="J46" s="50">
        <f>G46/(H46+G46)</f>
        <v>1</v>
      </c>
      <c r="K46" s="51" t="e">
        <f>(CombinedStack[[#This Row],[Wins]]-CombinedStack[[#This Row],[Losses]]/SUM(CombinedStack[Games Played]))/10</f>
        <v>#VALUE!</v>
      </c>
      <c r="L46" s="68"/>
    </row>
    <row r="47" spans="1:15">
      <c r="A47" s="40" t="str">
        <f>_xlfn.TEXTJOIN(",",TRUE,_xlfn._xlws.SORT(_xlfn.TEXTSPLIT(_xlfn.TEXTJOIN(",",TRUE,_xlfn._xlws.SORT($B47:$F47, 1, -1, FALSE)),"WWWWW",",")))</f>
        <v>Chromius.TAMU,Fallen.Cortex,Fallen.Rqnger,Notlappland,Timythiccums.MB</v>
      </c>
      <c r="B47" s="115" t="s">
        <v>77</v>
      </c>
      <c r="C47" s="101" t="s">
        <v>81</v>
      </c>
      <c r="D47" s="101" t="s">
        <v>86</v>
      </c>
      <c r="E47" s="101" t="s">
        <v>140</v>
      </c>
      <c r="F47" s="101" t="s">
        <v>184</v>
      </c>
      <c r="G47" s="108">
        <f>IFERROR(VLOOKUP(CombinedStack[[#This Row],[Dupes]],Y9S1[],7,FALSE), 0) +
IFERROR(VLOOKUP(CombinedStack[[#This Row],[Dupes]],Y8S4[],7,FALSE), 0)</f>
        <v>1</v>
      </c>
      <c r="H47" s="40">
        <f>IFERROR(VLOOKUP(CombinedStack[[#This Row],[Dupes]],Y9S1[],8,FALSE), 0)+
IFERROR(VLOOKUP(CombinedStack[[#This Row],[Dupes]],Y8S4[],8,FALSE), 0)</f>
        <v>0</v>
      </c>
      <c r="I47" s="40">
        <f>$G47+$H47</f>
        <v>1</v>
      </c>
      <c r="J47" s="50">
        <f>G47/(H47+G47)</f>
        <v>1</v>
      </c>
      <c r="K47" s="51" t="e">
        <f>(CombinedStack[[#This Row],[Wins]]-CombinedStack[[#This Row],[Losses]]/SUM(CombinedStack[Games Played]))/10</f>
        <v>#VALUE!</v>
      </c>
      <c r="L47" s="68"/>
    </row>
    <row r="48" spans="1:15">
      <c r="A48" s="40" t="str">
        <f>_xlfn.TEXTJOIN(",",TRUE,_xlfn._xlws.SORT(_xlfn.TEXTSPLIT(_xlfn.TEXTJOIN(",",TRUE,_xlfn._xlws.SORT($B48:$F48, 1, -1, FALSE)),"WWWWW",",")))</f>
        <v>Chromius.TAMU,Fallen.Cortex,Fallen.Rqnger,ThiccPie.OU,Timythiccums.MB</v>
      </c>
      <c r="B48" s="41" t="s">
        <v>77</v>
      </c>
      <c r="C48" s="42" t="s">
        <v>81</v>
      </c>
      <c r="D48" s="42" t="s">
        <v>86</v>
      </c>
      <c r="E48" s="42" t="s">
        <v>104</v>
      </c>
      <c r="F48" s="42" t="s">
        <v>140</v>
      </c>
      <c r="G48" s="108">
        <f>IFERROR(VLOOKUP(CombinedStack[[#This Row],[Dupes]],Y9S1[],7,FALSE), 0) +
IFERROR(VLOOKUP(CombinedStack[[#This Row],[Dupes]],Y8S4[],7,FALSE), 0)</f>
        <v>3</v>
      </c>
      <c r="H48" s="40">
        <f>IFERROR(VLOOKUP(CombinedStack[[#This Row],[Dupes]],Y9S1[],8,FALSE), 0)+
IFERROR(VLOOKUP(CombinedStack[[#This Row],[Dupes]],Y8S4[],8,FALSE), 0)</f>
        <v>0</v>
      </c>
      <c r="I48" s="40">
        <f>$G48+$H48</f>
        <v>3</v>
      </c>
      <c r="J48" s="43">
        <f>G48/(H48+G48)</f>
        <v>1</v>
      </c>
      <c r="K48" s="44" t="e">
        <f>(CombinedStack[[#This Row],[Wins]]-CombinedStack[[#This Row],[Losses]]/SUM(CombinedStack[Games Played]))/10</f>
        <v>#VALUE!</v>
      </c>
      <c r="L48" s="67"/>
    </row>
    <row r="49" spans="1:12">
      <c r="A49" s="40" t="str">
        <f>_xlfn.TEXTJOIN(",",TRUE,_xlfn._xlws.SORT(_xlfn.TEXTSPLIT(_xlfn.TEXTJOIN(",",TRUE,_xlfn._xlws.SORT($B49:$F49, 1, -1, FALSE)),"WWWWW",",")))</f>
        <v>Chromius.TAMU,Kermitt.MB,PincheConcha,Rat_Squilla,Timythiccums.MB</v>
      </c>
      <c r="B49" s="115" t="s">
        <v>77</v>
      </c>
      <c r="C49" s="115" t="s">
        <v>81</v>
      </c>
      <c r="D49" s="126" t="s">
        <v>152</v>
      </c>
      <c r="E49" s="126" t="s">
        <v>118</v>
      </c>
      <c r="F49" s="146" t="s">
        <v>91</v>
      </c>
      <c r="G49" s="108">
        <f>IFERROR(VLOOKUP(CombinedStack[[#This Row],[Dupes]],Y9S1[],7,FALSE), 0) +
IFERROR(VLOOKUP(CombinedStack[[#This Row],[Dupes]],Y8S4[],7,FALSE), 0)</f>
        <v>2</v>
      </c>
      <c r="H49" s="40">
        <f>IFERROR(VLOOKUP(CombinedStack[[#This Row],[Dupes]],Y9S1[],8,FALSE), 0)+
IFERROR(VLOOKUP(CombinedStack[[#This Row],[Dupes]],Y8S4[],8,FALSE), 0)</f>
        <v>0</v>
      </c>
      <c r="I49" s="40">
        <f>$G49+$H49</f>
        <v>2</v>
      </c>
      <c r="J49" s="50">
        <f>G49/(H49+G49)</f>
        <v>1</v>
      </c>
      <c r="K49" s="51" t="e">
        <f>(CombinedStack[[#This Row],[Wins]]-CombinedStack[[#This Row],[Losses]]/SUM(CombinedStack[Games Played]))/10</f>
        <v>#VALUE!</v>
      </c>
      <c r="L49" s="68"/>
    </row>
    <row r="50" spans="1:12">
      <c r="A50" s="40" t="str">
        <f>_xlfn.TEXTJOIN(",",TRUE,_xlfn._xlws.SORT(_xlfn.TEXTSPLIT(_xlfn.TEXTJOIN(",",TRUE,_xlfn._xlws.SORT($B50:$F50, 1, -1, FALSE)),"WWWWW",",")))</f>
        <v xml:space="preserve">Dlehard.,Galahad21588 </v>
      </c>
      <c r="B50" s="41" t="s">
        <v>121</v>
      </c>
      <c r="C50" s="42" t="s">
        <v>193</v>
      </c>
      <c r="D50" s="125" t="s">
        <v>180</v>
      </c>
      <c r="E50" s="125" t="s">
        <v>180</v>
      </c>
      <c r="F50" s="125" t="s">
        <v>180</v>
      </c>
      <c r="G50" s="108">
        <f>IFERROR(VLOOKUP(CombinedStack[[#This Row],[Dupes]],Y9S1[],7,FALSE), 0) +
IFERROR(VLOOKUP(CombinedStack[[#This Row],[Dupes]],Y8S4[],7,FALSE), 0)</f>
        <v>1</v>
      </c>
      <c r="H50" s="40">
        <f>IFERROR(VLOOKUP(CombinedStack[[#This Row],[Dupes]],Y9S1[],8,FALSE), 0)+
IFERROR(VLOOKUP(CombinedStack[[#This Row],[Dupes]],Y8S4[],8,FALSE), 0)</f>
        <v>0</v>
      </c>
      <c r="I50" s="40">
        <f>$G50+$H50</f>
        <v>1</v>
      </c>
      <c r="J50" s="43">
        <f>G50/(H50+G50)</f>
        <v>1</v>
      </c>
      <c r="K50" s="44" t="e">
        <f>(CombinedStack[[#This Row],[Wins]]-CombinedStack[[#This Row],[Losses]]/SUM(CombinedStack[Games Played]))/10</f>
        <v>#VALUE!</v>
      </c>
      <c r="L50" s="67"/>
    </row>
    <row r="51" spans="1:12">
      <c r="A51" s="40" t="str">
        <f>_xlfn.TEXTJOIN(",",TRUE,_xlfn._xlws.SORT(_xlfn.TEXTSPLIT(_xlfn.TEXTJOIN(",",TRUE,_xlfn._xlws.SORT($B51:$F51, 1, -1, FALSE)),"WWWWW",",")))</f>
        <v>Chromius.TAMU,FallenCortex,Glonk,Kermitt.MB,lostarkwhale</v>
      </c>
      <c r="B51" s="41" t="s">
        <v>197</v>
      </c>
      <c r="C51" s="42" t="s">
        <v>77</v>
      </c>
      <c r="D51" s="42" t="s">
        <v>118</v>
      </c>
      <c r="E51" s="131" t="s">
        <v>164</v>
      </c>
      <c r="F51" s="126" t="s">
        <v>198</v>
      </c>
      <c r="G51" s="108">
        <f>IFERROR(VLOOKUP(CombinedStack[[#This Row],[Dupes]],Y9S1[],7,FALSE), 0) +
IFERROR(VLOOKUP(CombinedStack[[#This Row],[Dupes]],Y8S4[],7,FALSE), 0)</f>
        <v>1</v>
      </c>
      <c r="H51" s="40">
        <f>IFERROR(VLOOKUP(CombinedStack[[#This Row],[Dupes]],Y9S1[],8,FALSE), 0)+
IFERROR(VLOOKUP(CombinedStack[[#This Row],[Dupes]],Y8S4[],8,FALSE), 0)</f>
        <v>0</v>
      </c>
      <c r="I51" s="40">
        <f>$G51+$H51</f>
        <v>1</v>
      </c>
      <c r="J51" s="43">
        <f>G51/(H51+G51)</f>
        <v>1</v>
      </c>
      <c r="K51" s="44" t="e">
        <f>(CombinedStack[[#This Row],[Wins]]-CombinedStack[[#This Row],[Losses]]/SUM(CombinedStack[Games Played]))/10</f>
        <v>#VALUE!</v>
      </c>
      <c r="L51" s="67"/>
    </row>
    <row r="52" spans="1:12">
      <c r="A52" s="40" t="str">
        <f>_xlfn.TEXTJOIN(",",TRUE,_xlfn._xlws.SORT(_xlfn.TEXTSPLIT(_xlfn.TEXTJOIN(",",TRUE,_xlfn._xlws.SORT($B52:$F52, 1, -1, FALSE)),"WWWWW",",")))</f>
        <v>Chromius.TAMU,Coolrocket,Glonk,JoeHashish,PincheConcha</v>
      </c>
      <c r="B52" s="41" t="s">
        <v>197</v>
      </c>
      <c r="C52" s="42" t="s">
        <v>77</v>
      </c>
      <c r="D52" s="42" t="s">
        <v>91</v>
      </c>
      <c r="E52" s="131" t="s">
        <v>199</v>
      </c>
      <c r="F52" s="126" t="s">
        <v>200</v>
      </c>
      <c r="G52" s="108">
        <f>IFERROR(VLOOKUP(CombinedStack[[#This Row],[Dupes]],Y9S1[],7,FALSE), 0) +
IFERROR(VLOOKUP(CombinedStack[[#This Row],[Dupes]],Y8S4[],7,FALSE), 0)</f>
        <v>4</v>
      </c>
      <c r="H52" s="40">
        <f>IFERROR(VLOOKUP(CombinedStack[[#This Row],[Dupes]],Y9S1[],8,FALSE), 0)+
IFERROR(VLOOKUP(CombinedStack[[#This Row],[Dupes]],Y8S4[],8,FALSE), 0)</f>
        <v>0</v>
      </c>
      <c r="I52" s="40">
        <f>$G52+$H52</f>
        <v>4</v>
      </c>
      <c r="J52" s="43">
        <f>G52/(H52+G52)</f>
        <v>1</v>
      </c>
      <c r="K52" s="44" t="e">
        <f>(CombinedStack[[#This Row],[Wins]]-CombinedStack[[#This Row],[Losses]]/SUM(CombinedStack[Games Played]))/10</f>
        <v>#VALUE!</v>
      </c>
      <c r="L52" s="67" t="s">
        <v>201</v>
      </c>
    </row>
    <row r="53" spans="1:12">
      <c r="A53" s="40" t="str">
        <f>_xlfn.TEXTJOIN(",",TRUE,_xlfn._xlws.SORT(_xlfn.TEXTSPLIT(_xlfn.TEXTJOIN(",",TRUE,_xlfn._xlws.SORT($B53:$F53, 1, -1, FALSE)),"WWWWW",",")))</f>
        <v>Boomerjet123,Chromius.TAMU,Glonk.MB,Strugg1er.</v>
      </c>
      <c r="B53" s="41" t="s">
        <v>162</v>
      </c>
      <c r="C53" s="42" t="s">
        <v>77</v>
      </c>
      <c r="D53" s="42" t="s">
        <v>109</v>
      </c>
      <c r="E53" s="42" t="s">
        <v>111</v>
      </c>
      <c r="F53" s="125" t="s">
        <v>180</v>
      </c>
      <c r="G53" s="108">
        <f>IFERROR(VLOOKUP(CombinedStack[[#This Row],[Dupes]],Y9S1[],7,FALSE), 0) +
IFERROR(VLOOKUP(CombinedStack[[#This Row],[Dupes]],Y8S4[],7,FALSE), 0)</f>
        <v>1</v>
      </c>
      <c r="H53" s="40">
        <f>IFERROR(VLOOKUP(CombinedStack[[#This Row],[Dupes]],Y9S1[],8,FALSE), 0)+
IFERROR(VLOOKUP(CombinedStack[[#This Row],[Dupes]],Y8S4[],8,FALSE), 0)</f>
        <v>0</v>
      </c>
      <c r="I53" s="40">
        <f>$G53+$H53</f>
        <v>1</v>
      </c>
      <c r="J53" s="43">
        <f>G53/(H53+G53)</f>
        <v>1</v>
      </c>
      <c r="K53" s="44" t="e">
        <f>(CombinedStack[[#This Row],[Wins]]-CombinedStack[[#This Row],[Losses]]/SUM(CombinedStack[Games Played]))/10</f>
        <v>#VALUE!</v>
      </c>
      <c r="L53" s="67"/>
    </row>
    <row r="54" spans="1:12">
      <c r="A54" s="40" t="str">
        <f>_xlfn.TEXTJOIN(",",TRUE,_xlfn._xlws.SORT(_xlfn.TEXTSPLIT(_xlfn.TEXTJOIN(",",TRUE,_xlfn._xlws.SORT($B54:$F54, 1, -1, FALSE)),"WWWWW",",")))</f>
        <v>Chromius.TAMU,Fallen.Cortex,Glonk.MB</v>
      </c>
      <c r="B54" s="41" t="s">
        <v>162</v>
      </c>
      <c r="C54" s="42" t="s">
        <v>77</v>
      </c>
      <c r="D54" s="42" t="s">
        <v>140</v>
      </c>
      <c r="E54" s="128" t="s">
        <v>180</v>
      </c>
      <c r="F54" s="125" t="s">
        <v>180</v>
      </c>
      <c r="G54" s="108">
        <f>IFERROR(VLOOKUP(CombinedStack[[#This Row],[Dupes]],Y9S1[],7,FALSE), 0) +
IFERROR(VLOOKUP(CombinedStack[[#This Row],[Dupes]],Y8S4[],7,FALSE), 0)</f>
        <v>1</v>
      </c>
      <c r="H54" s="40">
        <f>IFERROR(VLOOKUP(CombinedStack[[#This Row],[Dupes]],Y9S1[],8,FALSE), 0)+
IFERROR(VLOOKUP(CombinedStack[[#This Row],[Dupes]],Y8S4[],8,FALSE), 0)</f>
        <v>0</v>
      </c>
      <c r="I54" s="40">
        <f>$G54+$H54</f>
        <v>1</v>
      </c>
      <c r="J54" s="43">
        <f>G54/(H54+G54)</f>
        <v>1</v>
      </c>
      <c r="K54" s="44" t="e">
        <f>(CombinedStack[[#This Row],[Wins]]-CombinedStack[[#This Row],[Losses]]/SUM(CombinedStack[Games Played]))/10</f>
        <v>#VALUE!</v>
      </c>
      <c r="L54" s="67"/>
    </row>
    <row r="55" spans="1:12">
      <c r="A55" s="40" t="str">
        <f>_xlfn.TEXTJOIN(",",TRUE,_xlfn._xlws.SORT(_xlfn.TEXTSPLIT(_xlfn.TEXTJOIN(",",TRUE,_xlfn._xlws.SORT($B55:$F55, 1, -1, FALSE)),"WWWWW",",")))</f>
        <v>Chromius.TAMU,Fallen.Cortex,Fallen.Rqnger,Glonk.MB,Strugg1er.</v>
      </c>
      <c r="B55" s="41" t="s">
        <v>162</v>
      </c>
      <c r="C55" s="41" t="s">
        <v>77</v>
      </c>
      <c r="D55" s="42" t="s">
        <v>86</v>
      </c>
      <c r="E55" s="117" t="s">
        <v>111</v>
      </c>
      <c r="F55" s="42" t="s">
        <v>140</v>
      </c>
      <c r="G55" s="108">
        <f>IFERROR(VLOOKUP(CombinedStack[[#This Row],[Dupes]],Y9S1[],7,FALSE), 0) +
IFERROR(VLOOKUP(CombinedStack[[#This Row],[Dupes]],Y8S4[],7,FALSE), 0)</f>
        <v>4</v>
      </c>
      <c r="H55" s="40">
        <f>IFERROR(VLOOKUP(CombinedStack[[#This Row],[Dupes]],Y9S1[],8,FALSE), 0)+
IFERROR(VLOOKUP(CombinedStack[[#This Row],[Dupes]],Y8S4[],8,FALSE), 0)</f>
        <v>0</v>
      </c>
      <c r="I55" s="40">
        <f>$G55+$H55</f>
        <v>4</v>
      </c>
      <c r="J55" s="43">
        <f>G55/(H55+G55)</f>
        <v>1</v>
      </c>
      <c r="K55" s="44" t="e">
        <f>(CombinedStack[[#This Row],[Wins]]-CombinedStack[[#This Row],[Losses]]/SUM(CombinedStack[Games Played]))/10</f>
        <v>#VALUE!</v>
      </c>
      <c r="L55" s="67"/>
    </row>
    <row r="56" spans="1:12">
      <c r="A56" s="40" t="str">
        <f>_xlfn.TEXTJOIN(",",TRUE,_xlfn._xlws.SORT(_xlfn.TEXTSPLIT(_xlfn.TEXTJOIN(",",TRUE,_xlfn._xlws.SORT($B56:$F56, 1, -1, FALSE)),"WWWWW",",")))</f>
        <v>Chromius.TAMU,Glonk.MB,Kermitt.MB,Koyeetchi,lostarkwhale</v>
      </c>
      <c r="B56" s="41" t="s">
        <v>162</v>
      </c>
      <c r="C56" s="42" t="s">
        <v>77</v>
      </c>
      <c r="D56" s="42" t="s">
        <v>118</v>
      </c>
      <c r="E56" s="128" t="s">
        <v>144</v>
      </c>
      <c r="F56" s="131" t="s">
        <v>164</v>
      </c>
      <c r="G56" s="108">
        <f>IFERROR(VLOOKUP(CombinedStack[[#This Row],[Dupes]],Y9S1[],7,FALSE), 0) +
IFERROR(VLOOKUP(CombinedStack[[#This Row],[Dupes]],Y8S4[],7,FALSE), 0)</f>
        <v>3</v>
      </c>
      <c r="H56" s="40">
        <f>IFERROR(VLOOKUP(CombinedStack[[#This Row],[Dupes]],Y9S1[],8,FALSE), 0)+
IFERROR(VLOOKUP(CombinedStack[[#This Row],[Dupes]],Y8S4[],8,FALSE), 0)</f>
        <v>0</v>
      </c>
      <c r="I56" s="40">
        <f>$G56+$H56</f>
        <v>3</v>
      </c>
      <c r="J56" s="43">
        <f>G56/(H56+G56)</f>
        <v>1</v>
      </c>
      <c r="K56" s="44" t="e">
        <f>(CombinedStack[[#This Row],[Wins]]-CombinedStack[[#This Row],[Losses]]/SUM(CombinedStack[Games Played]))/10</f>
        <v>#VALUE!</v>
      </c>
      <c r="L56" s="67" t="s">
        <v>202</v>
      </c>
    </row>
    <row r="57" spans="1:12">
      <c r="A57" s="40" t="str">
        <f>_xlfn.TEXTJOIN(",",TRUE,_xlfn._xlws.SORT(_xlfn.TEXTSPLIT(_xlfn.TEXTJOIN(",",TRUE,_xlfn._xlws.SORT($B57:$F57, 1, -1, FALSE)),"WWWWW",",")))</f>
        <v>Chromius.TAMU,Glonk.MB,Koyeetchi,Notlappland,Strugg1er.</v>
      </c>
      <c r="B57" s="41" t="s">
        <v>162</v>
      </c>
      <c r="C57" s="101" t="s">
        <v>77</v>
      </c>
      <c r="D57" s="101" t="s">
        <v>144</v>
      </c>
      <c r="E57" s="132" t="s">
        <v>111</v>
      </c>
      <c r="F57" s="101" t="s">
        <v>184</v>
      </c>
      <c r="G57" s="108">
        <f>IFERROR(VLOOKUP(CombinedStack[[#This Row],[Dupes]],Y9S1[],7,FALSE), 0) +
IFERROR(VLOOKUP(CombinedStack[[#This Row],[Dupes]],Y8S4[],7,FALSE), 0)</f>
        <v>2</v>
      </c>
      <c r="H57" s="40">
        <f>IFERROR(VLOOKUP(CombinedStack[[#This Row],[Dupes]],Y9S1[],8,FALSE), 0)+
IFERROR(VLOOKUP(CombinedStack[[#This Row],[Dupes]],Y8S4[],8,FALSE), 0)</f>
        <v>0</v>
      </c>
      <c r="I57" s="40">
        <f>$G57+$H57</f>
        <v>2</v>
      </c>
      <c r="J57" s="50">
        <f>G57/(H57+G57)</f>
        <v>1</v>
      </c>
      <c r="K57" s="51" t="e">
        <f>(CombinedStack[[#This Row],[Wins]]-CombinedStack[[#This Row],[Losses]]/SUM(CombinedStack[Games Played]))/10</f>
        <v>#VALUE!</v>
      </c>
      <c r="L57" s="68"/>
    </row>
    <row r="58" spans="1:12">
      <c r="A58" s="40" t="str">
        <f>_xlfn.TEXTJOIN(",",TRUE,_xlfn._xlws.SORT(_xlfn.TEXTSPLIT(_xlfn.TEXTJOIN(",",TRUE,_xlfn._xlws.SORT($B58:$F58, 1, -1, FALSE)),"WWWWW",",")))</f>
        <v>Fallen.Cortex,Fallen.Rqnger,Glonk.MB,Kermitt.MB,Timythiccums.MB</v>
      </c>
      <c r="B58" s="41" t="s">
        <v>162</v>
      </c>
      <c r="C58" s="42" t="s">
        <v>86</v>
      </c>
      <c r="D58" s="42" t="s">
        <v>118</v>
      </c>
      <c r="E58" s="129" t="s">
        <v>81</v>
      </c>
      <c r="F58" s="126" t="s">
        <v>140</v>
      </c>
      <c r="G58" s="108">
        <f>IFERROR(VLOOKUP(CombinedStack[[#This Row],[Dupes]],Y9S1[],7,FALSE), 0) +
IFERROR(VLOOKUP(CombinedStack[[#This Row],[Dupes]],Y8S4[],7,FALSE), 0)</f>
        <v>3</v>
      </c>
      <c r="H58" s="40">
        <f>IFERROR(VLOOKUP(CombinedStack[[#This Row],[Dupes]],Y9S1[],8,FALSE), 0)+
IFERROR(VLOOKUP(CombinedStack[[#This Row],[Dupes]],Y8S4[],8,FALSE), 0)</f>
        <v>0</v>
      </c>
      <c r="I58" s="40">
        <f>$G58+$H58</f>
        <v>3</v>
      </c>
      <c r="J58" s="43">
        <f>G58/(H58+G58)</f>
        <v>1</v>
      </c>
      <c r="K58" s="44" t="e">
        <f>(CombinedStack[[#This Row],[Wins]]-CombinedStack[[#This Row],[Losses]]/SUM(CombinedStack[Games Played]))/10</f>
        <v>#VALUE!</v>
      </c>
      <c r="L58" s="67" t="s">
        <v>203</v>
      </c>
    </row>
    <row r="59" spans="1:12">
      <c r="A59" s="40" t="str">
        <f>_xlfn.TEXTJOIN(",",TRUE,_xlfn._xlws.SORT(_xlfn.TEXTSPLIT(_xlfn.TEXTJOIN(",",TRUE,_xlfn._xlws.SORT($B59:$F59, 1, -1, FALSE)),"WWWWW",",")))</f>
        <v>Chromius.TAMU,Fallen.Rqnger,Galahad21588,Kermitt.MB,Koyeetchi</v>
      </c>
      <c r="B59" s="41" t="s">
        <v>77</v>
      </c>
      <c r="C59" s="42" t="s">
        <v>96</v>
      </c>
      <c r="D59" s="42" t="s">
        <v>86</v>
      </c>
      <c r="E59" s="42" t="s">
        <v>144</v>
      </c>
      <c r="F59" s="42" t="s">
        <v>118</v>
      </c>
      <c r="G59" s="108">
        <f>IFERROR(VLOOKUP(CombinedStack[[#This Row],[Dupes]],Y9S1[],7,FALSE), 0) +
IFERROR(VLOOKUP(CombinedStack[[#This Row],[Dupes]],Y8S4[],7,FALSE), 0)</f>
        <v>2</v>
      </c>
      <c r="H59" s="40">
        <f>IFERROR(VLOOKUP(CombinedStack[[#This Row],[Dupes]],Y9S1[],8,FALSE), 0)+
IFERROR(VLOOKUP(CombinedStack[[#This Row],[Dupes]],Y8S4[],8,FALSE), 0)</f>
        <v>1</v>
      </c>
      <c r="I59" s="40">
        <f>$G59+$H59</f>
        <v>3</v>
      </c>
      <c r="J59" s="43">
        <f>G59/(H59+G59)</f>
        <v>0.66666666666666663</v>
      </c>
      <c r="K59" s="44" t="e">
        <f>(CombinedStack[[#This Row],[Wins]]-CombinedStack[[#This Row],[Losses]]/SUM(CombinedStack[Games Played]))/10</f>
        <v>#VALUE!</v>
      </c>
      <c r="L59" s="67"/>
    </row>
    <row r="60" spans="1:12">
      <c r="A60" s="40" t="str">
        <f>_xlfn.TEXTJOIN(",",TRUE,_xlfn._xlws.SORT(_xlfn.TEXTSPLIT(_xlfn.TEXTJOIN(",",TRUE,_xlfn._xlws.SORT($B60:$F60, 1, -1, FALSE)),"WWWWW",",")))</f>
        <v>Boomerjet123,Chromius.TAMU,Fallen.Rqnger,Galahad21588,Koyeetchi</v>
      </c>
      <c r="B60" s="115" t="s">
        <v>77</v>
      </c>
      <c r="C60" s="101" t="s">
        <v>96</v>
      </c>
      <c r="D60" s="101" t="s">
        <v>144</v>
      </c>
      <c r="E60" s="178" t="s">
        <v>86</v>
      </c>
      <c r="F60" s="101" t="s">
        <v>109</v>
      </c>
      <c r="G60" s="108" t="e">
        <f>IFERROR(VLOOKUP(CombinedStack[[#This Row],[Dupes]],Y9S1[],7,FALSE), 0) +
IFERROR(VLOOKUP(CombinedStack[[#This Row],[Dupes]],Y8S4[],7,FALSE), 0)</f>
        <v>#VALUE!</v>
      </c>
      <c r="H60" s="40" t="e">
        <f>IFERROR(VLOOKUP(CombinedStack[[#This Row],[Dupes]],Y9S1[],8,FALSE), 0)+
IFERROR(VLOOKUP(CombinedStack[[#This Row],[Dupes]],Y8S4[],8,FALSE), 0)</f>
        <v>#VALUE!</v>
      </c>
      <c r="I60" s="40" t="e">
        <f>$G60+$H60</f>
        <v>#VALUE!</v>
      </c>
      <c r="J60" s="50" t="e">
        <f>G60/(H60+G60)</f>
        <v>#VALUE!</v>
      </c>
      <c r="K60" s="51" t="e">
        <f>(CombinedStack[[#This Row],[Wins]]-CombinedStack[[#This Row],[Losses]]/SUM(CombinedStack[Games Played]))/10</f>
        <v>#VALUE!</v>
      </c>
      <c r="L60" s="68"/>
    </row>
    <row r="61" spans="1:12">
      <c r="A61" s="40" t="str">
        <f>_xlfn.TEXTJOIN(",",TRUE,_xlfn._xlws.SORT(_xlfn.TEXTSPLIT(_xlfn.TEXTJOIN(",",TRUE,_xlfn._xlws.SORT($B61:$F61, 1, -1, FALSE)),"WWWWW",",")))</f>
        <v>Asherzs,Chromius.TAMU,Glonk.MB,Killmer.LAT,Pathos-val</v>
      </c>
      <c r="B61" s="41" t="s">
        <v>77</v>
      </c>
      <c r="C61" s="41" t="s">
        <v>162</v>
      </c>
      <c r="D61" s="131" t="s">
        <v>100</v>
      </c>
      <c r="E61" s="131" t="s">
        <v>155</v>
      </c>
      <c r="F61" s="131" t="s">
        <v>123</v>
      </c>
      <c r="G61" s="108">
        <f>IFERROR(VLOOKUP(CombinedStack[[#This Row],[Dupes]],Y9S1[],7,FALSE), 0) +
IFERROR(VLOOKUP(CombinedStack[[#This Row],[Dupes]],Y8S4[],7,FALSE), 0)</f>
        <v>2</v>
      </c>
      <c r="H61" s="40">
        <f>IFERROR(VLOOKUP(CombinedStack[[#This Row],[Dupes]],Y9S1[],8,FALSE), 0)+
IFERROR(VLOOKUP(CombinedStack[[#This Row],[Dupes]],Y8S4[],8,FALSE), 0)</f>
        <v>1</v>
      </c>
      <c r="I61" s="40">
        <f>$G61+$H61</f>
        <v>3</v>
      </c>
      <c r="J61" s="43">
        <f>G61/(H61+G61)</f>
        <v>0.66666666666666663</v>
      </c>
      <c r="K61" s="44" t="e">
        <f>(CombinedStack[[#This Row],[Wins]]-CombinedStack[[#This Row],[Losses]]/SUM(CombinedStack[Games Played]))/10</f>
        <v>#VALUE!</v>
      </c>
      <c r="L61" s="67"/>
    </row>
    <row r="62" spans="1:12">
      <c r="A62" s="40" t="str">
        <f>_xlfn.TEXTJOIN(",",TRUE,_xlfn._xlws.SORT(_xlfn.TEXTSPLIT(_xlfn.TEXTJOIN(",",TRUE,_xlfn._xlws.SORT($B62:$F62, 1, -1, FALSE)),"WWWWW",",")))</f>
        <v>Boomerjet123,Chromius.TAMU,Dlehard.,Rat_Squilla,Timythiccums.MB</v>
      </c>
      <c r="B62" s="41" t="s">
        <v>77</v>
      </c>
      <c r="C62" s="42" t="s">
        <v>81</v>
      </c>
      <c r="D62" s="144" t="s">
        <v>121</v>
      </c>
      <c r="E62" s="130" t="s">
        <v>109</v>
      </c>
      <c r="F62" s="127" t="s">
        <v>152</v>
      </c>
      <c r="G62" s="108">
        <f>IFERROR(VLOOKUP(CombinedStack[[#This Row],[Dupes]],Y9S1[],7,FALSE), 0) +
IFERROR(VLOOKUP(CombinedStack[[#This Row],[Dupes]],Y8S4[],7,FALSE), 0)</f>
        <v>2</v>
      </c>
      <c r="H62" s="40">
        <f>IFERROR(VLOOKUP(CombinedStack[[#This Row],[Dupes]],Y9S1[],8,FALSE), 0)+
IFERROR(VLOOKUP(CombinedStack[[#This Row],[Dupes]],Y8S4[],8,FALSE), 0)</f>
        <v>1</v>
      </c>
      <c r="I62" s="40">
        <f>$G62+$H62</f>
        <v>3</v>
      </c>
      <c r="J62" s="43">
        <f>G62/(H62+G62)</f>
        <v>0.66666666666666663</v>
      </c>
      <c r="K62" s="44" t="e">
        <f>(CombinedStack[[#This Row],[Wins]]-CombinedStack[[#This Row],[Losses]]/SUM(CombinedStack[Games Played]))/10</f>
        <v>#VALUE!</v>
      </c>
      <c r="L62" s="67"/>
    </row>
    <row r="63" spans="1:12">
      <c r="A63" s="40" t="str">
        <f>_xlfn.TEXTJOIN(",",TRUE,_xlfn._xlws.SORT(_xlfn.TEXTSPLIT(_xlfn.TEXTJOIN(",",TRUE,_xlfn._xlws.SORT($B63:$F63, 1, -1, FALSE)),"WWWWW",",")))</f>
        <v>Boomerjet123,Chromius.TAMU,Galahad21588,Kermitt.MB,Timythiccums.MB</v>
      </c>
      <c r="B63" s="115" t="s">
        <v>77</v>
      </c>
      <c r="C63" s="132" t="s">
        <v>81</v>
      </c>
      <c r="D63" s="101" t="s">
        <v>96</v>
      </c>
      <c r="E63" s="178" t="s">
        <v>109</v>
      </c>
      <c r="F63" s="101" t="s">
        <v>118</v>
      </c>
      <c r="G63" s="108">
        <f>IFERROR(VLOOKUP(CombinedStack[[#This Row],[Dupes]],Y9S1[],7,FALSE), 0) +
IFERROR(VLOOKUP(CombinedStack[[#This Row],[Dupes]],Y8S4[],7,FALSE), 0)</f>
        <v>2</v>
      </c>
      <c r="H63" s="40">
        <f>IFERROR(VLOOKUP(CombinedStack[[#This Row],[Dupes]],Y9S1[],8,FALSE), 0)+
IFERROR(VLOOKUP(CombinedStack[[#This Row],[Dupes]],Y8S4[],8,FALSE), 0)</f>
        <v>1</v>
      </c>
      <c r="I63" s="40">
        <f>$G63+$H63</f>
        <v>3</v>
      </c>
      <c r="J63" s="50">
        <f>G63/(H63+G63)</f>
        <v>0.66666666666666663</v>
      </c>
      <c r="K63" s="51" t="e">
        <f>(CombinedStack[[#This Row],[Wins]]-CombinedStack[[#This Row],[Losses]]/SUM(CombinedStack[Games Played]))/10</f>
        <v>#VALUE!</v>
      </c>
      <c r="L63" s="68"/>
    </row>
    <row r="64" spans="1:12">
      <c r="A64" s="40" t="str">
        <f>_xlfn.TEXTJOIN(",",TRUE,_xlfn._xlws.SORT(_xlfn.TEXTSPLIT(_xlfn.TEXTJOIN(",",TRUE,_xlfn._xlws.SORT($B64:$F64, 1, -1, FALSE)),"WWWWW",",")))</f>
        <v>Chromius.TAMU,Glonk.MB,Kermitt.MB,Nobetterdough,Timythiccums</v>
      </c>
      <c r="B64" s="41" t="s">
        <v>162</v>
      </c>
      <c r="C64" s="42" t="s">
        <v>77</v>
      </c>
      <c r="D64" s="117" t="s">
        <v>118</v>
      </c>
      <c r="E64" s="129" t="s">
        <v>204</v>
      </c>
      <c r="F64" s="126" t="s">
        <v>125</v>
      </c>
      <c r="G64" s="108">
        <f>IFERROR(VLOOKUP(CombinedStack[[#This Row],[Dupes]],Y9S1[],7,FALSE), 0) +
IFERROR(VLOOKUP(CombinedStack[[#This Row],[Dupes]],Y8S4[],7,FALSE), 0)</f>
        <v>2</v>
      </c>
      <c r="H64" s="40">
        <f>IFERROR(VLOOKUP(CombinedStack[[#This Row],[Dupes]],Y9S1[],8,FALSE), 0)+
IFERROR(VLOOKUP(CombinedStack[[#This Row],[Dupes]],Y8S4[],8,FALSE), 0)</f>
        <v>1</v>
      </c>
      <c r="I64" s="40">
        <f>$G64+$H64</f>
        <v>3</v>
      </c>
      <c r="J64" s="43">
        <f>G64/(H64+G64)</f>
        <v>0.66666666666666663</v>
      </c>
      <c r="K64" s="44" t="e">
        <f>(CombinedStack[[#This Row],[Wins]]-CombinedStack[[#This Row],[Losses]]/SUM(CombinedStack[Games Played]))/10</f>
        <v>#VALUE!</v>
      </c>
      <c r="L64" s="67"/>
    </row>
    <row r="65" spans="1:12">
      <c r="A65" s="40" t="str">
        <f>_xlfn.TEXTJOIN(",",TRUE,_xlfn._xlws.SORT(_xlfn.TEXTSPLIT(_xlfn.TEXTJOIN(",",TRUE,_xlfn._xlws.SORT($B65:$F65, 1, -1, FALSE)),"WWWWW",",")))</f>
        <v>Chromius.TAMU,Colonizer.BU,Glonk.MB,Nobetterdough,Timythiccums.MB</v>
      </c>
      <c r="B65" s="41" t="s">
        <v>162</v>
      </c>
      <c r="C65" s="42" t="s">
        <v>77</v>
      </c>
      <c r="D65" s="136" t="s">
        <v>81</v>
      </c>
      <c r="E65" s="117" t="s">
        <v>154</v>
      </c>
      <c r="F65" s="117" t="s">
        <v>125</v>
      </c>
      <c r="G65" s="108">
        <f>IFERROR(VLOOKUP(CombinedStack[[#This Row],[Dupes]],Y9S1[],7,FALSE), 0) +
IFERROR(VLOOKUP(CombinedStack[[#This Row],[Dupes]],Y8S4[],7,FALSE), 0)</f>
        <v>2</v>
      </c>
      <c r="H65" s="40">
        <f>IFERROR(VLOOKUP(CombinedStack[[#This Row],[Dupes]],Y9S1[],8,FALSE), 0)+
IFERROR(VLOOKUP(CombinedStack[[#This Row],[Dupes]],Y8S4[],8,FALSE), 0)</f>
        <v>1</v>
      </c>
      <c r="I65" s="40">
        <f>$G65+$H65</f>
        <v>3</v>
      </c>
      <c r="J65" s="43">
        <f>G65/(H65+G65)</f>
        <v>0.66666666666666663</v>
      </c>
      <c r="K65" s="44" t="e">
        <f>(CombinedStack[[#This Row],[Wins]]-CombinedStack[[#This Row],[Losses]]/SUM(CombinedStack[Games Played]))/10</f>
        <v>#VALUE!</v>
      </c>
      <c r="L65" s="67"/>
    </row>
    <row r="66" spans="1:12">
      <c r="A66" s="40" t="str">
        <f>_xlfn.TEXTJOIN(",",TRUE,_xlfn._xlws.SORT(_xlfn.TEXTSPLIT(_xlfn.TEXTJOIN(",",TRUE,_xlfn._xlws.SORT($B66:$F66, 1, -1, FALSE)),"WWWWW",",")))</f>
        <v>Chromius.TAMU,Glonk.MB,Nobetterdough,ThiccPie.OU,Timythiccums.MB</v>
      </c>
      <c r="B66" s="115" t="s">
        <v>77</v>
      </c>
      <c r="C66" s="42" t="s">
        <v>162</v>
      </c>
      <c r="D66" s="101" t="s">
        <v>81</v>
      </c>
      <c r="E66" s="132" t="s">
        <v>104</v>
      </c>
      <c r="F66" s="101" t="s">
        <v>125</v>
      </c>
      <c r="G66" s="108">
        <f>IFERROR(VLOOKUP(CombinedStack[[#This Row],[Dupes]],Y9S1[],7,FALSE), 0) +
IFERROR(VLOOKUP(CombinedStack[[#This Row],[Dupes]],Y8S4[],7,FALSE), 0)</f>
        <v>3</v>
      </c>
      <c r="H66" s="40">
        <f>IFERROR(VLOOKUP(CombinedStack[[#This Row],[Dupes]],Y9S1[],8,FALSE), 0)+
IFERROR(VLOOKUP(CombinedStack[[#This Row],[Dupes]],Y8S4[],8,FALSE), 0)</f>
        <v>2</v>
      </c>
      <c r="I66" s="40">
        <f>$G66+$H66</f>
        <v>5</v>
      </c>
      <c r="J66" s="50">
        <f>G66/(H66+G66)</f>
        <v>0.6</v>
      </c>
      <c r="K66" s="51" t="e">
        <f>(CombinedStack[[#This Row],[Wins]]-CombinedStack[[#This Row],[Losses]]/SUM(CombinedStack[Games Played]))/10</f>
        <v>#VALUE!</v>
      </c>
      <c r="L66" s="68"/>
    </row>
    <row r="67" spans="1:12">
      <c r="A67" s="40" t="str">
        <f>_xlfn.TEXTJOIN(",",TRUE,_xlfn._xlws.SORT(_xlfn.TEXTSPLIT(_xlfn.TEXTJOIN(",",TRUE,_xlfn._xlws.SORT($B67:$F67, 1, -1, FALSE)),"WWWWW",",")))</f>
        <v>Chromius.TAMU,Dlehard.,iUseArch,Rat_Squilla,Timythiccums.MB</v>
      </c>
      <c r="B67" s="41" t="s">
        <v>77</v>
      </c>
      <c r="C67" s="41" t="s">
        <v>81</v>
      </c>
      <c r="D67" s="144" t="s">
        <v>121</v>
      </c>
      <c r="E67" s="127" t="s">
        <v>152</v>
      </c>
      <c r="F67" s="42" t="s">
        <v>205</v>
      </c>
      <c r="G67" s="108">
        <f>IFERROR(VLOOKUP(CombinedStack[[#This Row],[Dupes]],Y9S1[],7,FALSE), 0) +
IFERROR(VLOOKUP(CombinedStack[[#This Row],[Dupes]],Y8S4[],7,FALSE), 0)</f>
        <v>3</v>
      </c>
      <c r="H67" s="40">
        <f>IFERROR(VLOOKUP(CombinedStack[[#This Row],[Dupes]],Y9S1[],8,FALSE), 0)+
IFERROR(VLOOKUP(CombinedStack[[#This Row],[Dupes]],Y8S4[],8,FALSE), 0)</f>
        <v>2</v>
      </c>
      <c r="I67" s="40">
        <f>$G67+$H67</f>
        <v>5</v>
      </c>
      <c r="J67" s="43">
        <f>G67/(H67+G67)</f>
        <v>0.6</v>
      </c>
      <c r="K67" s="44" t="e">
        <f>(CombinedStack[[#This Row],[Wins]]-CombinedStack[[#This Row],[Losses]]/SUM(CombinedStack[Games Played]))/10</f>
        <v>#VALUE!</v>
      </c>
      <c r="L67" s="67"/>
    </row>
    <row r="68" spans="1:12">
      <c r="A68" s="40" t="str">
        <f>_xlfn.TEXTJOIN(",",TRUE,_xlfn._xlws.SORT(_xlfn.TEXTSPLIT(_xlfn.TEXTJOIN(",",TRUE,_xlfn._xlws.SORT($B68:$F68, 1, -1, FALSE)),"WWWWW",",")))</f>
        <v>Galahad21588,Glonk.MB,Kermitt.MB,Nobetterdough,Timythiccums.MB</v>
      </c>
      <c r="B68" s="41" t="s">
        <v>162</v>
      </c>
      <c r="C68" s="42" t="s">
        <v>96</v>
      </c>
      <c r="D68" s="117" t="s">
        <v>118</v>
      </c>
      <c r="E68" s="126" t="s">
        <v>81</v>
      </c>
      <c r="F68" s="126" t="s">
        <v>125</v>
      </c>
      <c r="G68" s="108">
        <f>IFERROR(VLOOKUP(CombinedStack[[#This Row],[Dupes]],Y9S1[],7,FALSE), 0) +
IFERROR(VLOOKUP(CombinedStack[[#This Row],[Dupes]],Y8S4[],7,FALSE), 0)</f>
        <v>3</v>
      </c>
      <c r="H68" s="40">
        <f>IFERROR(VLOOKUP(CombinedStack[[#This Row],[Dupes]],Y9S1[],8,FALSE), 0)+
IFERROR(VLOOKUP(CombinedStack[[#This Row],[Dupes]],Y8S4[],8,FALSE), 0)</f>
        <v>2</v>
      </c>
      <c r="I68" s="40">
        <f>$G68+$H68</f>
        <v>5</v>
      </c>
      <c r="J68" s="43">
        <f>G68/(H68+G68)</f>
        <v>0.6</v>
      </c>
      <c r="K68" s="44" t="e">
        <f>(CombinedStack[[#This Row],[Wins]]-CombinedStack[[#This Row],[Losses]]/SUM(CombinedStack[Games Played]))/10</f>
        <v>#VALUE!</v>
      </c>
      <c r="L68" s="67" t="s">
        <v>206</v>
      </c>
    </row>
    <row r="69" spans="1:12">
      <c r="A69" s="40" t="str">
        <f>_xlfn.TEXTJOIN(",",TRUE,_xlfn._xlws.SORT(_xlfn.TEXTSPLIT(_xlfn.TEXTJOIN(",",TRUE,_xlfn._xlws.SORT($B69:$F69, 1, -1, FALSE)),"WWWWW",",")))</f>
        <v>Chromius.TAMU,Fallen.Rqnger,Galahad21588 ,Polar...-</v>
      </c>
      <c r="B69" s="115" t="s">
        <v>77</v>
      </c>
      <c r="C69" s="101" t="s">
        <v>193</v>
      </c>
      <c r="D69" s="127" t="s">
        <v>159</v>
      </c>
      <c r="E69" s="117" t="s">
        <v>86</v>
      </c>
      <c r="F69" s="126" t="s">
        <v>180</v>
      </c>
      <c r="G69" s="108">
        <f>IFERROR(VLOOKUP(CombinedStack[[#This Row],[Dupes]],Y9S1[],7,FALSE), 0) +
IFERROR(VLOOKUP(CombinedStack[[#This Row],[Dupes]],Y8S4[],7,FALSE), 0)</f>
        <v>1</v>
      </c>
      <c r="H69" s="40">
        <f>IFERROR(VLOOKUP(CombinedStack[[#This Row],[Dupes]],Y9S1[],8,FALSE), 0)+
IFERROR(VLOOKUP(CombinedStack[[#This Row],[Dupes]],Y8S4[],8,FALSE), 0)</f>
        <v>1</v>
      </c>
      <c r="I69" s="40">
        <f>$G69+$H69</f>
        <v>2</v>
      </c>
      <c r="J69" s="50">
        <f>G69/(H69+G69)</f>
        <v>0.5</v>
      </c>
      <c r="K69" s="51" t="e">
        <f>(CombinedStack[[#This Row],[Wins]]-CombinedStack[[#This Row],[Losses]]/SUM(CombinedStack[Games Played]))/10</f>
        <v>#VALUE!</v>
      </c>
      <c r="L69" s="68"/>
    </row>
    <row r="70" spans="1:12">
      <c r="A70" s="40" t="str">
        <f>_xlfn.TEXTJOIN(",",TRUE,_xlfn._xlws.SORT(_xlfn.TEXTSPLIT(_xlfn.TEXTJOIN(",",TRUE,_xlfn._xlws.SORT($B70:$F70, 1, -1, FALSE)),"WWWWW",",")))</f>
        <v>Chromius.TAMU,Galahad21588 ,Koyeetchi,Polar...-</v>
      </c>
      <c r="B70" s="115" t="s">
        <v>77</v>
      </c>
      <c r="C70" s="115" t="s">
        <v>193</v>
      </c>
      <c r="D70" s="127" t="s">
        <v>159</v>
      </c>
      <c r="E70" s="101" t="s">
        <v>144</v>
      </c>
      <c r="F70" s="126" t="s">
        <v>180</v>
      </c>
      <c r="G70" s="108">
        <f>IFERROR(VLOOKUP(CombinedStack[[#This Row],[Dupes]],Y9S1[],7,FALSE), 0) +
IFERROR(VLOOKUP(CombinedStack[[#This Row],[Dupes]],Y8S4[],7,FALSE), 0)</f>
        <v>1</v>
      </c>
      <c r="H70" s="40">
        <f>IFERROR(VLOOKUP(CombinedStack[[#This Row],[Dupes]],Y9S1[],8,FALSE), 0)+
IFERROR(VLOOKUP(CombinedStack[[#This Row],[Dupes]],Y8S4[],8,FALSE), 0)</f>
        <v>1</v>
      </c>
      <c r="I70" s="40">
        <f>$G70+$H70</f>
        <v>2</v>
      </c>
      <c r="J70" s="50">
        <f>G70/(H70+G70)</f>
        <v>0.5</v>
      </c>
      <c r="K70" s="51" t="e">
        <f>(CombinedStack[[#This Row],[Wins]]-CombinedStack[[#This Row],[Losses]]/SUM(CombinedStack[Games Played]))/10</f>
        <v>#VALUE!</v>
      </c>
      <c r="L70" s="68"/>
    </row>
    <row r="71" spans="1:12">
      <c r="A71" s="40" t="str">
        <f>_xlfn.TEXTJOIN(",",TRUE,_xlfn._xlws.SORT(_xlfn.TEXTSPLIT(_xlfn.TEXTJOIN(",",TRUE,_xlfn._xlws.SORT($B71:$F71, 1, -1, FALSE)),"WWWWW",",")))</f>
        <v>Chromius.TAMU,Dlehard.,Fallen.Rqnger,Glonk.MB,Timythiccums.MB</v>
      </c>
      <c r="B71" s="115" t="s">
        <v>77</v>
      </c>
      <c r="C71" s="42" t="s">
        <v>162</v>
      </c>
      <c r="D71" s="101" t="s">
        <v>86</v>
      </c>
      <c r="E71" s="101" t="s">
        <v>121</v>
      </c>
      <c r="F71" s="126" t="s">
        <v>81</v>
      </c>
      <c r="G71" s="108">
        <f>IFERROR(VLOOKUP(CombinedStack[[#This Row],[Dupes]],Y9S1[],7,FALSE), 0) +
IFERROR(VLOOKUP(CombinedStack[[#This Row],[Dupes]],Y8S4[],7,FALSE), 0)</f>
        <v>1</v>
      </c>
      <c r="H71" s="40">
        <f>IFERROR(VLOOKUP(CombinedStack[[#This Row],[Dupes]],Y9S1[],8,FALSE), 0)+
IFERROR(VLOOKUP(CombinedStack[[#This Row],[Dupes]],Y8S4[],8,FALSE), 0)</f>
        <v>1</v>
      </c>
      <c r="I71" s="40">
        <f>$G71+$H71</f>
        <v>2</v>
      </c>
      <c r="J71" s="50">
        <f>G71/(H71+G71)</f>
        <v>0.5</v>
      </c>
      <c r="K71" s="51" t="e">
        <f>(CombinedStack[[#This Row],[Wins]]-CombinedStack[[#This Row],[Losses]]/SUM(CombinedStack[Games Played]))/10</f>
        <v>#VALUE!</v>
      </c>
      <c r="L71" s="68"/>
    </row>
    <row r="72" spans="1:12">
      <c r="A72" s="40" t="str">
        <f>_xlfn.TEXTJOIN(",",TRUE,_xlfn._xlws.SORT(_xlfn.TEXTSPLIT(_xlfn.TEXTJOIN(",",TRUE,_xlfn._xlws.SORT($B72:$F72, 1, -1, FALSE)),"WWWWW",",")))</f>
        <v>Chromius.TAMU,Fallen.Rqnger,Glonk.MB,Rat_Squilla</v>
      </c>
      <c r="B72" s="115" t="s">
        <v>77</v>
      </c>
      <c r="C72" s="42" t="s">
        <v>162</v>
      </c>
      <c r="D72" s="101" t="s">
        <v>86</v>
      </c>
      <c r="E72" s="127" t="s">
        <v>152</v>
      </c>
      <c r="F72" s="125" t="s">
        <v>180</v>
      </c>
      <c r="G72" s="108">
        <f>IFERROR(VLOOKUP(CombinedStack[[#This Row],[Dupes]],Y9S1[],7,FALSE), 0) +
IFERROR(VLOOKUP(CombinedStack[[#This Row],[Dupes]],Y8S4[],7,FALSE), 0)</f>
        <v>1</v>
      </c>
      <c r="H72" s="40">
        <f>IFERROR(VLOOKUP(CombinedStack[[#This Row],[Dupes]],Y9S1[],8,FALSE), 0)+
IFERROR(VLOOKUP(CombinedStack[[#This Row],[Dupes]],Y8S4[],8,FALSE), 0)</f>
        <v>1</v>
      </c>
      <c r="I72" s="40">
        <f>$G72+$H72</f>
        <v>2</v>
      </c>
      <c r="J72" s="50">
        <f>G72/(H72+G72)</f>
        <v>0.5</v>
      </c>
      <c r="K72" s="51" t="e">
        <f>(CombinedStack[[#This Row],[Wins]]-CombinedStack[[#This Row],[Losses]]/SUM(CombinedStack[Games Played]))/10</f>
        <v>#VALUE!</v>
      </c>
      <c r="L72" s="68"/>
    </row>
    <row r="73" spans="1:12">
      <c r="A73" s="40" t="str">
        <f>_xlfn.TEXTJOIN(",",TRUE,_xlfn._xlws.SORT(_xlfn.TEXTSPLIT(_xlfn.TEXTJOIN(",",TRUE,_xlfn._xlws.SORT($B73:$F73, 1, -1, FALSE)),"WWWWW",",")))</f>
        <v>Chromius.TAMU,Fallen.Cortex,Glonk.MB,Timythiccums.MB</v>
      </c>
      <c r="B73" s="41" t="s">
        <v>77</v>
      </c>
      <c r="C73" s="42" t="s">
        <v>162</v>
      </c>
      <c r="D73" s="42" t="s">
        <v>81</v>
      </c>
      <c r="E73" s="124" t="s">
        <v>140</v>
      </c>
      <c r="F73" s="125" t="s">
        <v>180</v>
      </c>
      <c r="G73" s="108">
        <f>IFERROR(VLOOKUP(CombinedStack[[#This Row],[Dupes]],Y9S1[],7,FALSE), 0) +
IFERROR(VLOOKUP(CombinedStack[[#This Row],[Dupes]],Y8S4[],7,FALSE), 0)</f>
        <v>1</v>
      </c>
      <c r="H73" s="40">
        <f>IFERROR(VLOOKUP(CombinedStack[[#This Row],[Dupes]],Y9S1[],8,FALSE), 0)+
IFERROR(VLOOKUP(CombinedStack[[#This Row],[Dupes]],Y8S4[],8,FALSE), 0)</f>
        <v>1</v>
      </c>
      <c r="I73" s="40">
        <f>$G73+$H73</f>
        <v>2</v>
      </c>
      <c r="J73" s="43">
        <f>G73/(H73+G73)</f>
        <v>0.5</v>
      </c>
      <c r="K73" s="44" t="e">
        <f>(CombinedStack[[#This Row],[Wins]]-CombinedStack[[#This Row],[Losses]]/SUM(CombinedStack[Games Played]))/10</f>
        <v>#VALUE!</v>
      </c>
      <c r="L73" s="67"/>
    </row>
    <row r="74" spans="1:12">
      <c r="A74" s="40" t="str">
        <f>_xlfn.TEXTJOIN(",",TRUE,_xlfn._xlws.SORT(_xlfn.TEXTSPLIT(_xlfn.TEXTJOIN(",",TRUE,_xlfn._xlws.SORT($B74:$F74, 1, -1, FALSE)),"WWWWW",",")))</f>
        <v>Chromius.TAMU,GlonkMB,Kermitt.MB,Koyeetchi,Rat_Squilla</v>
      </c>
      <c r="B74" s="41" t="s">
        <v>77</v>
      </c>
      <c r="C74" s="42" t="s">
        <v>118</v>
      </c>
      <c r="D74" s="42" t="s">
        <v>144</v>
      </c>
      <c r="E74" s="129" t="s">
        <v>152</v>
      </c>
      <c r="F74" s="125" t="s">
        <v>207</v>
      </c>
      <c r="G74" s="108">
        <f>IFERROR(VLOOKUP(CombinedStack[[#This Row],[Dupes]],Y9S1[],7,FALSE), 0) +
IFERROR(VLOOKUP(CombinedStack[[#This Row],[Dupes]],Y8S4[],7,FALSE), 0)</f>
        <v>2</v>
      </c>
      <c r="H74" s="40">
        <f>IFERROR(VLOOKUP(CombinedStack[[#This Row],[Dupes]],Y9S1[],8,FALSE), 0)+
IFERROR(VLOOKUP(CombinedStack[[#This Row],[Dupes]],Y8S4[],8,FALSE), 0)</f>
        <v>2</v>
      </c>
      <c r="I74" s="40">
        <f>$G74+$H74</f>
        <v>4</v>
      </c>
      <c r="J74" s="43">
        <f>G74/(H74+G74)</f>
        <v>0.5</v>
      </c>
      <c r="K74" s="44" t="e">
        <f>(CombinedStack[[#This Row],[Wins]]-CombinedStack[[#This Row],[Losses]]/SUM(CombinedStack[Games Played]))/10</f>
        <v>#VALUE!</v>
      </c>
      <c r="L74" s="67"/>
    </row>
    <row r="75" spans="1:12" ht="36">
      <c r="A75" s="40" t="str">
        <f>_xlfn.TEXTJOIN(",",TRUE,_xlfn._xlws.SORT(_xlfn.TEXTSPLIT(_xlfn.TEXTJOIN(",",TRUE,_xlfn._xlws.SORT($B75:$F75, 1, -1, FALSE)),"WWWWW",",")))</f>
        <v>Chromius.TAMU,Dlehard.,Kermitt.MB,Nobetterdough,Rat_Squilla</v>
      </c>
      <c r="B75" s="41" t="s">
        <v>77</v>
      </c>
      <c r="C75" s="42" t="s">
        <v>118</v>
      </c>
      <c r="D75" s="126" t="s">
        <v>152</v>
      </c>
      <c r="E75" s="132" t="s">
        <v>121</v>
      </c>
      <c r="F75" s="125" t="s">
        <v>125</v>
      </c>
      <c r="G75" s="108">
        <f>IFERROR(VLOOKUP(CombinedStack[[#This Row],[Dupes]],Y9S1[],7,FALSE), 0) +
IFERROR(VLOOKUP(CombinedStack[[#This Row],[Dupes]],Y8S4[],7,FALSE), 0)</f>
        <v>1</v>
      </c>
      <c r="H75" s="40">
        <f>IFERROR(VLOOKUP(CombinedStack[[#This Row],[Dupes]],Y9S1[],8,FALSE), 0)+
IFERROR(VLOOKUP(CombinedStack[[#This Row],[Dupes]],Y8S4[],8,FALSE), 0)</f>
        <v>1</v>
      </c>
      <c r="I75" s="40">
        <f>$G75+$H75</f>
        <v>2</v>
      </c>
      <c r="J75" s="43">
        <f>G75/(H75+G75)</f>
        <v>0.5</v>
      </c>
      <c r="K75" s="44" t="e">
        <f>(CombinedStack[[#This Row],[Wins]]-CombinedStack[[#This Row],[Losses]]/SUM(CombinedStack[Games Played]))/10</f>
        <v>#VALUE!</v>
      </c>
      <c r="L75" s="67" t="s">
        <v>208</v>
      </c>
    </row>
    <row r="76" spans="1:12">
      <c r="A76" s="40" t="str">
        <f>_xlfn.TEXTJOIN(",",TRUE,_xlfn._xlws.SORT(_xlfn.TEXTSPLIT(_xlfn.TEXTJOIN(",",TRUE,_xlfn._xlws.SORT($B76:$F76, 1, -1, FALSE)),"WWWWW",",")))</f>
        <v>catsanddog123,Chromius.TAMU,lostarkwhale</v>
      </c>
      <c r="B76" s="41" t="s">
        <v>77</v>
      </c>
      <c r="C76" s="41" t="s">
        <v>164</v>
      </c>
      <c r="D76" s="141" t="s">
        <v>157</v>
      </c>
      <c r="E76" s="129" t="s">
        <v>180</v>
      </c>
      <c r="F76" s="126" t="s">
        <v>180</v>
      </c>
      <c r="G76" s="108">
        <f>IFERROR(VLOOKUP(CombinedStack[[#This Row],[Dupes]],Y9S1[],7,FALSE), 0) +
IFERROR(VLOOKUP(CombinedStack[[#This Row],[Dupes]],Y8S4[],7,FALSE), 0)</f>
        <v>1</v>
      </c>
      <c r="H76" s="40">
        <f>IFERROR(VLOOKUP(CombinedStack[[#This Row],[Dupes]],Y9S1[],8,FALSE), 0)+
IFERROR(VLOOKUP(CombinedStack[[#This Row],[Dupes]],Y8S4[],8,FALSE), 0)</f>
        <v>1</v>
      </c>
      <c r="I76" s="40">
        <f>$G76+$H76</f>
        <v>2</v>
      </c>
      <c r="J76" s="43">
        <f>G76/(H76+G76)</f>
        <v>0.5</v>
      </c>
      <c r="K76" s="44" t="e">
        <f>(CombinedStack[[#This Row],[Wins]]-CombinedStack[[#This Row],[Losses]]/SUM(CombinedStack[Games Played]))/10</f>
        <v>#VALUE!</v>
      </c>
      <c r="L76" s="67"/>
    </row>
    <row r="77" spans="1:12">
      <c r="A77" s="40" t="str">
        <f>_xlfn.TEXTJOIN(",",TRUE,_xlfn._xlws.SORT(_xlfn.TEXTSPLIT(_xlfn.TEXTJOIN(",",TRUE,_xlfn._xlws.SORT($B77:$F77, 1, -1, FALSE)),"WWWWW",",")))</f>
        <v>Boomerjet123,Chromius.TAMU,Fallen.Rqnger,Koyeetchi,Notlappland</v>
      </c>
      <c r="B77" s="115" t="s">
        <v>77</v>
      </c>
      <c r="C77" s="115" t="s">
        <v>184</v>
      </c>
      <c r="D77" s="101" t="s">
        <v>144</v>
      </c>
      <c r="E77" s="178" t="s">
        <v>86</v>
      </c>
      <c r="F77" s="101" t="s">
        <v>109</v>
      </c>
      <c r="G77" s="108">
        <f>IFERROR(VLOOKUP(CombinedStack[[#This Row],[Dupes]],Y9S1[],7,FALSE), 0) +
IFERROR(VLOOKUP(CombinedStack[[#This Row],[Dupes]],Y8S4[],7,FALSE), 0)</f>
        <v>1</v>
      </c>
      <c r="H77" s="40">
        <f>IFERROR(VLOOKUP(CombinedStack[[#This Row],[Dupes]],Y9S1[],8,FALSE), 0)+
IFERROR(VLOOKUP(CombinedStack[[#This Row],[Dupes]],Y8S4[],8,FALSE), 0)</f>
        <v>1</v>
      </c>
      <c r="I77" s="40">
        <f>$G77+$H77</f>
        <v>2</v>
      </c>
      <c r="J77" s="50">
        <f>G77/(H77+G77)</f>
        <v>0.5</v>
      </c>
      <c r="K77" s="51" t="e">
        <f>(CombinedStack[[#This Row],[Wins]]-CombinedStack[[#This Row],[Losses]]/SUM(CombinedStack[Games Played]))/10</f>
        <v>#VALUE!</v>
      </c>
      <c r="L77" s="68"/>
    </row>
    <row r="78" spans="1:12">
      <c r="A78" s="40" t="str">
        <f>_xlfn.TEXTJOIN(",",TRUE,_xlfn._xlws.SORT(_xlfn.TEXTSPLIT(_xlfn.TEXTJOIN(",",TRUE,_xlfn._xlws.SORT($B78:$F78, 1, -1, FALSE)),"WWWWW",",")))</f>
        <v>Boomerjet123,Chromius.TAMU,Kermitt.MB,Timythiccums.MB</v>
      </c>
      <c r="B78" s="115" t="s">
        <v>77</v>
      </c>
      <c r="C78" s="101" t="s">
        <v>81</v>
      </c>
      <c r="D78" s="130" t="s">
        <v>109</v>
      </c>
      <c r="E78" s="101" t="s">
        <v>118</v>
      </c>
      <c r="F78" s="126" t="s">
        <v>180</v>
      </c>
      <c r="G78" s="108">
        <f>IFERROR(VLOOKUP(CombinedStack[[#This Row],[Dupes]],Y9S1[],7,FALSE), 0) +
IFERROR(VLOOKUP(CombinedStack[[#This Row],[Dupes]],Y8S4[],7,FALSE), 0)</f>
        <v>1</v>
      </c>
      <c r="H78" s="40">
        <f>IFERROR(VLOOKUP(CombinedStack[[#This Row],[Dupes]],Y9S1[],8,FALSE), 0)+
IFERROR(VLOOKUP(CombinedStack[[#This Row],[Dupes]],Y8S4[],8,FALSE), 0)</f>
        <v>1</v>
      </c>
      <c r="I78" s="40">
        <f>$G78+$H78</f>
        <v>2</v>
      </c>
      <c r="J78" s="50">
        <f>G78/(H78+G78)</f>
        <v>0.5</v>
      </c>
      <c r="K78" s="51" t="e">
        <f>(CombinedStack[[#This Row],[Wins]]-CombinedStack[[#This Row],[Losses]]/SUM(CombinedStack[Games Played]))/10</f>
        <v>#VALUE!</v>
      </c>
      <c r="L78" s="68"/>
    </row>
    <row r="79" spans="1:12">
      <c r="A79" s="40" t="str">
        <f>_xlfn.TEXTJOIN(",",TRUE,_xlfn._xlws.SORT(_xlfn.TEXTSPLIT(_xlfn.TEXTJOIN(",",TRUE,_xlfn._xlws.SORT($B79:$F79, 1, -1, FALSE)),"WWWWW",",")))</f>
        <v>Chromius.TAMU,Galahad21588,Timythiccums.MB</v>
      </c>
      <c r="B79" s="41" t="s">
        <v>77</v>
      </c>
      <c r="C79" s="42" t="s">
        <v>81</v>
      </c>
      <c r="D79" s="42" t="s">
        <v>96</v>
      </c>
      <c r="E79" s="128" t="s">
        <v>180</v>
      </c>
      <c r="F79" s="125" t="s">
        <v>180</v>
      </c>
      <c r="G79" s="108">
        <f>IFERROR(VLOOKUP(CombinedStack[[#This Row],[Dupes]],Y9S1[],7,FALSE), 0) +
IFERROR(VLOOKUP(CombinedStack[[#This Row],[Dupes]],Y8S4[],7,FALSE), 0)</f>
        <v>1</v>
      </c>
      <c r="H79" s="40">
        <f>IFERROR(VLOOKUP(CombinedStack[[#This Row],[Dupes]],Y9S1[],8,FALSE), 0)+
IFERROR(VLOOKUP(CombinedStack[[#This Row],[Dupes]],Y8S4[],8,FALSE), 0)</f>
        <v>1</v>
      </c>
      <c r="I79" s="40">
        <f>$G79+$H79</f>
        <v>2</v>
      </c>
      <c r="J79" s="43">
        <f>G79/(H79+G79)</f>
        <v>0.5</v>
      </c>
      <c r="K79" s="44" t="e">
        <f>(CombinedStack[[#This Row],[Wins]]-CombinedStack[[#This Row],[Losses]]/SUM(CombinedStack[Games Played]))/10</f>
        <v>#VALUE!</v>
      </c>
      <c r="L79" s="67" t="s">
        <v>209</v>
      </c>
    </row>
    <row r="80" spans="1:12">
      <c r="A80" s="40" t="str">
        <f>_xlfn.TEXTJOIN(",",TRUE,_xlfn._xlws.SORT(_xlfn.TEXTSPLIT(_xlfn.TEXTJOIN(",",TRUE,_xlfn._xlws.SORT($B80:$F80, 1, -1, FALSE)),"WWWWW",",")))</f>
        <v>Chromius.TAMU,Glonk.MB,MrFish,Penguy</v>
      </c>
      <c r="B80" s="41" t="s">
        <v>162</v>
      </c>
      <c r="C80" s="41" t="s">
        <v>77</v>
      </c>
      <c r="D80" s="147" t="s">
        <v>210</v>
      </c>
      <c r="E80" s="180" t="s">
        <v>211</v>
      </c>
      <c r="F80" s="125" t="s">
        <v>180</v>
      </c>
      <c r="G80" s="108">
        <f>IFERROR(VLOOKUP(CombinedStack[[#This Row],[Dupes]],Y9S1[],7,FALSE), 0) +
IFERROR(VLOOKUP(CombinedStack[[#This Row],[Dupes]],Y8S4[],7,FALSE), 0)</f>
        <v>1</v>
      </c>
      <c r="H80" s="40">
        <f>IFERROR(VLOOKUP(CombinedStack[[#This Row],[Dupes]],Y9S1[],8,FALSE), 0)+
IFERROR(VLOOKUP(CombinedStack[[#This Row],[Dupes]],Y8S4[],8,FALSE), 0)</f>
        <v>1</v>
      </c>
      <c r="I80" s="40">
        <f>$G80+$H80</f>
        <v>2</v>
      </c>
      <c r="J80" s="43">
        <f>G80/(H80+G80)</f>
        <v>0.5</v>
      </c>
      <c r="K80" s="44" t="e">
        <f>(CombinedStack[[#This Row],[Wins]]-CombinedStack[[#This Row],[Losses]]/SUM(CombinedStack[Games Played]))/10</f>
        <v>#VALUE!</v>
      </c>
      <c r="L80" s="67"/>
    </row>
    <row r="81" spans="1:12">
      <c r="A81" s="40" t="str">
        <f>_xlfn.TEXTJOIN(",",TRUE,_xlfn._xlws.SORT(_xlfn.TEXTSPLIT(_xlfn.TEXTJOIN(",",TRUE,_xlfn._xlws.SORT($B81:$F81, 1, -1, FALSE)),"WWWWW",",")))</f>
        <v>Chromius.TAMU,Glonk.MB,Timythiccums.MB</v>
      </c>
      <c r="B81" s="41" t="s">
        <v>162</v>
      </c>
      <c r="C81" s="101" t="s">
        <v>77</v>
      </c>
      <c r="D81" s="101" t="s">
        <v>81</v>
      </c>
      <c r="E81" s="129" t="s">
        <v>180</v>
      </c>
      <c r="F81" s="126" t="s">
        <v>180</v>
      </c>
      <c r="G81" s="108">
        <f>IFERROR(VLOOKUP(CombinedStack[[#This Row],[Dupes]],Y9S1[],7,FALSE), 0) +
IFERROR(VLOOKUP(CombinedStack[[#This Row],[Dupes]],Y8S4[],7,FALSE), 0)</f>
        <v>1</v>
      </c>
      <c r="H81" s="40">
        <f>IFERROR(VLOOKUP(CombinedStack[[#This Row],[Dupes]],Y9S1[],8,FALSE), 0)+
IFERROR(VLOOKUP(CombinedStack[[#This Row],[Dupes]],Y8S4[],8,FALSE), 0)</f>
        <v>1</v>
      </c>
      <c r="I81" s="40">
        <f>$G81+$H81</f>
        <v>2</v>
      </c>
      <c r="J81" s="50">
        <f>G81/(H81+G81)</f>
        <v>0.5</v>
      </c>
      <c r="K81" s="44" t="e">
        <f>(CombinedStack[[#This Row],[Wins]]-CombinedStack[[#This Row],[Losses]]/SUM(CombinedStack[Games Played]))/10</f>
        <v>#VALUE!</v>
      </c>
      <c r="L81" s="68"/>
    </row>
    <row r="82" spans="1:12">
      <c r="A82" s="40" t="str">
        <f>_xlfn.TEXTJOIN(",",TRUE,_xlfn._xlws.SORT(_xlfn.TEXTSPLIT(_xlfn.TEXTJOIN(",",TRUE,_xlfn._xlws.SORT($B82:$F82, 1, -1, FALSE)),"WWWWW",",")))</f>
        <v>Coolrocket.TAMU,Fallen.Cortex,Fallen.Rqnger,Glonk.MB,Kermitt.MB</v>
      </c>
      <c r="B82" s="41" t="s">
        <v>162</v>
      </c>
      <c r="C82" s="101" t="s">
        <v>86</v>
      </c>
      <c r="D82" s="101" t="s">
        <v>140</v>
      </c>
      <c r="E82" s="117" t="s">
        <v>118</v>
      </c>
      <c r="F82" s="134" t="s">
        <v>138</v>
      </c>
      <c r="G82" s="108">
        <f>IFERROR(VLOOKUP(CombinedStack[[#This Row],[Dupes]],Y9S1[],7,FALSE), 0) +
IFERROR(VLOOKUP(CombinedStack[[#This Row],[Dupes]],Y8S4[],7,FALSE), 0)</f>
        <v>1</v>
      </c>
      <c r="H82" s="40">
        <f>IFERROR(VLOOKUP(CombinedStack[[#This Row],[Dupes]],Y9S1[],8,FALSE), 0)+
IFERROR(VLOOKUP(CombinedStack[[#This Row],[Dupes]],Y8S4[],8,FALSE), 0)</f>
        <v>1</v>
      </c>
      <c r="I82" s="40">
        <f>$G82+$H82</f>
        <v>2</v>
      </c>
      <c r="J82" s="50">
        <f>G82/(H82+G82)</f>
        <v>0.5</v>
      </c>
      <c r="K82" s="51" t="e">
        <f>(CombinedStack[[#This Row],[Wins]]-CombinedStack[[#This Row],[Losses]]/SUM(CombinedStack[Games Played]))/10</f>
        <v>#VALUE!</v>
      </c>
      <c r="L82" s="68"/>
    </row>
    <row r="83" spans="1:12">
      <c r="A83" s="40" t="str">
        <f>_xlfn.TEXTJOIN(",",TRUE,_xlfn._xlws.SORT(_xlfn.TEXTSPLIT(_xlfn.TEXTJOIN(",",TRUE,_xlfn._xlws.SORT($B83:$F83, 1, -1, FALSE)),"WWWWW",",")))</f>
        <v>Fallen.Rqnger,Glonk.MB,Kermitt.MB,Notlappland,Timythiccums.MB</v>
      </c>
      <c r="B83" s="41" t="s">
        <v>162</v>
      </c>
      <c r="C83" s="42" t="s">
        <v>86</v>
      </c>
      <c r="D83" s="42" t="s">
        <v>118</v>
      </c>
      <c r="E83" s="129" t="s">
        <v>81</v>
      </c>
      <c r="F83" s="126" t="s">
        <v>184</v>
      </c>
      <c r="G83" s="108">
        <f>IFERROR(VLOOKUP(CombinedStack[[#This Row],[Dupes]],Y9S1[],7,FALSE), 0) +
IFERROR(VLOOKUP(CombinedStack[[#This Row],[Dupes]],Y8S4[],7,FALSE), 0)</f>
        <v>1</v>
      </c>
      <c r="H83" s="40">
        <f>IFERROR(VLOOKUP(CombinedStack[[#This Row],[Dupes]],Y9S1[],8,FALSE), 0)+
IFERROR(VLOOKUP(CombinedStack[[#This Row],[Dupes]],Y8S4[],8,FALSE), 0)</f>
        <v>1</v>
      </c>
      <c r="I83" s="40">
        <f>$G83+$H83</f>
        <v>2</v>
      </c>
      <c r="J83" s="43">
        <f>G83/(H83+G83)</f>
        <v>0.5</v>
      </c>
      <c r="K83" s="44" t="e">
        <f>(CombinedStack[[#This Row],[Wins]]-CombinedStack[[#This Row],[Losses]]/SUM(CombinedStack[Games Played]))/10</f>
        <v>#VALUE!</v>
      </c>
      <c r="L83" s="67"/>
    </row>
    <row r="84" spans="1:12">
      <c r="A84" s="40" t="str">
        <f>_xlfn.TEXTJOIN(",",TRUE,_xlfn._xlws.SORT(_xlfn.TEXTSPLIT(_xlfn.TEXTJOIN(",",TRUE,_xlfn._xlws.SORT($B84:$F84, 1, -1, FALSE)),"WWWWW",",")))</f>
        <v>_,_,_,Acceptable,Minimum</v>
      </c>
      <c r="B84" s="123" t="s">
        <v>212</v>
      </c>
      <c r="C84" s="124" t="s">
        <v>212</v>
      </c>
      <c r="D84" s="124" t="s">
        <v>213</v>
      </c>
      <c r="E84" s="124" t="s">
        <v>214</v>
      </c>
      <c r="F84" s="124" t="s">
        <v>212</v>
      </c>
      <c r="G84" s="108">
        <f>IFERROR(VLOOKUP(CombinedStack[[#This Row],[Dupes]],Y9S1[],7,FALSE), 0) +
IFERROR(VLOOKUP(CombinedStack[[#This Row],[Dupes]],Y8S4[],7,FALSE), 0)</f>
        <v>0</v>
      </c>
      <c r="H84" s="40">
        <f>IFERROR(VLOOKUP(CombinedStack[[#This Row],[Dupes]],Y9S1[],8,FALSE), 0)+
IFERROR(VLOOKUP(CombinedStack[[#This Row],[Dupes]],Y8S4[],8,FALSE), 0)</f>
        <v>0</v>
      </c>
      <c r="I84" s="40">
        <f>$G84+$H84</f>
        <v>0</v>
      </c>
      <c r="J84" s="43">
        <v>0.49990000000000001</v>
      </c>
      <c r="K84" s="44" t="e">
        <f>(CombinedStack[[#This Row],[Wins]]-CombinedStack[[#This Row],[Losses]]/SUM(CombinedStack[Games Played]))/10</f>
        <v>#VALUE!</v>
      </c>
      <c r="L84" s="67"/>
    </row>
    <row r="85" spans="1:12">
      <c r="A85" s="40" t="str">
        <f>_xlfn.TEXTJOIN(",",TRUE,_xlfn._xlws.SORT(_xlfn.TEXTSPLIT(_xlfn.TEXTJOIN(",",TRUE,_xlfn._xlws.SORT($B85:$F85, 1, -1, FALSE)),"WWWWW",",")))</f>
        <v>Chromius.TAMU,Galahad21588</v>
      </c>
      <c r="B85" s="41" t="s">
        <v>77</v>
      </c>
      <c r="C85" s="42" t="s">
        <v>96</v>
      </c>
      <c r="D85" s="126" t="s">
        <v>180</v>
      </c>
      <c r="E85" s="129" t="s">
        <v>180</v>
      </c>
      <c r="F85" s="126" t="s">
        <v>180</v>
      </c>
      <c r="G85" s="108">
        <f>IFERROR(VLOOKUP(CombinedStack[[#This Row],[Dupes]],Y9S1[],7,FALSE), 0) +
IFERROR(VLOOKUP(CombinedStack[[#This Row],[Dupes]],Y8S4[],7,FALSE), 0)</f>
        <v>2</v>
      </c>
      <c r="H85" s="40">
        <f>IFERROR(VLOOKUP(CombinedStack[[#This Row],[Dupes]],Y9S1[],8,FALSE), 0)+
IFERROR(VLOOKUP(CombinedStack[[#This Row],[Dupes]],Y8S4[],8,FALSE), 0)</f>
        <v>4</v>
      </c>
      <c r="I85" s="40">
        <f>$G85+$H85</f>
        <v>6</v>
      </c>
      <c r="J85" s="43">
        <f>G85/(H85+G85)</f>
        <v>0.33333333333333331</v>
      </c>
      <c r="K85" s="44" t="e">
        <f>(CombinedStack[[#This Row],[Wins]]-CombinedStack[[#This Row],[Losses]]/SUM(CombinedStack[Games Played]))/10</f>
        <v>#VALUE!</v>
      </c>
      <c r="L85" s="67"/>
    </row>
    <row r="86" spans="1:12">
      <c r="A86" s="40" t="str">
        <f>_xlfn.TEXTJOIN(",",TRUE,_xlfn._xlws.SORT(_xlfn.TEXTSPLIT(_xlfn.TEXTJOIN(",",TRUE,_xlfn._xlws.SORT($B86:$F86, 1, -1, FALSE)),"WWWWW",",")))</f>
        <v>Chromius.TAMU,Fallen.Rqnger,Glonk.MB,Nobetterdough,Rat_Squilla</v>
      </c>
      <c r="B86" s="101" t="s">
        <v>77</v>
      </c>
      <c r="C86" s="41" t="s">
        <v>162</v>
      </c>
      <c r="D86" s="132" t="s">
        <v>86</v>
      </c>
      <c r="E86" s="176" t="s">
        <v>152</v>
      </c>
      <c r="F86" s="132" t="s">
        <v>125</v>
      </c>
      <c r="G86" s="108">
        <f>IFERROR(VLOOKUP(CombinedStack[[#This Row],[Dupes]],Y9S1[],7,FALSE), 0) +
IFERROR(VLOOKUP(CombinedStack[[#This Row],[Dupes]],Y8S4[],7,FALSE), 0)</f>
        <v>1</v>
      </c>
      <c r="H86" s="40">
        <f>IFERROR(VLOOKUP(CombinedStack[[#This Row],[Dupes]],Y9S1[],8,FALSE), 0)+
IFERROR(VLOOKUP(CombinedStack[[#This Row],[Dupes]],Y8S4[],8,FALSE), 0)</f>
        <v>2</v>
      </c>
      <c r="I86" s="40">
        <f>$G86+$H86</f>
        <v>3</v>
      </c>
      <c r="J86" s="50">
        <f>G86/(H86+G86)</f>
        <v>0.33333333333333331</v>
      </c>
      <c r="K86" s="51" t="e">
        <f>(CombinedStack[[#This Row],[Wins]]-CombinedStack[[#This Row],[Losses]]/SUM(CombinedStack[Games Played]))/10</f>
        <v>#VALUE!</v>
      </c>
      <c r="L86" s="68"/>
    </row>
    <row r="87" spans="1:12">
      <c r="A87" s="40" t="str">
        <f>_xlfn.TEXTJOIN(",",TRUE,_xlfn._xlws.SORT(_xlfn.TEXTSPLIT(_xlfn.TEXTJOIN(",",TRUE,_xlfn._xlws.SORT($B87:$F87, 1, -1, FALSE)),"WWWWW",",")))</f>
        <v>Chromius.TAMU,Fallen.Rqnger,Notlappland,Timythiccums.MB</v>
      </c>
      <c r="B87" s="115" t="s">
        <v>77</v>
      </c>
      <c r="C87" s="101" t="s">
        <v>81</v>
      </c>
      <c r="D87" s="101" t="s">
        <v>86</v>
      </c>
      <c r="E87" s="101" t="s">
        <v>184</v>
      </c>
      <c r="F87" s="129" t="s">
        <v>180</v>
      </c>
      <c r="G87" s="108">
        <f>IFERROR(VLOOKUP(CombinedStack[[#This Row],[Dupes]],Y9S1[],7,FALSE), 0) +
IFERROR(VLOOKUP(CombinedStack[[#This Row],[Dupes]],Y8S4[],7,FALSE), 0)</f>
        <v>1</v>
      </c>
      <c r="H87" s="40">
        <f>IFERROR(VLOOKUP(CombinedStack[[#This Row],[Dupes]],Y9S1[],8,FALSE), 0)+
IFERROR(VLOOKUP(CombinedStack[[#This Row],[Dupes]],Y8S4[],8,FALSE), 0)</f>
        <v>2</v>
      </c>
      <c r="I87" s="40">
        <f>$G87+$H87</f>
        <v>3</v>
      </c>
      <c r="J87" s="50">
        <f>G87/(H87+G87)</f>
        <v>0.33333333333333331</v>
      </c>
      <c r="K87" s="51" t="e">
        <f>(CombinedStack[[#This Row],[Wins]]-CombinedStack[[#This Row],[Losses]]/SUM(CombinedStack[Games Played]))/10</f>
        <v>#VALUE!</v>
      </c>
      <c r="L87" s="68"/>
    </row>
    <row r="88" spans="1:12">
      <c r="A88" s="40" t="str">
        <f>_xlfn.TEXTJOIN(",",TRUE,_xlfn._xlws.SORT(_xlfn.TEXTSPLIT(_xlfn.TEXTJOIN(",",TRUE,_xlfn._xlws.SORT($B88:$F88, 1, -1, FALSE)),"WWWWW",",")))</f>
        <v>Chromius.TAMU,Galahad21588,Kermitt.MB,Nobetterdough,Timythiccums.MB</v>
      </c>
      <c r="B88" s="41" t="s">
        <v>77</v>
      </c>
      <c r="C88" s="42" t="s">
        <v>81</v>
      </c>
      <c r="D88" s="42" t="s">
        <v>118</v>
      </c>
      <c r="E88" s="177" t="s">
        <v>96</v>
      </c>
      <c r="F88" s="42" t="s">
        <v>125</v>
      </c>
      <c r="G88" s="108">
        <f>IFERROR(VLOOKUP(CombinedStack[[#This Row],[Dupes]],Y9S1[],7,FALSE), 0) +
IFERROR(VLOOKUP(CombinedStack[[#This Row],[Dupes]],Y8S4[],7,FALSE), 0)</f>
        <v>1</v>
      </c>
      <c r="H88" s="40">
        <f>IFERROR(VLOOKUP(CombinedStack[[#This Row],[Dupes]],Y9S1[],8,FALSE), 0)+
IFERROR(VLOOKUP(CombinedStack[[#This Row],[Dupes]],Y8S4[],8,FALSE), 0)</f>
        <v>2</v>
      </c>
      <c r="I88" s="40">
        <f>$G88+$H88</f>
        <v>3</v>
      </c>
      <c r="J88" s="43">
        <f>G88/(H88+G88)</f>
        <v>0.33333333333333331</v>
      </c>
      <c r="K88" s="44" t="e">
        <f>(CombinedStack[[#This Row],[Wins]]-CombinedStack[[#This Row],[Losses]]/SUM(CombinedStack[Games Played]))/10</f>
        <v>#VALUE!</v>
      </c>
      <c r="L88" s="67"/>
    </row>
    <row r="89" spans="1:12">
      <c r="A89" s="40" t="str">
        <f>_xlfn.TEXTJOIN(",",TRUE,_xlfn._xlws.SORT(_xlfn.TEXTSPLIT(_xlfn.TEXTJOIN(",",TRUE,_xlfn._xlws.SORT($B89:$F89, 1, -1, FALSE)),"WWWWW",",")))</f>
        <v>catsanddog123,Chromius.TAMU,Darwin,lostarkwhale</v>
      </c>
      <c r="B89" s="137" t="s">
        <v>77</v>
      </c>
      <c r="C89" s="139" t="s">
        <v>164</v>
      </c>
      <c r="D89" s="142" t="s">
        <v>157</v>
      </c>
      <c r="E89" s="143" t="s">
        <v>215</v>
      </c>
      <c r="F89" s="126" t="s">
        <v>180</v>
      </c>
      <c r="G89" s="108">
        <f>IFERROR(VLOOKUP(CombinedStack[[#This Row],[Dupes]],Y9S1[],7,FALSE), 0) +
IFERROR(VLOOKUP(CombinedStack[[#This Row],[Dupes]],Y8S4[],7,FALSE), 0)</f>
        <v>1</v>
      </c>
      <c r="H89" s="40">
        <f>IFERROR(VLOOKUP(CombinedStack[[#This Row],[Dupes]],Y9S1[],8,FALSE), 0)+
IFERROR(VLOOKUP(CombinedStack[[#This Row],[Dupes]],Y8S4[],8,FALSE), 0)</f>
        <v>2</v>
      </c>
      <c r="I89" s="40">
        <v>3</v>
      </c>
      <c r="J89" s="97">
        <v>0.33329999999999999</v>
      </c>
      <c r="K89" s="98">
        <v>9.9199999999999997E-2</v>
      </c>
      <c r="L89" s="96"/>
    </row>
    <row r="90" spans="1:12">
      <c r="A90" s="40" t="str">
        <f>_xlfn.TEXTJOIN(",",TRUE,_xlfn._xlws.SORT(_xlfn.TEXTSPLIT(_xlfn.TEXTJOIN(",",TRUE,_xlfn._xlws.SORT($B90:$F90, 1, -1, FALSE)),"WWWWW",",")))</f>
        <v>Blade2420,Chromius.TAMU,Galahad21588,Glonk.MB,Timythiccums.MB</v>
      </c>
      <c r="B90" s="41" t="s">
        <v>77</v>
      </c>
      <c r="C90" s="42" t="s">
        <v>162</v>
      </c>
      <c r="D90" s="42" t="s">
        <v>81</v>
      </c>
      <c r="E90" s="135" t="s">
        <v>96</v>
      </c>
      <c r="F90" s="128" t="s">
        <v>113</v>
      </c>
      <c r="G90" s="108">
        <f>IFERROR(VLOOKUP(CombinedStack[[#This Row],[Dupes]],Y9S1[],7,FALSE), 0) +
IFERROR(VLOOKUP(CombinedStack[[#This Row],[Dupes]],Y8S4[],7,FALSE), 0)</f>
        <v>1</v>
      </c>
      <c r="H90" s="40">
        <f>IFERROR(VLOOKUP(CombinedStack[[#This Row],[Dupes]],Y9S1[],8,FALSE), 0)+
IFERROR(VLOOKUP(CombinedStack[[#This Row],[Dupes]],Y8S4[],8,FALSE), 0)</f>
        <v>3</v>
      </c>
      <c r="I90" s="40">
        <f>$G90+$H90</f>
        <v>4</v>
      </c>
      <c r="J90" s="43">
        <f>G90/(H90+G90)</f>
        <v>0.25</v>
      </c>
      <c r="K90" s="44" t="e">
        <f>(CombinedStack[[#This Row],[Wins]]-CombinedStack[[#This Row],[Losses]]/SUM(CombinedStack[Games Played]))/10</f>
        <v>#VALUE!</v>
      </c>
      <c r="L90" s="67" t="s">
        <v>216</v>
      </c>
    </row>
    <row r="91" spans="1:12">
      <c r="A91" s="40" t="str">
        <f>_xlfn.TEXTJOIN(",",TRUE,_xlfn._xlws.SORT(_xlfn.TEXTSPLIT(_xlfn.TEXTJOIN(",",TRUE,_xlfn._xlws.SORT($B91:$F91, 1, -1, FALSE)),"WWWWW",",")))</f>
        <v>Boomerjet123,Chromius.TAMU,Galahad21588,Koyeetchi,Mason10_10</v>
      </c>
      <c r="B91" s="115" t="s">
        <v>77</v>
      </c>
      <c r="C91" s="101" t="s">
        <v>109</v>
      </c>
      <c r="D91" s="101" t="s">
        <v>96</v>
      </c>
      <c r="E91" s="132" t="s">
        <v>144</v>
      </c>
      <c r="F91" s="132" t="s">
        <v>115</v>
      </c>
      <c r="G91" s="108">
        <f>IFERROR(VLOOKUP(CombinedStack[[#This Row],[Dupes]],Y9S1[],7,FALSE), 0) +
IFERROR(VLOOKUP(CombinedStack[[#This Row],[Dupes]],Y8S4[],7,FALSE), 0)</f>
        <v>0</v>
      </c>
      <c r="H91" s="40">
        <f>IFERROR(VLOOKUP(CombinedStack[[#This Row],[Dupes]],Y9S1[],8,FALSE), 0)+
IFERROR(VLOOKUP(CombinedStack[[#This Row],[Dupes]],Y8S4[],8,FALSE), 0)</f>
        <v>2</v>
      </c>
      <c r="I91" s="40">
        <f>$G91+$H91</f>
        <v>2</v>
      </c>
      <c r="J91" s="43">
        <f>G91/(H91+G91)</f>
        <v>0</v>
      </c>
      <c r="K91" s="44" t="e">
        <f>(CombinedStack[[#This Row],[Wins]]-CombinedStack[[#This Row],[Losses]]/SUM(CombinedStack[Games Played]))/10</f>
        <v>#VALUE!</v>
      </c>
      <c r="L91" s="68"/>
    </row>
    <row r="92" spans="1:12">
      <c r="A92" s="40" t="str">
        <f>_xlfn.TEXTJOIN(",",TRUE,_xlfn._xlws.SORT(_xlfn.TEXTSPLIT(_xlfn.TEXTJOIN(",",TRUE,_xlfn._xlws.SORT($B92:$F92, 1, -1, FALSE)),"WWWWW",",")))</f>
        <v>Chromius.TAMU,Coolrocket.TAMU</v>
      </c>
      <c r="B92" s="41" t="s">
        <v>77</v>
      </c>
      <c r="C92" s="42" t="s">
        <v>138</v>
      </c>
      <c r="D92" s="126" t="s">
        <v>180</v>
      </c>
      <c r="E92" s="126" t="s">
        <v>180</v>
      </c>
      <c r="F92" s="126" t="s">
        <v>180</v>
      </c>
      <c r="G92" s="108">
        <f>IFERROR(VLOOKUP(CombinedStack[[#This Row],[Dupes]],Y9S1[],7,FALSE), 0) +
IFERROR(VLOOKUP(CombinedStack[[#This Row],[Dupes]],Y8S4[],7,FALSE), 0)</f>
        <v>0</v>
      </c>
      <c r="H92" s="40">
        <f>IFERROR(VLOOKUP(CombinedStack[[#This Row],[Dupes]],Y9S1[],8,FALSE), 0)+
IFERROR(VLOOKUP(CombinedStack[[#This Row],[Dupes]],Y8S4[],8,FALSE), 0)</f>
        <v>1</v>
      </c>
      <c r="I92" s="40">
        <f>$G92+$H92</f>
        <v>1</v>
      </c>
      <c r="J92" s="50">
        <f>IFERROR(G92/(H92+G92),0)</f>
        <v>0</v>
      </c>
      <c r="K92" s="44" t="e">
        <f>(CombinedStack[[#This Row],[Wins]]-CombinedStack[[#This Row],[Losses]]/SUM(CombinedStack[Games Played]))/10</f>
        <v>#VALUE!</v>
      </c>
      <c r="L92" s="67"/>
    </row>
    <row r="93" spans="1:12">
      <c r="A93" s="40" t="str">
        <f>_xlfn.TEXTJOIN(",",TRUE,_xlfn._xlws.SORT(_xlfn.TEXTSPLIT(_xlfn.TEXTJOIN(",",TRUE,_xlfn._xlws.SORT($B93:$F93, 1, -1, FALSE)),"WWWWW",",")))</f>
        <v>Chromius.TAMU,Dlehard.,Kermitt.MB,Rat_Squilla</v>
      </c>
      <c r="B93" s="115" t="s">
        <v>77</v>
      </c>
      <c r="C93" s="126" t="s">
        <v>121</v>
      </c>
      <c r="D93" s="127" t="s">
        <v>152</v>
      </c>
      <c r="E93" s="129" t="s">
        <v>118</v>
      </c>
      <c r="F93" s="126" t="s">
        <v>180</v>
      </c>
      <c r="G93" s="108">
        <f>IFERROR(VLOOKUP(CombinedStack[[#This Row],[Dupes]],Y9S1[],7,FALSE), 0) +
IFERROR(VLOOKUP(CombinedStack[[#This Row],[Dupes]],Y8S4[],7,FALSE), 0)</f>
        <v>0</v>
      </c>
      <c r="H93" s="40">
        <f>IFERROR(VLOOKUP(CombinedStack[[#This Row],[Dupes]],Y9S1[],8,FALSE), 0)+
IFERROR(VLOOKUP(CombinedStack[[#This Row],[Dupes]],Y8S4[],8,FALSE), 0)</f>
        <v>1</v>
      </c>
      <c r="I93" s="40">
        <f>$G93+$H93</f>
        <v>1</v>
      </c>
      <c r="J93" s="50">
        <f>G93/(H93+G93)</f>
        <v>0</v>
      </c>
      <c r="K93" s="44" t="e">
        <f>(CombinedStack[[#This Row],[Wins]]-CombinedStack[[#This Row],[Losses]]/SUM(CombinedStack[Games Played]))/10</f>
        <v>#VALUE!</v>
      </c>
      <c r="L93" s="68"/>
    </row>
    <row r="94" spans="1:12">
      <c r="A94" s="40" t="str">
        <f>_xlfn.TEXTJOIN(",",TRUE,_xlfn._xlws.SORT(_xlfn.TEXTSPLIT(_xlfn.TEXTJOIN(",",TRUE,_xlfn._xlws.SORT($B94:$F94, 1, -1, FALSE)),"WWWWW",",")))</f>
        <v>Chromius.TAMU,Fallen.Cortex,Fallen.Rqnger,Strugg1er.</v>
      </c>
      <c r="B94" s="41" t="s">
        <v>77</v>
      </c>
      <c r="C94" s="42" t="s">
        <v>140</v>
      </c>
      <c r="D94" s="42" t="s">
        <v>86</v>
      </c>
      <c r="E94" s="42" t="s">
        <v>111</v>
      </c>
      <c r="F94" s="125" t="s">
        <v>180</v>
      </c>
      <c r="G94" s="108">
        <f>IFERROR(VLOOKUP(CombinedStack[[#This Row],[Dupes]],Y9S1[],7,FALSE), 0) +
IFERROR(VLOOKUP(CombinedStack[[#This Row],[Dupes]],Y8S4[],7,FALSE), 0)</f>
        <v>0</v>
      </c>
      <c r="H94" s="40">
        <f>IFERROR(VLOOKUP(CombinedStack[[#This Row],[Dupes]],Y9S1[],8,FALSE), 0)+
IFERROR(VLOOKUP(CombinedStack[[#This Row],[Dupes]],Y8S4[],8,FALSE), 0)</f>
        <v>1</v>
      </c>
      <c r="I94" s="40">
        <f>$G94+$H94</f>
        <v>1</v>
      </c>
      <c r="J94" s="43">
        <f>G94/(H94+G94)</f>
        <v>0</v>
      </c>
      <c r="K94" s="44" t="e">
        <f>(CombinedStack[[#This Row],[Wins]]-CombinedStack[[#This Row],[Losses]]/SUM(CombinedStack[Games Played]))/10</f>
        <v>#VALUE!</v>
      </c>
      <c r="L94" s="67"/>
    </row>
    <row r="95" spans="1:12">
      <c r="A95" s="40" t="str">
        <f>_xlfn.TEXTJOIN(",",TRUE,_xlfn._xlws.SORT(_xlfn.TEXTSPLIT(_xlfn.TEXTJOIN(",",TRUE,_xlfn._xlws.SORT($B95:$F95, 1, -1, FALSE)),"WWWWW",",")))</f>
        <v>Chromius.TAMU,Fallen.Cortex,Timythiccums.MB</v>
      </c>
      <c r="B95" s="42" t="s">
        <v>77</v>
      </c>
      <c r="C95" s="42" t="s">
        <v>140</v>
      </c>
      <c r="D95" s="117" t="s">
        <v>81</v>
      </c>
      <c r="E95" s="125"/>
      <c r="F95" s="125"/>
      <c r="G95" s="108">
        <f>IFERROR(VLOOKUP(CombinedStack[[#This Row],[Dupes]],Y9S1[],7,FALSE), 0) +
IFERROR(VLOOKUP(CombinedStack[[#This Row],[Dupes]],Y8S4[],7,FALSE), 0)</f>
        <v>0</v>
      </c>
      <c r="H95" s="40">
        <f>IFERROR(VLOOKUP(CombinedStack[[#This Row],[Dupes]],Y9S1[],8,FALSE), 0)+
IFERROR(VLOOKUP(CombinedStack[[#This Row],[Dupes]],Y8S4[],8,FALSE), 0)</f>
        <v>2</v>
      </c>
      <c r="I95" s="40">
        <f>$G95+$H95</f>
        <v>2</v>
      </c>
      <c r="J95" s="50">
        <f>IFERROR(G95/(H95+G95),0)</f>
        <v>0</v>
      </c>
      <c r="K95" s="44" t="e">
        <f>(CombinedStack[[#This Row],[Wins]]-CombinedStack[[#This Row],[Losses]]/SUM(CombinedStack[Games Played]))/10</f>
        <v>#VALUE!</v>
      </c>
      <c r="L95" s="67"/>
    </row>
    <row r="96" spans="1:12">
      <c r="A96" s="40" t="str">
        <f>_xlfn.TEXTJOIN(",",TRUE,_xlfn._xlws.SORT(_xlfn.TEXTSPLIT(_xlfn.TEXTJOIN(",",TRUE,_xlfn._xlws.SORT($B96:$F96, 1, -1, FALSE)),"WWWWW",",")))</f>
        <v>Chromius.TAMU,Fallen.Rqnger,Kermitt.MB</v>
      </c>
      <c r="B96" s="41" t="s">
        <v>77</v>
      </c>
      <c r="C96" s="42" t="s">
        <v>86</v>
      </c>
      <c r="D96" s="42" t="s">
        <v>118</v>
      </c>
      <c r="E96" s="126"/>
      <c r="F96" s="126"/>
      <c r="G96" s="108">
        <f>IFERROR(VLOOKUP(CombinedStack[[#This Row],[Dupes]],Y9S1[],7,FALSE), 0) +
IFERROR(VLOOKUP(CombinedStack[[#This Row],[Dupes]],Y8S4[],7,FALSE), 0)</f>
        <v>0</v>
      </c>
      <c r="H96" s="40">
        <f>IFERROR(VLOOKUP(CombinedStack[[#This Row],[Dupes]],Y9S1[],8,FALSE), 0)+
IFERROR(VLOOKUP(CombinedStack[[#This Row],[Dupes]],Y8S4[],8,FALSE), 0)</f>
        <v>2</v>
      </c>
      <c r="I96" s="40">
        <f>$G96+$H96</f>
        <v>2</v>
      </c>
      <c r="J96" s="50">
        <f>IFERROR(G96/(H96+G96),0)</f>
        <v>0</v>
      </c>
      <c r="K96" s="44" t="e">
        <f>(CombinedStack[[#This Row],[Wins]]-CombinedStack[[#This Row],[Losses]]/SUM(CombinedStack[Games Played]))/10</f>
        <v>#VALUE!</v>
      </c>
      <c r="L96" s="67"/>
    </row>
    <row r="97" spans="1:18">
      <c r="A97" s="40" t="str">
        <f>_xlfn.TEXTJOIN(",",TRUE,_xlfn._xlws.SORT(_xlfn.TEXTSPLIT(_xlfn.TEXTJOIN(",",TRUE,_xlfn._xlws.SORT($B97:$F97, 1, -1, FALSE)),"WWWWW",",")))</f>
        <v>Chromius.TAMU,Fallen.Rqnger,Galahad21588,Kermitt.MB</v>
      </c>
      <c r="B97" s="41" t="s">
        <v>77</v>
      </c>
      <c r="C97" s="42" t="s">
        <v>86</v>
      </c>
      <c r="D97" s="42" t="s">
        <v>118</v>
      </c>
      <c r="E97" s="101" t="s">
        <v>96</v>
      </c>
      <c r="F97" s="125" t="s">
        <v>180</v>
      </c>
      <c r="G97" s="108">
        <f>IFERROR(VLOOKUP(CombinedStack[[#This Row],[Dupes]],Y9S1[],7,FALSE), 0) +
IFERROR(VLOOKUP(CombinedStack[[#This Row],[Dupes]],Y8S4[],7,FALSE), 0)</f>
        <v>0</v>
      </c>
      <c r="H97" s="40">
        <f>IFERROR(VLOOKUP(CombinedStack[[#This Row],[Dupes]],Y9S1[],8,FALSE), 0)+
IFERROR(VLOOKUP(CombinedStack[[#This Row],[Dupes]],Y8S4[],8,FALSE), 0)</f>
        <v>1</v>
      </c>
      <c r="I97" s="40">
        <f>$G97+$H97</f>
        <v>1</v>
      </c>
      <c r="J97" s="50">
        <f>G97/(H97+G97)</f>
        <v>0</v>
      </c>
      <c r="K97" s="44" t="e">
        <f>(CombinedStack[[#This Row],[Wins]]-CombinedStack[[#This Row],[Losses]]/SUM(CombinedStack[Games Played]))/10</f>
        <v>#VALUE!</v>
      </c>
      <c r="L97" s="68"/>
    </row>
    <row r="98" spans="1:18">
      <c r="A98" s="40" t="str">
        <f>_xlfn.TEXTJOIN(",",TRUE,_xlfn._xlws.SORT(_xlfn.TEXTSPLIT(_xlfn.TEXTJOIN(",",TRUE,_xlfn._xlws.SORT($B98:$F98, 1, -1, FALSE)),"WWWWW",",")))</f>
        <v>Chromius.TAMU,Fallen.Rqnger,Notlappland,ThiccPie.OU,Timythiccums.MB</v>
      </c>
      <c r="B98" s="41" t="s">
        <v>77</v>
      </c>
      <c r="C98" s="42" t="s">
        <v>86</v>
      </c>
      <c r="D98" s="42" t="s">
        <v>104</v>
      </c>
      <c r="E98" s="42" t="s">
        <v>81</v>
      </c>
      <c r="F98" s="42" t="s">
        <v>184</v>
      </c>
      <c r="G98" s="108">
        <f>IFERROR(VLOOKUP(CombinedStack[[#This Row],[Dupes]],Y9S1[],7,FALSE), 0) +
IFERROR(VLOOKUP(CombinedStack[[#This Row],[Dupes]],Y8S4[],7,FALSE), 0)</f>
        <v>0</v>
      </c>
      <c r="H98" s="40">
        <f>IFERROR(VLOOKUP(CombinedStack[[#This Row],[Dupes]],Y9S1[],8,FALSE), 0)+
IFERROR(VLOOKUP(CombinedStack[[#This Row],[Dupes]],Y8S4[],8,FALSE), 0)</f>
        <v>1</v>
      </c>
      <c r="I98" s="40">
        <f>$G98+$H98</f>
        <v>1</v>
      </c>
      <c r="J98" s="43">
        <f>G98/(H98+G98)</f>
        <v>0</v>
      </c>
      <c r="K98" s="44" t="e">
        <f>(CombinedStack[[#This Row],[Wins]]-CombinedStack[[#This Row],[Losses]]/SUM(CombinedStack[Games Played]))/10</f>
        <v>#VALUE!</v>
      </c>
      <c r="L98" s="67"/>
    </row>
    <row r="99" spans="1:18">
      <c r="A99" s="40" t="str">
        <f>_xlfn.TEXTJOIN(",",TRUE,_xlfn._xlws.SORT(_xlfn.TEXTSPLIT(_xlfn.TEXTJOIN(",",TRUE,_xlfn._xlws.SORT($B99:$F99, 1, -1, FALSE)),"WWWWW",",")))</f>
        <v>Blade2420,Chromius.TAMU,Galahad21588</v>
      </c>
      <c r="B99" s="115" t="s">
        <v>77</v>
      </c>
      <c r="C99" s="101" t="s">
        <v>96</v>
      </c>
      <c r="D99" s="127" t="s">
        <v>113</v>
      </c>
      <c r="E99" s="126" t="s">
        <v>180</v>
      </c>
      <c r="F99" s="126" t="s">
        <v>180</v>
      </c>
      <c r="G99" s="108">
        <f>IFERROR(VLOOKUP(CombinedStack[[#This Row],[Dupes]],Y9S1[],7,FALSE), 0) +
IFERROR(VLOOKUP(CombinedStack[[#This Row],[Dupes]],Y8S4[],7,FALSE), 0)</f>
        <v>0</v>
      </c>
      <c r="H99" s="40">
        <f>IFERROR(VLOOKUP(CombinedStack[[#This Row],[Dupes]],Y9S1[],8,FALSE), 0)+
IFERROR(VLOOKUP(CombinedStack[[#This Row],[Dupes]],Y8S4[],8,FALSE), 0)</f>
        <v>1</v>
      </c>
      <c r="I99" s="40">
        <f>$G99+$H99</f>
        <v>1</v>
      </c>
      <c r="J99" s="50">
        <f>G99/(H99+G99)</f>
        <v>0</v>
      </c>
      <c r="K99" s="44" t="e">
        <f>(CombinedStack[[#This Row],[Wins]]-CombinedStack[[#This Row],[Losses]]/SUM(CombinedStack[Games Played]))/10</f>
        <v>#VALUE!</v>
      </c>
      <c r="L99" s="68"/>
    </row>
    <row r="100" spans="1:18">
      <c r="A100" s="40" t="str">
        <f>_xlfn.TEXTJOIN(",",TRUE,_xlfn._xlws.SORT(_xlfn.TEXTSPLIT(_xlfn.TEXTJOIN(",",TRUE,_xlfn._xlws.SORT($B100:$F100, 1, -1, FALSE)),"WWWWW",",")))</f>
        <v>Boomerjet123,Chromius.TAMU,Fallen.Rqnger,Galahad21588,Kermitt.MB</v>
      </c>
      <c r="B100" s="115" t="s">
        <v>77</v>
      </c>
      <c r="C100" s="101" t="s">
        <v>96</v>
      </c>
      <c r="D100" s="101" t="s">
        <v>86</v>
      </c>
      <c r="E100" s="132" t="s">
        <v>109</v>
      </c>
      <c r="F100" s="101" t="s">
        <v>118</v>
      </c>
      <c r="G100" s="108">
        <f>IFERROR(VLOOKUP(CombinedStack[[#This Row],[Dupes]],Y9S1[],7,FALSE), 0) +
IFERROR(VLOOKUP(CombinedStack[[#This Row],[Dupes]],Y8S4[],7,FALSE), 0)</f>
        <v>0</v>
      </c>
      <c r="H100" s="40">
        <f>IFERROR(VLOOKUP(CombinedStack[[#This Row],[Dupes]],Y9S1[],8,FALSE), 0)+
IFERROR(VLOOKUP(CombinedStack[[#This Row],[Dupes]],Y8S4[],8,FALSE), 0)</f>
        <v>1</v>
      </c>
      <c r="I100" s="40">
        <f>$G100+$H100</f>
        <v>1</v>
      </c>
      <c r="J100" s="50">
        <f>G100/(H100+G100)</f>
        <v>0</v>
      </c>
      <c r="K100" s="44" t="e">
        <f>(CombinedStack[[#This Row],[Wins]]-CombinedStack[[#This Row],[Losses]]/SUM(CombinedStack[Games Played]))/10</f>
        <v>#VALUE!</v>
      </c>
      <c r="L100" s="68"/>
    </row>
    <row r="101" spans="1:18" ht="36">
      <c r="A101" s="40" t="str">
        <f>_xlfn.TEXTJOIN(",",TRUE,_xlfn._xlws.SORT(_xlfn.TEXTSPLIT(_xlfn.TEXTJOIN(",",TRUE,_xlfn._xlws.SORT($B101:$F101, 1, -1, FALSE)),"WWWWW",",")))</f>
        <v>Chromius.TAMU,Galahad21588,Kermitt.MB</v>
      </c>
      <c r="B101" s="41" t="s">
        <v>77</v>
      </c>
      <c r="C101" s="101" t="s">
        <v>96</v>
      </c>
      <c r="D101" s="42" t="s">
        <v>118</v>
      </c>
      <c r="E101" s="125"/>
      <c r="F101" s="125"/>
      <c r="G101" s="108">
        <f>IFERROR(VLOOKUP(CombinedStack[[#This Row],[Dupes]],Y9S1[],7,FALSE), 0) +
IFERROR(VLOOKUP(CombinedStack[[#This Row],[Dupes]],Y8S4[],7,FALSE), 0)</f>
        <v>0</v>
      </c>
      <c r="H101" s="40">
        <f>IFERROR(VLOOKUP(CombinedStack[[#This Row],[Dupes]],Y9S1[],8,FALSE), 0)+
IFERROR(VLOOKUP(CombinedStack[[#This Row],[Dupes]],Y8S4[],8,FALSE), 0)</f>
        <v>2</v>
      </c>
      <c r="I101" s="40">
        <f>$G101+$H101</f>
        <v>2</v>
      </c>
      <c r="J101" s="50">
        <f>IFERROR(G101/(H101+G101),0)</f>
        <v>0</v>
      </c>
      <c r="K101" s="44" t="e">
        <f>(CombinedStack[[#This Row],[Wins]]-CombinedStack[[#This Row],[Losses]]/SUM(CombinedStack[Games Played]))/10</f>
        <v>#VALUE!</v>
      </c>
      <c r="L101" s="68" t="s">
        <v>217</v>
      </c>
    </row>
    <row r="102" spans="1:18">
      <c r="A102" s="40" t="str">
        <f>_xlfn.TEXTJOIN(",",TRUE,_xlfn._xlws.SORT(_xlfn.TEXTSPLIT(_xlfn.TEXTJOIN(",",TRUE,_xlfn._xlws.SORT($B102:$F102, 1, -1, FALSE)),"WWWWW",",")))</f>
        <v>Boomerjet123,Chromius.TAMU,Fallen.Cortex,Glonk.MB,Timythiccums.MB</v>
      </c>
      <c r="B102" s="41" t="s">
        <v>77</v>
      </c>
      <c r="C102" s="42" t="s">
        <v>162</v>
      </c>
      <c r="D102" s="42" t="s">
        <v>109</v>
      </c>
      <c r="E102" s="42" t="s">
        <v>140</v>
      </c>
      <c r="F102" s="42" t="s">
        <v>81</v>
      </c>
      <c r="G102" s="108">
        <f>IFERROR(VLOOKUP(CombinedStack[[#This Row],[Dupes]],Y9S1[],7,FALSE), 0) +
IFERROR(VLOOKUP(CombinedStack[[#This Row],[Dupes]],Y8S4[],7,FALSE), 0)</f>
        <v>0</v>
      </c>
      <c r="H102" s="40">
        <f>IFERROR(VLOOKUP(CombinedStack[[#This Row],[Dupes]],Y9S1[],8,FALSE), 0)+
IFERROR(VLOOKUP(CombinedStack[[#This Row],[Dupes]],Y8S4[],8,FALSE), 0)</f>
        <v>2</v>
      </c>
      <c r="I102" s="40">
        <f>$G102+$H102</f>
        <v>2</v>
      </c>
      <c r="J102" s="50">
        <f>IFERROR(G102/(H102+G102),0)</f>
        <v>0</v>
      </c>
      <c r="K102" s="44" t="e">
        <f>(CombinedStack[[#This Row],[Wins]]-CombinedStack[[#This Row],[Losses]]/SUM(CombinedStack[Games Played]))/10</f>
        <v>#VALUE!</v>
      </c>
      <c r="L102" s="67"/>
    </row>
    <row r="103" spans="1:18">
      <c r="A103" s="40" t="str">
        <f>_xlfn.TEXTJOIN(",",TRUE,_xlfn._xlws.SORT(_xlfn.TEXTSPLIT(_xlfn.TEXTJOIN(",",TRUE,_xlfn._xlws.SORT($B103:$F103, 1, -1, FALSE)),"WWWWW",",")))</f>
        <v>Chromius.TAMU,Dlehard.,Fallen.Rqnger,Glonk.MB,Strix.BBy</v>
      </c>
      <c r="B103" s="41" t="s">
        <v>77</v>
      </c>
      <c r="C103" s="42" t="s">
        <v>162</v>
      </c>
      <c r="D103" s="42" t="s">
        <v>86</v>
      </c>
      <c r="E103" s="42" t="s">
        <v>121</v>
      </c>
      <c r="F103" s="125" t="s">
        <v>150</v>
      </c>
      <c r="G103" s="108">
        <f>IFERROR(VLOOKUP(CombinedStack[[#This Row],[Dupes]],Y9S1[],7,FALSE), 0) +
IFERROR(VLOOKUP(CombinedStack[[#This Row],[Dupes]],Y8S4[],7,FALSE), 0)</f>
        <v>0</v>
      </c>
      <c r="H103" s="40">
        <f>IFERROR(VLOOKUP(CombinedStack[[#This Row],[Dupes]],Y9S1[],8,FALSE), 0)+
IFERROR(VLOOKUP(CombinedStack[[#This Row],[Dupes]],Y8S4[],8,FALSE), 0)</f>
        <v>1</v>
      </c>
      <c r="I103" s="40">
        <f>$G103+$H103</f>
        <v>1</v>
      </c>
      <c r="J103" s="43">
        <f>G103/(H103+G103)</f>
        <v>0</v>
      </c>
      <c r="K103" s="44" t="e">
        <f>(CombinedStack[[#This Row],[Wins]]-CombinedStack[[#This Row],[Losses]]/SUM(CombinedStack[Games Played]))/10</f>
        <v>#VALUE!</v>
      </c>
      <c r="L103" s="67"/>
    </row>
    <row r="104" spans="1:18">
      <c r="A104" s="40" t="str">
        <f>_xlfn.TEXTJOIN(",",TRUE,_xlfn._xlws.SORT(_xlfn.TEXTSPLIT(_xlfn.TEXTJOIN(",",TRUE,_xlfn._xlws.SORT($B104:$F104, 1, -1, FALSE)),"WWWWW",",")))</f>
        <v>Chromius.TAMU,Fallen.Rqnger,Glonk.MB,Koyeetchi</v>
      </c>
      <c r="B104" s="115" t="s">
        <v>77</v>
      </c>
      <c r="C104" s="42" t="s">
        <v>162</v>
      </c>
      <c r="D104" s="101" t="s">
        <v>86</v>
      </c>
      <c r="E104" s="101" t="s">
        <v>144</v>
      </c>
      <c r="F104" s="126"/>
      <c r="G104" s="108">
        <f>IFERROR(VLOOKUP(CombinedStack[[#This Row],[Dupes]],Y9S1[],7,FALSE), 0) +
IFERROR(VLOOKUP(CombinedStack[[#This Row],[Dupes]],Y8S4[],7,FALSE), 0)</f>
        <v>0</v>
      </c>
      <c r="H104" s="40">
        <f>IFERROR(VLOOKUP(CombinedStack[[#This Row],[Dupes]],Y9S1[],8,FALSE), 0)+
IFERROR(VLOOKUP(CombinedStack[[#This Row],[Dupes]],Y8S4[],8,FALSE), 0)</f>
        <v>2</v>
      </c>
      <c r="I104" s="40">
        <f>$G104+$H104</f>
        <v>2</v>
      </c>
      <c r="J104" s="50">
        <f>IFERROR(G104/(H104+G104),0)</f>
        <v>0</v>
      </c>
      <c r="K104" s="44" t="e">
        <f>(CombinedStack[[#This Row],[Wins]]-CombinedStack[[#This Row],[Losses]]/SUM(CombinedStack[Games Played]))/10</f>
        <v>#VALUE!</v>
      </c>
      <c r="L104" s="68"/>
    </row>
    <row r="105" spans="1:18">
      <c r="A105" s="40" t="str">
        <f>_xlfn.TEXTJOIN(",",TRUE,_xlfn._xlws.SORT(_xlfn.TEXTSPLIT(_xlfn.TEXTJOIN(",",TRUE,_xlfn._xlws.SORT($B105:$F105, 1, -1, FALSE)),"WWWWW",",")))</f>
        <v>Blade2420,Chromius.TAMU,Galahad21588,Glonk.MB</v>
      </c>
      <c r="B105" s="41" t="s">
        <v>77</v>
      </c>
      <c r="C105" s="42" t="s">
        <v>162</v>
      </c>
      <c r="D105" s="42" t="s">
        <v>96</v>
      </c>
      <c r="E105" s="176" t="s">
        <v>113</v>
      </c>
      <c r="F105" s="125" t="s">
        <v>180</v>
      </c>
      <c r="G105" s="108">
        <f>IFERROR(VLOOKUP(CombinedStack[[#This Row],[Dupes]],Y9S1[],7,FALSE), 0) +
IFERROR(VLOOKUP(CombinedStack[[#This Row],[Dupes]],Y8S4[],7,FALSE), 0)</f>
        <v>0</v>
      </c>
      <c r="H105" s="40">
        <f>IFERROR(VLOOKUP(CombinedStack[[#This Row],[Dupes]],Y9S1[],8,FALSE), 0)+
IFERROR(VLOOKUP(CombinedStack[[#This Row],[Dupes]],Y8S4[],8,FALSE), 0)</f>
        <v>1</v>
      </c>
      <c r="I105" s="40">
        <f>$G105+$H105</f>
        <v>1</v>
      </c>
      <c r="J105" s="43">
        <f>G105/(H105+G105)</f>
        <v>0</v>
      </c>
      <c r="K105" s="44" t="e">
        <f>(CombinedStack[[#This Row],[Wins]]-CombinedStack[[#This Row],[Losses]]/SUM(CombinedStack[Games Played]))/10</f>
        <v>#VALUE!</v>
      </c>
      <c r="L105" s="67"/>
    </row>
    <row r="106" spans="1:18">
      <c r="A106" s="40" t="str">
        <f>_xlfn.TEXTJOIN(",",TRUE,_xlfn._xlws.SORT(_xlfn.TEXTSPLIT(_xlfn.TEXTJOIN(",",TRUE,_xlfn._xlws.SORT($B106:$F106, 1, -1, FALSE)),"WWWWW",",")))</f>
        <v>Chromius.TAMU,Galahad21588,Glonk.MB,lostarkwhale</v>
      </c>
      <c r="B106" s="41" t="s">
        <v>77</v>
      </c>
      <c r="C106" s="42" t="s">
        <v>162</v>
      </c>
      <c r="D106" s="42" t="s">
        <v>96</v>
      </c>
      <c r="E106" s="129" t="s">
        <v>164</v>
      </c>
      <c r="F106" s="126" t="s">
        <v>180</v>
      </c>
      <c r="G106" s="108">
        <f>IFERROR(VLOOKUP(CombinedStack[[#This Row],[Dupes]],Y9S1[],7,FALSE), 0) +
IFERROR(VLOOKUP(CombinedStack[[#This Row],[Dupes]],Y8S4[],7,FALSE), 0)</f>
        <v>0</v>
      </c>
      <c r="H106" s="40">
        <f>IFERROR(VLOOKUP(CombinedStack[[#This Row],[Dupes]],Y9S1[],8,FALSE), 0)+
IFERROR(VLOOKUP(CombinedStack[[#This Row],[Dupes]],Y8S4[],8,FALSE), 0)</f>
        <v>1</v>
      </c>
      <c r="I106" s="40">
        <f>$G106+$H106</f>
        <v>1</v>
      </c>
      <c r="J106" s="50">
        <f>IFERROR(G106/(H106+G106),0)</f>
        <v>0</v>
      </c>
      <c r="K106" s="44" t="e">
        <f>(CombinedStack[[#This Row],[Wins]]-CombinedStack[[#This Row],[Losses]]/SUM(CombinedStack[Games Played]))/10</f>
        <v>#VALUE!</v>
      </c>
      <c r="L106" s="67"/>
    </row>
    <row r="107" spans="1:18">
      <c r="A107" s="40" t="str">
        <f>_xlfn.TEXTJOIN(",",TRUE,_xlfn._xlws.SORT(_xlfn.TEXTSPLIT(_xlfn.TEXTJOIN(",",TRUE,_xlfn._xlws.SORT($B107:$F107, 1, -1, FALSE)),"WWWWW",",")))</f>
        <v>Chromius.TAMU,Glonk.MB,Pathos-val</v>
      </c>
      <c r="B107" s="41" t="s">
        <v>77</v>
      </c>
      <c r="C107" s="42" t="s">
        <v>162</v>
      </c>
      <c r="D107" s="131" t="s">
        <v>155</v>
      </c>
      <c r="E107" s="126" t="s">
        <v>180</v>
      </c>
      <c r="F107" s="126" t="s">
        <v>180</v>
      </c>
      <c r="G107" s="108">
        <f>IFERROR(VLOOKUP(CombinedStack[[#This Row],[Dupes]],Y9S1[],7,FALSE), 0) +
IFERROR(VLOOKUP(CombinedStack[[#This Row],[Dupes]],Y8S4[],7,FALSE), 0)</f>
        <v>0</v>
      </c>
      <c r="H107" s="40">
        <f>IFERROR(VLOOKUP(CombinedStack[[#This Row],[Dupes]],Y9S1[],8,FALSE), 0)+
IFERROR(VLOOKUP(CombinedStack[[#This Row],[Dupes]],Y8S4[],8,FALSE), 0)</f>
        <v>1</v>
      </c>
      <c r="I107" s="40">
        <f>$G107+$H107</f>
        <v>1</v>
      </c>
      <c r="J107" s="50">
        <f>IFERROR(G107/(H107+G107),0)</f>
        <v>0</v>
      </c>
      <c r="K107" s="44" t="e">
        <f>(CombinedStack[[#This Row],[Wins]]-CombinedStack[[#This Row],[Losses]]/SUM(CombinedStack[Games Played]))/10</f>
        <v>#VALUE!</v>
      </c>
      <c r="L107" s="67"/>
    </row>
    <row r="108" spans="1:18">
      <c r="A108" s="40" t="str">
        <f>_xlfn.TEXTJOIN(",",TRUE,_xlfn._xlws.SORT(_xlfn.TEXTSPLIT(_xlfn.TEXTJOIN(",",TRUE,_xlfn._xlws.SORT($B108:$F108, 1, -1, FALSE)),"WWWWW",",")))</f>
        <v>Chromius.TAMU,Glonk.MB,NotLappland,PincheConcha,Rat_Squilla</v>
      </c>
      <c r="B108" s="41" t="s">
        <v>77</v>
      </c>
      <c r="C108" s="42" t="s">
        <v>162</v>
      </c>
      <c r="D108" s="126" t="s">
        <v>91</v>
      </c>
      <c r="E108" s="129" t="s">
        <v>142</v>
      </c>
      <c r="F108" s="126" t="s">
        <v>152</v>
      </c>
      <c r="G108" s="108">
        <f>IFERROR(VLOOKUP(CombinedStack[[#This Row],[Dupes]],Y9S1[],7,FALSE), 0) +
IFERROR(VLOOKUP(CombinedStack[[#This Row],[Dupes]],Y8S4[],7,FALSE), 0)</f>
        <v>0</v>
      </c>
      <c r="H108" s="40">
        <f>IFERROR(VLOOKUP(CombinedStack[[#This Row],[Dupes]],Y9S1[],8,FALSE), 0)+
IFERROR(VLOOKUP(CombinedStack[[#This Row],[Dupes]],Y8S4[],8,FALSE), 0)</f>
        <v>1</v>
      </c>
      <c r="I108" s="40">
        <f>$G108+$H108</f>
        <v>1</v>
      </c>
      <c r="J108" s="50">
        <f>IFERROR(G108/(H108+G108),0)</f>
        <v>0</v>
      </c>
      <c r="K108" s="44" t="e">
        <f>(CombinedStack[[#This Row],[Wins]]-CombinedStack[[#This Row],[Losses]]/SUM(CombinedStack[Games Played]))/10</f>
        <v>#VALUE!</v>
      </c>
      <c r="L108" s="67"/>
    </row>
    <row r="109" spans="1:18">
      <c r="A109" s="40" t="str">
        <f>_xlfn.TEXTJOIN(",",TRUE,_xlfn._xlws.SORT(_xlfn.TEXTSPLIT(_xlfn.TEXTJOIN(",",TRUE,_xlfn._xlws.SORT($B109:$F109, 1, -1, FALSE)),"WWWWW",",")))</f>
        <v>Chromius.TAMU,Glonk.MB,NotLappland,PincheConcha,Timythiccums.MB</v>
      </c>
      <c r="B109" s="41" t="s">
        <v>77</v>
      </c>
      <c r="C109" s="42" t="s">
        <v>162</v>
      </c>
      <c r="D109" s="126" t="s">
        <v>91</v>
      </c>
      <c r="E109" s="126" t="s">
        <v>142</v>
      </c>
      <c r="F109" s="126" t="s">
        <v>81</v>
      </c>
      <c r="G109" s="108">
        <f>IFERROR(VLOOKUP(CombinedStack[[#This Row],[Dupes]],Y9S1[],7,FALSE), 0) +
IFERROR(VLOOKUP(CombinedStack[[#This Row],[Dupes]],Y8S4[],7,FALSE), 0)</f>
        <v>0</v>
      </c>
      <c r="H109" s="40">
        <f>IFERROR(VLOOKUP(CombinedStack[[#This Row],[Dupes]],Y9S1[],8,FALSE), 0)+
IFERROR(VLOOKUP(CombinedStack[[#This Row],[Dupes]],Y8S4[],8,FALSE), 0)</f>
        <v>1</v>
      </c>
      <c r="I109" s="40">
        <f>$G109+$H109</f>
        <v>1</v>
      </c>
      <c r="J109" s="50">
        <f>IFERROR(G109/(H109+G109),0)</f>
        <v>0</v>
      </c>
      <c r="K109" s="44" t="e">
        <f>(CombinedStack[[#This Row],[Wins]]-CombinedStack[[#This Row],[Losses]]/SUM(CombinedStack[Games Played]))/10</f>
        <v>#VALUE!</v>
      </c>
      <c r="L109" s="67" t="s">
        <v>218</v>
      </c>
      <c r="N109" s="148" t="str" cm="1">
        <f t="array" ref="N109:R109">_xlfn._xlws.SORT($B109:$F109)</f>
        <v>Chromius.TAMU</v>
      </c>
      <c r="O109" t="str">
        <v>Glonk.MB</v>
      </c>
      <c r="P109" t="str">
        <v>PincheConcha</v>
      </c>
      <c r="Q109" t="str">
        <v>NotLappland</v>
      </c>
      <c r="R109" t="str">
        <v>Timythiccums.MB</v>
      </c>
    </row>
    <row r="110" spans="1:18">
      <c r="A110" s="40" t="str">
        <f>_xlfn.TEXTJOIN(",",TRUE,_xlfn._xlws.SORT(_xlfn.TEXTSPLIT(_xlfn.TEXTJOIN(",",TRUE,_xlfn._xlws.SORT($B110:$F110, 1, -1, FALSE)),"WWWWW",",")))</f>
        <v>Chromius.TAMU,Galahad21588,Glonk.MB,Mason10_10,Strugg1er.</v>
      </c>
      <c r="B110" s="115" t="s">
        <v>77</v>
      </c>
      <c r="C110" s="42" t="s">
        <v>162</v>
      </c>
      <c r="D110" s="101" t="s">
        <v>111</v>
      </c>
      <c r="E110" s="132" t="s">
        <v>96</v>
      </c>
      <c r="F110" s="101" t="s">
        <v>115</v>
      </c>
      <c r="G110" s="108">
        <f>IFERROR(VLOOKUP(CombinedStack[[#This Row],[Dupes]],Y9S1[],7,FALSE), 0) +
IFERROR(VLOOKUP(CombinedStack[[#This Row],[Dupes]],Y8S4[],7,FALSE), 0)</f>
        <v>0</v>
      </c>
      <c r="H110" s="40">
        <f>IFERROR(VLOOKUP(CombinedStack[[#This Row],[Dupes]],Y9S1[],8,FALSE), 0)+
IFERROR(VLOOKUP(CombinedStack[[#This Row],[Dupes]],Y8S4[],8,FALSE), 0)</f>
        <v>1</v>
      </c>
      <c r="I110" s="40">
        <f>$G110+$H110</f>
        <v>1</v>
      </c>
      <c r="J110" s="50">
        <f>G110/(H110+G110)</f>
        <v>0</v>
      </c>
      <c r="K110" s="44" t="e">
        <f>(CombinedStack[[#This Row],[Wins]]-CombinedStack[[#This Row],[Losses]]/SUM(CombinedStack[Games Played]))/10</f>
        <v>#VALUE!</v>
      </c>
      <c r="L110" s="68"/>
      <c r="N110" t="str" cm="1">
        <f t="array" ref="N110:R110">_xlfn._xlws.SORT(B109:F109, 1, 1, FALSE)</f>
        <v>Chromius.TAMU</v>
      </c>
      <c r="O110" t="str">
        <v>Glonk.MB</v>
      </c>
      <c r="P110" t="str">
        <v>PincheConcha</v>
      </c>
      <c r="Q110" t="str">
        <v>NotLappland</v>
      </c>
      <c r="R110" t="str">
        <v>Timythiccums.MB</v>
      </c>
    </row>
    <row r="111" spans="1:18">
      <c r="A111" s="40" t="str">
        <f>_xlfn.TEXTJOIN(",",TRUE,_xlfn._xlws.SORT(_xlfn.TEXTSPLIT(_xlfn.TEXTJOIN(",",TRUE,_xlfn._xlws.SORT($B111:$F111, 1, -1, FALSE)),"WWWWW",",")))</f>
        <v>Chromius.TAMU,Glonk.MB,Notlappland,Strugg1er.</v>
      </c>
      <c r="B111" s="115" t="s">
        <v>77</v>
      </c>
      <c r="C111" s="42" t="s">
        <v>162</v>
      </c>
      <c r="D111" s="101" t="s">
        <v>111</v>
      </c>
      <c r="E111" s="117" t="s">
        <v>184</v>
      </c>
      <c r="F111" s="126" t="s">
        <v>180</v>
      </c>
      <c r="G111" s="108">
        <f>IFERROR(VLOOKUP(CombinedStack[[#This Row],[Dupes]],Y9S1[],7,FALSE), 0) +
IFERROR(VLOOKUP(CombinedStack[[#This Row],[Dupes]],Y8S4[],7,FALSE), 0)</f>
        <v>0</v>
      </c>
      <c r="H111" s="40">
        <f>IFERROR(VLOOKUP(CombinedStack[[#This Row],[Dupes]],Y9S1[],8,FALSE), 0)+
IFERROR(VLOOKUP(CombinedStack[[#This Row],[Dupes]],Y8S4[],8,FALSE), 0)</f>
        <v>1</v>
      </c>
      <c r="I111" s="40">
        <f>$G111+$H111</f>
        <v>1</v>
      </c>
      <c r="J111" s="50">
        <f>IFERROR(G111/(H111+G111),0)</f>
        <v>0</v>
      </c>
      <c r="K111" s="44" t="e">
        <f>(CombinedStack[[#This Row],[Wins]]-CombinedStack[[#This Row],[Losses]]/SUM(CombinedStack[Games Played]))/10</f>
        <v>#VALUE!</v>
      </c>
      <c r="L111" s="68"/>
      <c r="N111" t="str" cm="1">
        <f t="array" ref="N111:R111">_xlfn._xlws.SORT(B109:F109, 1, -1, FALSE)</f>
        <v>Chromius.TAMU</v>
      </c>
      <c r="O111" t="str">
        <v>Glonk.MB</v>
      </c>
      <c r="P111" t="str">
        <v>PincheConcha</v>
      </c>
      <c r="Q111" t="str">
        <v>NotLappland</v>
      </c>
      <c r="R111" t="str">
        <v>Timythiccums.MB</v>
      </c>
    </row>
    <row r="112" spans="1:18">
      <c r="A112" s="40" t="str">
        <f>_xlfn.TEXTJOIN(",",TRUE,_xlfn._xlws.SORT(_xlfn.TEXTSPLIT(_xlfn.TEXTJOIN(",",TRUE,_xlfn._xlws.SORT($B112:$F112, 1, -1, FALSE)),"WWWWW",",")))</f>
        <v>Asherzs,Chromius.TAMU,Glonk.MB,Timythiccums.MB</v>
      </c>
      <c r="B112" s="41" t="s">
        <v>77</v>
      </c>
      <c r="C112" s="42" t="s">
        <v>162</v>
      </c>
      <c r="D112" s="126" t="s">
        <v>81</v>
      </c>
      <c r="E112" s="179" t="s">
        <v>100</v>
      </c>
      <c r="F112" s="126" t="s">
        <v>180</v>
      </c>
      <c r="G112" s="108">
        <f>IFERROR(VLOOKUP(CombinedStack[[#This Row],[Dupes]],Y9S1[],7,FALSE), 0) +
IFERROR(VLOOKUP(CombinedStack[[#This Row],[Dupes]],Y8S4[],7,FALSE), 0)</f>
        <v>0</v>
      </c>
      <c r="H112" s="40">
        <f>IFERROR(VLOOKUP(CombinedStack[[#This Row],[Dupes]],Y9S1[],8,FALSE), 0)+
IFERROR(VLOOKUP(CombinedStack[[#This Row],[Dupes]],Y8S4[],8,FALSE), 0)</f>
        <v>1</v>
      </c>
      <c r="I112" s="40">
        <f>$G112+$H112</f>
        <v>1</v>
      </c>
      <c r="J112" s="50">
        <f>IFERROR(G112/(H112+G112),0)</f>
        <v>0</v>
      </c>
      <c r="K112" s="44" t="e">
        <f>(CombinedStack[[#This Row],[Wins]]-CombinedStack[[#This Row],[Losses]]/SUM(CombinedStack[Games Played]))/10</f>
        <v>#VALUE!</v>
      </c>
      <c r="L112" s="67" t="s">
        <v>219</v>
      </c>
    </row>
    <row r="113" spans="1:16">
      <c r="A113" s="40" t="str">
        <f>_xlfn.TEXTJOIN(",",TRUE,_xlfn._xlws.SORT(_xlfn.TEXTSPLIT(_xlfn.TEXTJOIN(",",TRUE,_xlfn._xlws.SORT($B113:$F113, 1, -1, FALSE)),"WWWWW",",")))</f>
        <v>Blade2420,Chromius.TAMU,Fallen.Rqnger,Glonk.MB,Timythiccums.MB</v>
      </c>
      <c r="B113" s="41" t="s">
        <v>77</v>
      </c>
      <c r="C113" s="42" t="s">
        <v>162</v>
      </c>
      <c r="D113" s="42" t="s">
        <v>81</v>
      </c>
      <c r="E113" s="135" t="s">
        <v>86</v>
      </c>
      <c r="F113" s="128" t="s">
        <v>113</v>
      </c>
      <c r="G113" s="108">
        <f>IFERROR(VLOOKUP(CombinedStack[[#This Row],[Dupes]],Y9S1[],7,FALSE), 0) +
IFERROR(VLOOKUP(CombinedStack[[#This Row],[Dupes]],Y8S4[],7,FALSE), 0)</f>
        <v>0</v>
      </c>
      <c r="H113" s="40">
        <f>IFERROR(VLOOKUP(CombinedStack[[#This Row],[Dupes]],Y9S1[],8,FALSE), 0)+
IFERROR(VLOOKUP(CombinedStack[[#This Row],[Dupes]],Y8S4[],8,FALSE), 0)</f>
        <v>1</v>
      </c>
      <c r="I113" s="40">
        <f>$G113+$H113</f>
        <v>1</v>
      </c>
      <c r="J113" s="50">
        <f>IFERROR(G113/(H113+G113),0)</f>
        <v>0</v>
      </c>
      <c r="K113" s="44" t="e">
        <f>(CombinedStack[[#This Row],[Wins]]-CombinedStack[[#This Row],[Losses]]/SUM(CombinedStack[Games Played]))/10</f>
        <v>#VALUE!</v>
      </c>
      <c r="L113" s="67"/>
      <c r="O113" t="s">
        <v>220</v>
      </c>
      <c r="P113" t="s">
        <v>221</v>
      </c>
    </row>
    <row r="114" spans="1:16">
      <c r="A114" s="40" t="str">
        <f>_xlfn.TEXTJOIN(",",TRUE,_xlfn._xlws.SORT(_xlfn.TEXTSPLIT(_xlfn.TEXTJOIN(",",TRUE,_xlfn._xlws.SORT($B114:$F114, 1, -1, FALSE)),"WWWWW",",")))</f>
        <v>Chromius.TAMU,Galahad21588,Glonk.MB,Timythiccums.MB</v>
      </c>
      <c r="B114" s="41" t="s">
        <v>77</v>
      </c>
      <c r="C114" s="42" t="s">
        <v>162</v>
      </c>
      <c r="D114" s="42" t="s">
        <v>81</v>
      </c>
      <c r="E114" s="129" t="s">
        <v>96</v>
      </c>
      <c r="F114" s="129" t="s">
        <v>180</v>
      </c>
      <c r="G114" s="108">
        <f>IFERROR(VLOOKUP(CombinedStack[[#This Row],[Dupes]],Y9S1[],7,FALSE), 0) +
IFERROR(VLOOKUP(CombinedStack[[#This Row],[Dupes]],Y8S4[],7,FALSE), 0)</f>
        <v>0</v>
      </c>
      <c r="H114" s="40">
        <f>IFERROR(VLOOKUP(CombinedStack[[#This Row],[Dupes]],Y9S1[],8,FALSE), 0)+
IFERROR(VLOOKUP(CombinedStack[[#This Row],[Dupes]],Y8S4[],8,FALSE), 0)</f>
        <v>1</v>
      </c>
      <c r="I114" s="40">
        <f>$G114+$H114</f>
        <v>1</v>
      </c>
      <c r="J114" s="50">
        <f>IFERROR(G114/(H114+G114),0)</f>
        <v>0</v>
      </c>
      <c r="K114" s="44" t="e">
        <f>(CombinedStack[[#This Row],[Wins]]-CombinedStack[[#This Row],[Losses]]/SUM(CombinedStack[Games Played]))/10</f>
        <v>#VALUE!</v>
      </c>
      <c r="L114" s="67"/>
      <c r="N114" s="149" t="str">
        <f>_xlfn.TEXTJOIN(",",TRUE,_xlfn._xlws.SORT(_xlfn.TEXTSPLIT(_xlfn.TEXTJOIN(",",TRUE,_xlfn._xlws.SORT(B109:F109, 1, -1, FALSE))," ",",")))</f>
        <v>Chromius.TAMU,Glonk.MB,NotLappland,PincheConcha,Timythiccums.MB</v>
      </c>
    </row>
    <row r="115" spans="1:16">
      <c r="A115" s="40" t="str">
        <f>_xlfn.TEXTJOIN(",",TRUE,_xlfn._xlws.SORT(_xlfn.TEXTSPLIT(_xlfn.TEXTJOIN(",",TRUE,_xlfn._xlws.SORT($B115:$F115, 1, -1, FALSE)),"WWWWW",",")))</f>
        <v>Chromius.TAMU,Fallen.Cortex,Fallen.Rqnger,Kermitt.MB,Koyeetchi</v>
      </c>
      <c r="B115" s="137" t="s">
        <v>77</v>
      </c>
      <c r="C115" s="138" t="s">
        <v>118</v>
      </c>
      <c r="D115" s="139" t="s">
        <v>86</v>
      </c>
      <c r="E115" s="140" t="s">
        <v>144</v>
      </c>
      <c r="F115" s="181" t="s">
        <v>140</v>
      </c>
      <c r="G115" s="108">
        <f>IFERROR(VLOOKUP(CombinedStack[[#This Row],[Dupes]],Y9S1[],7,FALSE), 0) +
IFERROR(VLOOKUP(CombinedStack[[#This Row],[Dupes]],Y8S4[],7,FALSE), 0)</f>
        <v>0</v>
      </c>
      <c r="H115" s="40">
        <f>IFERROR(VLOOKUP(CombinedStack[[#This Row],[Dupes]],Y9S1[],8,FALSE), 0)+
IFERROR(VLOOKUP(CombinedStack[[#This Row],[Dupes]],Y8S4[],8,FALSE), 0)</f>
        <v>1</v>
      </c>
      <c r="I115" s="40">
        <v>1</v>
      </c>
      <c r="J115" s="50">
        <f>IFERROR(G115/(H115+G115),0)</f>
        <v>0</v>
      </c>
      <c r="K115" s="95" t="e">
        <f>(CombinedStack[[#This Row],[Wins]]-CombinedStack[[#This Row],[Losses]]/SUM(CombinedStack[Games Played]))/10</f>
        <v>#VALUE!</v>
      </c>
      <c r="L115" s="96"/>
    </row>
    <row r="116" spans="1:16">
      <c r="A116" s="40" t="str">
        <f>_xlfn.TEXTJOIN(",",TRUE,_xlfn._xlws.SORT(_xlfn.TEXTSPLIT(_xlfn.TEXTJOIN(",",TRUE,_xlfn._xlws.SORT($B116:$F116, 1, -1, FALSE)),"WWWWW",",")))</f>
        <v>Chromius.TAMU,Coolrocket,JoeHashish,PincheConcha</v>
      </c>
      <c r="B116" s="41" t="s">
        <v>77</v>
      </c>
      <c r="C116" s="42" t="s">
        <v>91</v>
      </c>
      <c r="D116" s="131" t="s">
        <v>199</v>
      </c>
      <c r="E116" s="126" t="s">
        <v>200</v>
      </c>
      <c r="F116" s="126" t="s">
        <v>180</v>
      </c>
      <c r="G116" s="108">
        <f>IFERROR(VLOOKUP(CombinedStack[[#This Row],[Dupes]],Y9S1[],7,FALSE), 0) +
IFERROR(VLOOKUP(CombinedStack[[#This Row],[Dupes]],Y8S4[],7,FALSE), 0)</f>
        <v>0</v>
      </c>
      <c r="H116" s="40">
        <f>IFERROR(VLOOKUP(CombinedStack[[#This Row],[Dupes]],Y9S1[],8,FALSE), 0)+
IFERROR(VLOOKUP(CombinedStack[[#This Row],[Dupes]],Y8S4[],8,FALSE), 0)</f>
        <v>1</v>
      </c>
      <c r="I116" s="40">
        <f>$G116+$H116</f>
        <v>1</v>
      </c>
      <c r="J116" s="50">
        <f>IFERROR(G116/(H116+G116),0)</f>
        <v>0</v>
      </c>
      <c r="K116" s="44" t="e">
        <f>(CombinedStack[[#This Row],[Wins]]-CombinedStack[[#This Row],[Losses]]/SUM(CombinedStack[Games Played]))/10</f>
        <v>#VALUE!</v>
      </c>
      <c r="L116" s="67"/>
    </row>
    <row r="117" spans="1:16" ht="24">
      <c r="A117" s="40" t="str">
        <f>_xlfn.TEXTJOIN(",",TRUE,_xlfn._xlws.SORT(_xlfn.TEXTSPLIT(_xlfn.TEXTJOIN(",",TRUE,_xlfn._xlws.SORT($B117:$F117, 1, -1, FALSE)),"WWWWW",",")))</f>
        <v>Chromius.TAMU,Galahad21588,PincheConcha</v>
      </c>
      <c r="B117" s="41" t="s">
        <v>77</v>
      </c>
      <c r="C117" s="126" t="s">
        <v>91</v>
      </c>
      <c r="D117" s="126" t="s">
        <v>96</v>
      </c>
      <c r="E117" s="126" t="s">
        <v>180</v>
      </c>
      <c r="F117" s="126" t="s">
        <v>180</v>
      </c>
      <c r="G117" s="108">
        <f>IFERROR(VLOOKUP(CombinedStack[[#This Row],[Dupes]],Y9S1[],7,FALSE), 0) +
IFERROR(VLOOKUP(CombinedStack[[#This Row],[Dupes]],Y8S4[],7,FALSE), 0)</f>
        <v>0</v>
      </c>
      <c r="H117" s="40">
        <f>IFERROR(VLOOKUP(CombinedStack[[#This Row],[Dupes]],Y9S1[],8,FALSE), 0)+
IFERROR(VLOOKUP(CombinedStack[[#This Row],[Dupes]],Y8S4[],8,FALSE), 0)</f>
        <v>1</v>
      </c>
      <c r="I117" s="40">
        <f>$G117+$H117</f>
        <v>1</v>
      </c>
      <c r="J117" s="50">
        <f>IFERROR(G117/(H117+G117),0)</f>
        <v>0</v>
      </c>
      <c r="K117" s="44" t="e">
        <f>(CombinedStack[[#This Row],[Wins]]-CombinedStack[[#This Row],[Losses]]/SUM(CombinedStack[Games Played]))/10</f>
        <v>#VALUE!</v>
      </c>
      <c r="L117" s="67" t="s">
        <v>222</v>
      </c>
    </row>
    <row r="118" spans="1:16">
      <c r="A118" s="40" t="str">
        <f>_xlfn.TEXTJOIN(",",TRUE,_xlfn._xlws.SORT(_xlfn.TEXTSPLIT(_xlfn.TEXTJOIN(",",TRUE,_xlfn._xlws.SORT($B118:$F118, 1, -1, FALSE)),"WWWWW",",")))</f>
        <v>Chromius.TAMU,Galahad21588,Polar...-</v>
      </c>
      <c r="B118" s="115" t="s">
        <v>77</v>
      </c>
      <c r="C118" s="127" t="s">
        <v>159</v>
      </c>
      <c r="D118" s="42" t="s">
        <v>96</v>
      </c>
      <c r="E118" s="129" t="s">
        <v>180</v>
      </c>
      <c r="F118" s="126" t="s">
        <v>180</v>
      </c>
      <c r="G118" s="108">
        <f>IFERROR(VLOOKUP(CombinedStack[[#This Row],[Dupes]],Y9S1[],7,FALSE), 0) +
IFERROR(VLOOKUP(CombinedStack[[#This Row],[Dupes]],Y8S4[],7,FALSE), 0)</f>
        <v>0</v>
      </c>
      <c r="H118" s="40">
        <f>IFERROR(VLOOKUP(CombinedStack[[#This Row],[Dupes]],Y9S1[],8,FALSE), 0)+
IFERROR(VLOOKUP(CombinedStack[[#This Row],[Dupes]],Y8S4[],8,FALSE), 0)</f>
        <v>1</v>
      </c>
      <c r="I118" s="40">
        <f>$G118+$H118</f>
        <v>1</v>
      </c>
      <c r="J118" s="50">
        <f>IFERROR(G118/(H118+G118),0)</f>
        <v>0</v>
      </c>
      <c r="K118" s="44" t="e">
        <f>(CombinedStack[[#This Row],[Wins]]-CombinedStack[[#This Row],[Losses]]/SUM(CombinedStack[Games Played]))/10</f>
        <v>#VALUE!</v>
      </c>
      <c r="L118" s="68"/>
    </row>
    <row r="119" spans="1:16">
      <c r="A119" s="40" t="str">
        <f>_xlfn.TEXTJOIN(",",TRUE,_xlfn._xlws.SORT(_xlfn.TEXTSPLIT(_xlfn.TEXTJOIN(",",TRUE,_xlfn._xlws.SORT($B119:$F119, 1, -1, FALSE)),"WWWWW",",")))</f>
        <v>Boomerjet123,Chromius.TAMU,Fallen.Cortex,Fallen.Rqnger,Strugg1er.</v>
      </c>
      <c r="B119" s="115" t="s">
        <v>77</v>
      </c>
      <c r="C119" s="101" t="s">
        <v>111</v>
      </c>
      <c r="D119" s="101" t="s">
        <v>86</v>
      </c>
      <c r="E119" s="42" t="s">
        <v>109</v>
      </c>
      <c r="F119" s="126" t="s">
        <v>140</v>
      </c>
      <c r="G119" s="108">
        <f>IFERROR(VLOOKUP(CombinedStack[[#This Row],[Dupes]],Y9S1[],7,FALSE), 0) +
IFERROR(VLOOKUP(CombinedStack[[#This Row],[Dupes]],Y8S4[],7,FALSE), 0)</f>
        <v>0</v>
      </c>
      <c r="H119" s="40">
        <f>IFERROR(VLOOKUP(CombinedStack[[#This Row],[Dupes]],Y9S1[],8,FALSE), 0)+
IFERROR(VLOOKUP(CombinedStack[[#This Row],[Dupes]],Y8S4[],8,FALSE), 0)</f>
        <v>1</v>
      </c>
      <c r="I119" s="40">
        <f>$G119+$H119</f>
        <v>1</v>
      </c>
      <c r="J119" s="51">
        <f>IFERROR(G119/(H119+G119),0)</f>
        <v>0</v>
      </c>
      <c r="K119" s="44" t="e">
        <f>(CombinedStack[[#This Row],[Wins]]-CombinedStack[[#This Row],[Losses]]/SUM(CombinedStack[Games Played]))/10</f>
        <v>#VALUE!</v>
      </c>
      <c r="L119" s="68"/>
    </row>
    <row r="120" spans="1:16">
      <c r="A120" s="40" t="str">
        <f>_xlfn.TEXTJOIN(",",TRUE,_xlfn._xlws.SORT(_xlfn.TEXTSPLIT(_xlfn.TEXTJOIN(",",TRUE,_xlfn._xlws.SORT($B120:$F120, 1, -1, FALSE)),"WWWWW",",")))</f>
        <v>Chromius.TAMU,Fallen.Rqnger,Galahad21588 ,Timythiccums.MB</v>
      </c>
      <c r="B120" s="115" t="s">
        <v>77</v>
      </c>
      <c r="C120" s="101" t="s">
        <v>81</v>
      </c>
      <c r="D120" s="101" t="s">
        <v>193</v>
      </c>
      <c r="E120" s="101" t="s">
        <v>86</v>
      </c>
      <c r="F120" s="126" t="s">
        <v>180</v>
      </c>
      <c r="G120" s="108">
        <f>IFERROR(VLOOKUP(CombinedStack[[#This Row],[Dupes]],Y9S1[],7,FALSE), 0) +
IFERROR(VLOOKUP(CombinedStack[[#This Row],[Dupes]],Y8S4[],7,FALSE), 0)</f>
        <v>0</v>
      </c>
      <c r="H120" s="40">
        <f>IFERROR(VLOOKUP(CombinedStack[[#This Row],[Dupes]],Y9S1[],8,FALSE), 0)+
IFERROR(VLOOKUP(CombinedStack[[#This Row],[Dupes]],Y8S4[],8,FALSE), 0)</f>
        <v>1</v>
      </c>
      <c r="I120" s="40">
        <f>$G120+$H120</f>
        <v>1</v>
      </c>
      <c r="J120" s="51">
        <f>G120/(H120+G120)</f>
        <v>0</v>
      </c>
      <c r="K120" s="44" t="e">
        <f>(CombinedStack[[#This Row],[Wins]]-CombinedStack[[#This Row],[Losses]]/SUM(CombinedStack[Games Played]))/10</f>
        <v>#VALUE!</v>
      </c>
      <c r="L120" s="68"/>
    </row>
    <row r="121" spans="1:16">
      <c r="A121" s="40" t="str">
        <f>_xlfn.TEXTJOIN(",",TRUE,_xlfn._xlws.SORT(_xlfn.TEXTSPLIT(_xlfn.TEXTJOIN(",",TRUE,_xlfn._xlws.SORT($B121:$F121, 1, -1, FALSE)),"WWWWW",",")))</f>
        <v>Chromius.TAMU,Fallen.Cortex,Kermitt.MB,Timythiccums.MB</v>
      </c>
      <c r="B121" s="41" t="s">
        <v>77</v>
      </c>
      <c r="C121" s="42" t="s">
        <v>81</v>
      </c>
      <c r="D121" s="42" t="s">
        <v>118</v>
      </c>
      <c r="E121" s="124" t="s">
        <v>140</v>
      </c>
      <c r="F121" s="126"/>
      <c r="G121" s="108">
        <f>IFERROR(VLOOKUP(CombinedStack[[#This Row],[Dupes]],Y9S1[],7,FALSE), 0) +
IFERROR(VLOOKUP(CombinedStack[[#This Row],[Dupes]],Y8S4[],7,FALSE), 0)</f>
        <v>0</v>
      </c>
      <c r="H121" s="40">
        <f>IFERROR(VLOOKUP(CombinedStack[[#This Row],[Dupes]],Y9S1[],8,FALSE), 0)+
IFERROR(VLOOKUP(CombinedStack[[#This Row],[Dupes]],Y8S4[],8,FALSE), 0)</f>
        <v>2</v>
      </c>
      <c r="I121" s="40">
        <f>$G121+$H121</f>
        <v>2</v>
      </c>
      <c r="J121" s="51">
        <f>IFERROR(G121/(H121+G121),0)</f>
        <v>0</v>
      </c>
      <c r="K121" s="44" t="e">
        <f>(CombinedStack[[#This Row],[Wins]]-CombinedStack[[#This Row],[Losses]]/SUM(CombinedStack[Games Played]))/10</f>
        <v>#VALUE!</v>
      </c>
      <c r="L121" s="67"/>
    </row>
    <row r="122" spans="1:16">
      <c r="A122" s="40" t="str">
        <f>_xlfn.TEXTJOIN(",",TRUE,_xlfn._xlws.SORT(_xlfn.TEXTSPLIT(_xlfn.TEXTJOIN(",",TRUE,_xlfn._xlws.SORT($B122:$F122, 1, -1, FALSE)),"WWWWW",",")))</f>
        <v>Chromius.TAMU,Fallen.Cortex,Kermitt.MB,Nobetterdough,Timythiccums.MB</v>
      </c>
      <c r="B122" s="115" t="s">
        <v>77</v>
      </c>
      <c r="C122" s="101" t="s">
        <v>81</v>
      </c>
      <c r="D122" s="101" t="s">
        <v>118</v>
      </c>
      <c r="E122" s="130" t="s">
        <v>140</v>
      </c>
      <c r="F122" s="101" t="s">
        <v>125</v>
      </c>
      <c r="G122" s="108">
        <f>IFERROR(VLOOKUP(CombinedStack[[#This Row],[Dupes]],Y9S1[],7,FALSE), 0) +
IFERROR(VLOOKUP(CombinedStack[[#This Row],[Dupes]],Y8S4[],7,FALSE), 0)</f>
        <v>0</v>
      </c>
      <c r="H122" s="40">
        <f>IFERROR(VLOOKUP(CombinedStack[[#This Row],[Dupes]],Y9S1[],8,FALSE), 0)+
IFERROR(VLOOKUP(CombinedStack[[#This Row],[Dupes]],Y8S4[],8,FALSE), 0)</f>
        <v>1</v>
      </c>
      <c r="I122" s="40">
        <f>$G122+$H122</f>
        <v>1</v>
      </c>
      <c r="J122" s="51">
        <f>IFERROR(G122/(H122+G122),0)</f>
        <v>0</v>
      </c>
      <c r="K122" s="44" t="e">
        <f>(CombinedStack[[#This Row],[Wins]]-CombinedStack[[#This Row],[Losses]]/SUM(CombinedStack[Games Played]))/10</f>
        <v>#VALUE!</v>
      </c>
      <c r="L122" s="68"/>
    </row>
    <row r="123" spans="1:16">
      <c r="A123" s="40" t="str">
        <f>_xlfn.TEXTJOIN(",",TRUE,_xlfn._xlws.SORT(_xlfn.TEXTSPLIT(_xlfn.TEXTJOIN(",",TRUE,_xlfn._xlws.SORT($B123:$F123, 1, -1, FALSE)),"WWWWW",",")))</f>
        <v>Chromius.TAMU,Galahad21588,Polar...-,Timythiccums.MB</v>
      </c>
      <c r="B123" s="115" t="s">
        <v>77</v>
      </c>
      <c r="C123" s="101" t="s">
        <v>81</v>
      </c>
      <c r="D123" s="127" t="s">
        <v>159</v>
      </c>
      <c r="E123" s="42" t="s">
        <v>96</v>
      </c>
      <c r="F123" s="126" t="s">
        <v>180</v>
      </c>
      <c r="G123" s="108">
        <f>IFERROR(VLOOKUP(CombinedStack[[#This Row],[Dupes]],Y9S1[],7,FALSE), 0) +
IFERROR(VLOOKUP(CombinedStack[[#This Row],[Dupes]],Y8S4[],7,FALSE), 0)</f>
        <v>0</v>
      </c>
      <c r="H123" s="40">
        <f>IFERROR(VLOOKUP(CombinedStack[[#This Row],[Dupes]],Y9S1[],8,FALSE), 0)+
IFERROR(VLOOKUP(CombinedStack[[#This Row],[Dupes]],Y8S4[],8,FALSE), 0)</f>
        <v>1</v>
      </c>
      <c r="I123" s="40">
        <f>$G123+$H123</f>
        <v>1</v>
      </c>
      <c r="J123" s="51">
        <f>IFERROR(G123/(H123+G123),0)</f>
        <v>0</v>
      </c>
      <c r="K123" s="44" t="e">
        <f>(CombinedStack[[#This Row],[Wins]]-CombinedStack[[#This Row],[Losses]]/SUM(CombinedStack[Games Played]))/10</f>
        <v>#VALUE!</v>
      </c>
      <c r="L123" s="68"/>
    </row>
    <row r="124" spans="1:16">
      <c r="A124" s="40" t="str">
        <f>_xlfn.TEXTJOIN(",",TRUE,_xlfn._xlws.SORT(_xlfn.TEXTSPLIT(_xlfn.TEXTJOIN(",",TRUE,_xlfn._xlws.SORT($B124:$F124, 1, -1, FALSE)),"WWWWW",",")))</f>
        <v>Chromius.TAMU,Kermitt.MB,Rat_Squilla,Timythiccums.MB</v>
      </c>
      <c r="B124" s="115" t="s">
        <v>77</v>
      </c>
      <c r="C124" s="101" t="s">
        <v>81</v>
      </c>
      <c r="D124" s="126" t="s">
        <v>152</v>
      </c>
      <c r="E124" s="126" t="s">
        <v>118</v>
      </c>
      <c r="F124" s="126" t="s">
        <v>180</v>
      </c>
      <c r="G124" s="108">
        <f>IFERROR(VLOOKUP(CombinedStack[[#This Row],[Dupes]],Y9S1[],7,FALSE), 0) +
IFERROR(VLOOKUP(CombinedStack[[#This Row],[Dupes]],Y8S4[],7,FALSE), 0)</f>
        <v>0</v>
      </c>
      <c r="H124" s="40">
        <f>IFERROR(VLOOKUP(CombinedStack[[#This Row],[Dupes]],Y9S1[],8,FALSE), 0)+
IFERROR(VLOOKUP(CombinedStack[[#This Row],[Dupes]],Y8S4[],8,FALSE), 0)</f>
        <v>1</v>
      </c>
      <c r="I124" s="40">
        <f>$G124+$H124</f>
        <v>1</v>
      </c>
      <c r="J124" s="51">
        <f>IFERROR(G124/(H124+G124),0)</f>
        <v>0</v>
      </c>
      <c r="K124" s="44" t="e">
        <f>(CombinedStack[[#This Row],[Wins]]-CombinedStack[[#This Row],[Losses]]/SUM(CombinedStack[Games Played]))/10</f>
        <v>#VALUE!</v>
      </c>
      <c r="L124" s="68"/>
    </row>
    <row r="125" spans="1:16">
      <c r="A125" s="40" t="str">
        <f>_xlfn.TEXTJOIN(",",TRUE,_xlfn._xlws.SORT(_xlfn.TEXTSPLIT(_xlfn.TEXTJOIN(",",TRUE,_xlfn._xlws.SORT($B125:$F125, 1, -1, FALSE)),"WWWWW",",")))</f>
        <v>Chromius.TAMU,Coolrocket.TAMU,Kermitt.MB,Rat_Squilla,Timythiccums.MB</v>
      </c>
      <c r="B125" s="115" t="s">
        <v>77</v>
      </c>
      <c r="C125" s="101" t="s">
        <v>81</v>
      </c>
      <c r="D125" s="126" t="s">
        <v>152</v>
      </c>
      <c r="E125" s="126" t="s">
        <v>118</v>
      </c>
      <c r="F125" s="134" t="s">
        <v>138</v>
      </c>
      <c r="G125" s="108">
        <f>IFERROR(VLOOKUP(CombinedStack[[#This Row],[Dupes]],Y9S1[],7,FALSE), 0) +
IFERROR(VLOOKUP(CombinedStack[[#This Row],[Dupes]],Y8S4[],7,FALSE), 0)</f>
        <v>0</v>
      </c>
      <c r="H125" s="40">
        <f>IFERROR(VLOOKUP(CombinedStack[[#This Row],[Dupes]],Y9S1[],8,FALSE), 0)+
IFERROR(VLOOKUP(CombinedStack[[#This Row],[Dupes]],Y8S4[],8,FALSE), 0)</f>
        <v>1</v>
      </c>
      <c r="I125" s="40">
        <f>$G125+$H125</f>
        <v>1</v>
      </c>
      <c r="J125" s="51">
        <f>IFERROR(G125/(H125+G125),0)</f>
        <v>0</v>
      </c>
      <c r="K125" s="44" t="e">
        <f>(CombinedStack[[#This Row],[Wins]]-CombinedStack[[#This Row],[Losses]]/SUM(CombinedStack[Games Played]))/10</f>
        <v>#VALUE!</v>
      </c>
      <c r="L125" s="68"/>
    </row>
    <row r="126" spans="1:16">
      <c r="A126" s="40" t="str">
        <f>_xlfn.TEXTJOIN(",",TRUE,_xlfn._xlws.SORT(_xlfn.TEXTSPLIT(_xlfn.TEXTJOIN(",",TRUE,_xlfn._xlws.SORT($B126:$F126, 1, -1, FALSE)),"WWWWW",",")))</f>
        <v>Chromius.TAMU,Fallen.Cortex,Fallen.Rqnger,Strugg1er.,Timythiccums.MB</v>
      </c>
      <c r="B126" s="115" t="s">
        <v>77</v>
      </c>
      <c r="C126" s="101" t="s">
        <v>81</v>
      </c>
      <c r="D126" s="101" t="s">
        <v>111</v>
      </c>
      <c r="E126" s="130" t="s">
        <v>140</v>
      </c>
      <c r="F126" s="101" t="s">
        <v>86</v>
      </c>
      <c r="G126" s="108">
        <f>IFERROR(VLOOKUP(CombinedStack[[#This Row],[Dupes]],Y9S1[],7,FALSE), 0) +
IFERROR(VLOOKUP(CombinedStack[[#This Row],[Dupes]],Y8S4[],7,FALSE), 0)</f>
        <v>0</v>
      </c>
      <c r="H126" s="40">
        <f>IFERROR(VLOOKUP(CombinedStack[[#This Row],[Dupes]],Y9S1[],8,FALSE), 0)+
IFERROR(VLOOKUP(CombinedStack[[#This Row],[Dupes]],Y8S4[],8,FALSE), 0)</f>
        <v>1</v>
      </c>
      <c r="I126" s="40">
        <f>$G126+$H126</f>
        <v>1</v>
      </c>
      <c r="J126" s="51">
        <f>IFERROR(G126/(H126+G126),0)</f>
        <v>0</v>
      </c>
      <c r="K126" s="44" t="e">
        <f>(CombinedStack[[#This Row],[Wins]]-CombinedStack[[#This Row],[Losses]]/SUM(CombinedStack[Games Played]))/10</f>
        <v>#VALUE!</v>
      </c>
      <c r="L126" s="68"/>
    </row>
    <row r="127" spans="1:16">
      <c r="A127" s="40" t="str">
        <f>_xlfn.TEXTJOIN(",",TRUE,_xlfn._xlws.SORT(_xlfn.TEXTSPLIT(_xlfn.TEXTJOIN(",",TRUE,_xlfn._xlws.SORT($B127:$F127, 1, -1, FALSE)),"WWWWW",",")))</f>
        <v>Boomerjet123,Chromius.TAMU,Glonk.MB,Koyeetchi,Notlappland</v>
      </c>
      <c r="B127" s="41" t="s">
        <v>162</v>
      </c>
      <c r="C127" s="42" t="s">
        <v>77</v>
      </c>
      <c r="D127" s="42" t="s">
        <v>109</v>
      </c>
      <c r="E127" s="42" t="s">
        <v>184</v>
      </c>
      <c r="F127" s="42" t="s">
        <v>144</v>
      </c>
      <c r="G127" s="108">
        <f>IFERROR(VLOOKUP(CombinedStack[[#This Row],[Dupes]],Y9S1[],7,FALSE), 0) +
IFERROR(VLOOKUP(CombinedStack[[#This Row],[Dupes]],Y8S4[],7,FALSE), 0)</f>
        <v>0</v>
      </c>
      <c r="H127" s="40">
        <f>IFERROR(VLOOKUP(CombinedStack[[#This Row],[Dupes]],Y9S1[],8,FALSE), 0)+
IFERROR(VLOOKUP(CombinedStack[[#This Row],[Dupes]],Y8S4[],8,FALSE), 0)</f>
        <v>2</v>
      </c>
      <c r="I127" s="40">
        <f>$G127+$H127</f>
        <v>2</v>
      </c>
      <c r="J127" s="51">
        <f>IFERROR(G127/(H127+G127),0)</f>
        <v>0</v>
      </c>
      <c r="K127" s="44" t="e">
        <f>(CombinedStack[[#This Row],[Wins]]-CombinedStack[[#This Row],[Losses]]/SUM(CombinedStack[Games Played]))/10</f>
        <v>#VALUE!</v>
      </c>
      <c r="L127" s="67"/>
    </row>
    <row r="128" spans="1:16">
      <c r="A128" s="40" t="str">
        <f>_xlfn.TEXTJOIN(",",TRUE,_xlfn._xlws.SORT(_xlfn.TEXTSPLIT(_xlfn.TEXTJOIN(",",TRUE,_xlfn._xlws.SORT($B128:$F128, 1, -1, FALSE)),"WWWWW",",")))</f>
        <v>Boomerjet123,Chromius.TAMU,Glonk.MB,Mason10_10,Strugg1er.</v>
      </c>
      <c r="B128" s="41" t="s">
        <v>162</v>
      </c>
      <c r="C128" s="101" t="s">
        <v>77</v>
      </c>
      <c r="D128" s="101" t="s">
        <v>109</v>
      </c>
      <c r="E128" s="101" t="s">
        <v>111</v>
      </c>
      <c r="F128" s="101" t="s">
        <v>115</v>
      </c>
      <c r="G128" s="108">
        <f>IFERROR(VLOOKUP(CombinedStack[[#This Row],[Dupes]],Y9S1[],7,FALSE), 0) +
IFERROR(VLOOKUP(CombinedStack[[#This Row],[Dupes]],Y8S4[],7,FALSE), 0)</f>
        <v>0</v>
      </c>
      <c r="H128" s="40">
        <f>IFERROR(VLOOKUP(CombinedStack[[#This Row],[Dupes]],Y9S1[],8,FALSE), 0)+
IFERROR(VLOOKUP(CombinedStack[[#This Row],[Dupes]],Y8S4[],8,FALSE), 0)</f>
        <v>2</v>
      </c>
      <c r="I128" s="40">
        <f>$G128+$H128</f>
        <v>2</v>
      </c>
      <c r="J128" s="51">
        <f>IFERROR(G128/(H128+G128),0)</f>
        <v>0</v>
      </c>
      <c r="K128" s="44" t="e">
        <f>(CombinedStack[[#This Row],[Wins]]-CombinedStack[[#This Row],[Losses]]/SUM(CombinedStack[Games Played]))/10</f>
        <v>#VALUE!</v>
      </c>
      <c r="L128" s="68"/>
    </row>
    <row r="129" spans="1:12" ht="24">
      <c r="A129" s="40" t="str">
        <f>_xlfn.TEXTJOIN(",",TRUE,_xlfn._xlws.SORT(_xlfn.TEXTSPLIT(_xlfn.TEXTJOIN(",",TRUE,_xlfn._xlws.SORT($B129:$F129, 1, -1, FALSE)),"WWWWW",",")))</f>
        <v>Chromius.TAMU,Fallen.Rqnger,Glonk.MB</v>
      </c>
      <c r="B129" s="115" t="s">
        <v>162</v>
      </c>
      <c r="C129" s="42" t="s">
        <v>77</v>
      </c>
      <c r="D129" s="42" t="s">
        <v>86</v>
      </c>
      <c r="E129" s="126"/>
      <c r="F129" s="126"/>
      <c r="G129" s="108">
        <f>IFERROR(VLOOKUP(CombinedStack[[#This Row],[Dupes]],Y9S1[],7,FALSE), 0) +
IFERROR(VLOOKUP(CombinedStack[[#This Row],[Dupes]],Y8S4[],7,FALSE), 0)</f>
        <v>0</v>
      </c>
      <c r="H129" s="40">
        <f>IFERROR(VLOOKUP(CombinedStack[[#This Row],[Dupes]],Y9S1[],8,FALSE), 0)+
IFERROR(VLOOKUP(CombinedStack[[#This Row],[Dupes]],Y8S4[],8,FALSE), 0)</f>
        <v>3</v>
      </c>
      <c r="I129" s="40">
        <f>$G129+$H129</f>
        <v>3</v>
      </c>
      <c r="J129" s="51">
        <f>IFERROR(G129/(H129+G129),0)</f>
        <v>0</v>
      </c>
      <c r="K129" s="44" t="e">
        <f>(CombinedStack[[#This Row],[Wins]]-CombinedStack[[#This Row],[Losses]]/SUM(CombinedStack[Games Played]))/10</f>
        <v>#VALUE!</v>
      </c>
      <c r="L129" s="116" t="s">
        <v>223</v>
      </c>
    </row>
    <row r="130" spans="1:12">
      <c r="A130" s="40" t="str">
        <f>_xlfn.TEXTJOIN(",",TRUE,_xlfn._xlws.SORT(_xlfn.TEXTSPLIT(_xlfn.TEXTJOIN(",",TRUE,_xlfn._xlws.SORT($B130:$F130, 1, -1, FALSE)),"WWWWW",",")))</f>
        <v>Chromius.TAMU,Fallen.Rqnger,Glonk.MB,Koyeetchi,Mason10_10</v>
      </c>
      <c r="B130" s="41" t="s">
        <v>162</v>
      </c>
      <c r="C130" s="42" t="s">
        <v>77</v>
      </c>
      <c r="D130" s="42" t="s">
        <v>86</v>
      </c>
      <c r="E130" s="42" t="s">
        <v>115</v>
      </c>
      <c r="F130" s="42" t="s">
        <v>144</v>
      </c>
      <c r="G130" s="108">
        <f>IFERROR(VLOOKUP(CombinedStack[[#This Row],[Dupes]],Y9S1[],7,FALSE), 0) +
IFERROR(VLOOKUP(CombinedStack[[#This Row],[Dupes]],Y8S4[],7,FALSE), 0)</f>
        <v>0</v>
      </c>
      <c r="H130" s="40">
        <f>IFERROR(VLOOKUP(CombinedStack[[#This Row],[Dupes]],Y9S1[],8,FALSE), 0)+
IFERROR(VLOOKUP(CombinedStack[[#This Row],[Dupes]],Y8S4[],8,FALSE), 0)</f>
        <v>1</v>
      </c>
      <c r="I130" s="40">
        <f>$G130+$H130</f>
        <v>1</v>
      </c>
      <c r="J130" s="44">
        <f>G130/(H130+G130)</f>
        <v>0</v>
      </c>
      <c r="K130" s="44" t="e">
        <f>(CombinedStack[[#This Row],[Wins]]-CombinedStack[[#This Row],[Losses]]/SUM(CombinedStack[Games Played]))/10</f>
        <v>#VALUE!</v>
      </c>
      <c r="L130" s="67"/>
    </row>
    <row r="131" spans="1:12">
      <c r="A131" s="40" t="str">
        <f>_xlfn.TEXTJOIN(",",TRUE,_xlfn._xlws.SORT(_xlfn.TEXTSPLIT(_xlfn.TEXTJOIN(",",TRUE,_xlfn._xlws.SORT($B131:$F131, 1, -1, FALSE)),"WWWWW",",")))</f>
        <v>Chromius.TAMU,Glonk.MB,Kermitt.MB,Koyeetchi</v>
      </c>
      <c r="B131" s="41" t="s">
        <v>162</v>
      </c>
      <c r="C131" s="42" t="s">
        <v>77</v>
      </c>
      <c r="D131" s="42" t="s">
        <v>118</v>
      </c>
      <c r="E131" s="125" t="s">
        <v>144</v>
      </c>
      <c r="F131" s="125"/>
      <c r="G131" s="108" t="e">
        <f>IFERROR(VLOOKUP(CombinedStack[[#This Row],[Dupes]],Y9S1[],7,FALSE), 0) +
IFERROR(VLOOKUP(CombinedStack[[#This Row],[Dupes]],Y8S4[],7,FALSE), 0)</f>
        <v>#VALUE!</v>
      </c>
      <c r="H131" s="40" t="e">
        <f>IFERROR(VLOOKUP(CombinedStack[[#This Row],[Dupes]],Y9S1[],8,FALSE), 0)+
IFERROR(VLOOKUP(CombinedStack[[#This Row],[Dupes]],Y8S4[],8,FALSE), 0)</f>
        <v>#VALUE!</v>
      </c>
      <c r="I131" s="40" t="e">
        <f>$G131+$H131</f>
        <v>#VALUE!</v>
      </c>
      <c r="J131" s="51">
        <f>IFERROR(G131/(H131+G131),0)</f>
        <v>0</v>
      </c>
      <c r="K131" s="44" t="e">
        <f>(CombinedStack[[#This Row],[Wins]]-CombinedStack[[#This Row],[Losses]]/SUM(CombinedStack[Games Played]))/10</f>
        <v>#VALUE!</v>
      </c>
      <c r="L131" s="67"/>
    </row>
    <row r="132" spans="1:12">
      <c r="A132" s="40" t="str">
        <f>_xlfn.TEXTJOIN(",",TRUE,_xlfn._xlws.SORT(_xlfn.TEXTSPLIT(_xlfn.TEXTJOIN(",",TRUE,_xlfn._xlws.SORT($B132:$F132, 1, -1, FALSE)),"WWWWW",",")))</f>
        <v>Chromius.TAMU,Glonk.MB,MrFish</v>
      </c>
      <c r="B132" s="41" t="s">
        <v>162</v>
      </c>
      <c r="C132" s="101" t="s">
        <v>77</v>
      </c>
      <c r="D132" s="145" t="s">
        <v>210</v>
      </c>
      <c r="E132" s="129" t="s">
        <v>180</v>
      </c>
      <c r="F132" s="126" t="s">
        <v>180</v>
      </c>
      <c r="G132" s="108">
        <f>IFERROR(VLOOKUP(CombinedStack[[#This Row],[Dupes]],Y9S1[],7,FALSE), 0) +
IFERROR(VLOOKUP(CombinedStack[[#This Row],[Dupes]],Y8S4[],7,FALSE), 0)</f>
        <v>0</v>
      </c>
      <c r="H132" s="40">
        <f>IFERROR(VLOOKUP(CombinedStack[[#This Row],[Dupes]],Y9S1[],8,FALSE), 0)+
IFERROR(VLOOKUP(CombinedStack[[#This Row],[Dupes]],Y8S4[],8,FALSE), 0)</f>
        <v>1</v>
      </c>
      <c r="I132" s="40">
        <f>$G132+$H132</f>
        <v>1</v>
      </c>
      <c r="J132" s="51">
        <f>G132/(H132+G132)</f>
        <v>0</v>
      </c>
      <c r="K132" s="44" t="e">
        <f>(CombinedStack[[#This Row],[Wins]]-CombinedStack[[#This Row],[Losses]]/SUM(CombinedStack[Games Played]))/10</f>
        <v>#VALUE!</v>
      </c>
      <c r="L132" s="68"/>
    </row>
    <row r="133" spans="1:12">
      <c r="A133" s="40" t="str">
        <f>_xlfn.TEXTJOIN(",",TRUE,_xlfn._xlws.SORT(_xlfn.TEXTSPLIT(_xlfn.TEXTJOIN(",",TRUE,_xlfn._xlws.SORT($B133:$F133, 1, -1, FALSE)),"WWWWW",",")))</f>
        <v>Galahad21588,Glonk.MB,Kermitt.MB</v>
      </c>
      <c r="B133" s="41" t="s">
        <v>162</v>
      </c>
      <c r="C133" s="42" t="s">
        <v>96</v>
      </c>
      <c r="D133" s="42" t="s">
        <v>118</v>
      </c>
      <c r="E133" s="129" t="s">
        <v>180</v>
      </c>
      <c r="F133" s="126" t="s">
        <v>180</v>
      </c>
      <c r="G133" s="108" t="e">
        <f>IFERROR(VLOOKUP(CombinedStack[[#This Row],[Dupes]],Y9S1[],7,FALSE), 0) +
IFERROR(VLOOKUP(CombinedStack[[#This Row],[Dupes]],Y8S4[],7,FALSE), 0)</f>
        <v>#VALUE!</v>
      </c>
      <c r="H133" s="40" t="e">
        <f>IFERROR(VLOOKUP(CombinedStack[[#This Row],[Dupes]],Y9S1[],8,FALSE), 0)+
IFERROR(VLOOKUP(CombinedStack[[#This Row],[Dupes]],Y8S4[],8,FALSE), 0)</f>
        <v>#VALUE!</v>
      </c>
      <c r="I133" s="40" t="e">
        <f>$G133+$H133</f>
        <v>#VALUE!</v>
      </c>
      <c r="J133" s="51">
        <f>IFERROR(G133/(H133+G133),0)</f>
        <v>0</v>
      </c>
      <c r="K133" s="44" t="e">
        <f>(CombinedStack[[#This Row],[Wins]]-CombinedStack[[#This Row],[Losses]]/SUM(CombinedStack[Games Played]))/10</f>
        <v>#VALUE!</v>
      </c>
      <c r="L133" s="67"/>
    </row>
    <row r="134" spans="1:12">
      <c r="A134" s="40" t="str">
        <f>_xlfn.TEXTJOIN(",",TRUE,_xlfn._xlws.SORT(_xlfn.TEXTSPLIT(_xlfn.TEXTJOIN(",",TRUE,_xlfn._xlws.SORT($B134:$F134, 1, -1, FALSE)),"WWWWW",",")))</f>
        <v>Glonk.MB,ThiccPie.OU,Timythiccums.MB</v>
      </c>
      <c r="B134" s="41" t="s">
        <v>162</v>
      </c>
      <c r="C134" s="101" t="s">
        <v>104</v>
      </c>
      <c r="D134" s="101" t="s">
        <v>81</v>
      </c>
      <c r="E134" s="126" t="s">
        <v>180</v>
      </c>
      <c r="F134" s="126" t="s">
        <v>180</v>
      </c>
      <c r="G134" s="108">
        <f>IFERROR(VLOOKUP(CombinedStack[[#This Row],[Dupes]],Y9S1[],7,FALSE), 0) +
IFERROR(VLOOKUP(CombinedStack[[#This Row],[Dupes]],Y8S4[],7,FALSE), 0)</f>
        <v>0</v>
      </c>
      <c r="H134" s="40">
        <f>IFERROR(VLOOKUP(CombinedStack[[#This Row],[Dupes]],Y9S1[],8,FALSE), 0)+
IFERROR(VLOOKUP(CombinedStack[[#This Row],[Dupes]],Y8S4[],8,FALSE), 0)</f>
        <v>1</v>
      </c>
      <c r="I134" s="40">
        <f>$G134+$H134</f>
        <v>1</v>
      </c>
      <c r="J134" s="51">
        <f>G134/(H134+G134)</f>
        <v>0</v>
      </c>
      <c r="K134" s="44" t="e">
        <f>(CombinedStack[[#This Row],[Wins]]-CombinedStack[[#This Row],[Losses]]/SUM(CombinedStack[Games Played]))/10</f>
        <v>#VALUE!</v>
      </c>
      <c r="L134" s="68"/>
    </row>
  </sheetData>
  <conditionalFormatting sqref="B2:F14 B15:E15 B16:F17 B18:E18 B32:E32 B41:C42 E41:F42 B43:E43 B58:D60 F58:F60 B61:F62 B63 D63 F63:F64 B64:C64 B65:D67 F66:F72 B68:C68 B69:D69 B70:C73 B74:D77 F74:F77 B78:F95 B96:D97 E96:F98 B98:C98 B99:F114 B1:I1 B135:I560 G119:I134 B19:F31 B33:F40 B44:F57">
    <cfRule type="containsText" dxfId="934" priority="656" operator="containsText" text="Tim">
      <formula>NOT(ISERROR(SEARCH("Tim",B1)))</formula>
    </cfRule>
  </conditionalFormatting>
  <conditionalFormatting sqref="B2:F14 B15:E15 B16:F17 B18:E18 B32:E32 B41:C42 E41:F42 B58:D60 B61:F62 B63 D63 F63:F64 B64:C64 B65:D67 B68:C68 B69:D69 B70:C73 B74:D77 B78:F95 B96:D97 E96:F98 B98:C98 B99:F114 B135:F555 B19:F31 B33:F40 B43:E57 F44:F60">
    <cfRule type="containsText" dxfId="933" priority="624" operator="containsText" text="Dlehard">
      <formula>NOT(ISERROR(SEARCH("Dlehard",B2)))</formula>
    </cfRule>
    <cfRule type="containsText" dxfId="932" priority="625" operator="containsText" text="Strix">
      <formula>NOT(ISERROR(SEARCH("Strix",B2)))</formula>
    </cfRule>
  </conditionalFormatting>
  <conditionalFormatting sqref="C118:F118 B2:F115">
    <cfRule type="containsText" dxfId="931" priority="180" operator="containsText" text="Asherzs">
      <formula>NOT(ISERROR(SEARCH("Asherzs",B2)))</formula>
    </cfRule>
    <cfRule type="containsText" dxfId="930" priority="181" operator="containsText" text="Killmer.LAT">
      <formula>NOT(ISERROR(SEARCH("Killmer.LAT",B2)))</formula>
    </cfRule>
    <cfRule type="containsText" dxfId="929" priority="182" operator="containsText" text="Pathos-val">
      <formula>NOT(ISERROR(SEARCH("Pathos-val",B2)))</formula>
    </cfRule>
    <cfRule type="containsText" dxfId="928" priority="183" operator="containsText" text="lostarkwhale">
      <formula>NOT(ISERROR(SEARCH("lostarkwhale",B2)))</formula>
    </cfRule>
    <cfRule type="containsText" dxfId="927" priority="184" operator="containsText" text="Nobetterdough">
      <formula>NOT(ISERROR(SEARCH("Nobetterdough",B2)))</formula>
    </cfRule>
    <cfRule type="containsText" dxfId="926" priority="185" operator="containsText" text="JoeHashish">
      <formula>NOT(ISERROR(SEARCH("JoeHashish",B2)))</formula>
    </cfRule>
    <cfRule type="containsText" dxfId="925" priority="186" operator="containsText" text="Kermitt.MB">
      <formula>NOT(ISERROR(SEARCH("Kermitt.MB",B2)))</formula>
    </cfRule>
    <cfRule type="containsText" dxfId="924" priority="187" operator="containsText" text="ThiccPie.OU">
      <formula>NOT(ISERROR(SEARCH("ThiccPie.OU",B2)))</formula>
    </cfRule>
    <cfRule type="containsText" dxfId="923" priority="188" operator="containsText" text="Strugg1er.">
      <formula>NOT(ISERROR(SEARCH("Strugg1er.",B2)))</formula>
    </cfRule>
    <cfRule type="containsText" dxfId="922" priority="189" operator="containsText" text="Coolrocket">
      <formula>NOT(ISERROR(SEARCH("Coolrocket",B2)))</formula>
    </cfRule>
    <cfRule type="containsText" dxfId="921" priority="190" operator="containsText" text="Fallen.Rqnger">
      <formula>NOT(ISERROR(SEARCH("Fallen.Rqnger",B2)))</formula>
    </cfRule>
    <cfRule type="containsText" dxfId="920" priority="655" operator="containsText" text="Boomer">
      <formula>NOT(ISERROR(SEARCH("Boomer",B2)))</formula>
    </cfRule>
  </conditionalFormatting>
  <conditionalFormatting sqref="B135:F555 B1:F14 B15:E15 B16:F17 B18:E18 B32:E32 B41:C42 E41:F42 B58:D60 B61:F62 B63 D63 F63:F64 B64:C64 B65:D67 B68:C68 B69:D69 B70:C73 B74:D77 B78:F95 B96:D97 E96:F98 B98:C98 B99:F114 B19:F31 B33:F40 B43:E57 F44:F60">
    <cfRule type="containsText" dxfId="919" priority="648" operator="containsText" text="Struggler">
      <formula>NOT(ISERROR(SEARCH("Struggler",B1)))</formula>
    </cfRule>
  </conditionalFormatting>
  <conditionalFormatting sqref="B1:I1 B2:F14 B15:E15 B16:F17 B18:E18 B32:E32 B41:C42 E41:F42 B43:E43 B58:D60 F58:F60 B61:F62 B63 D63 F63:F64 B64:C64 B65:D67 B68:C68 B69:D69 B70:C73 B74:D77 B78:F95 B96:D97 E96:F98 B98:C98 B99:F114 B135:I560 F66:F72 F74:F77 G119:I134 B19:F31 B33:F40 B44:F57">
    <cfRule type="containsText" dxfId="918" priority="649" operator="containsText" text="Koyeetchi">
      <formula>NOT(ISERROR(SEARCH("Koyeetchi",B1)))</formula>
    </cfRule>
  </conditionalFormatting>
  <conditionalFormatting sqref="B1:I1 B2:F14 B15:E15 B16:F17 B18:E18 B32:E32 B41:C42 E41:F42 B43:E43 B58:D60 F58:F60 B61:F62 B63 D63 F63:F64 B64:C64 B65:D67 F66:F72 B68:C68 B69:D69 B70:C73 B74:D77 F74:F77 B78:F95 B96:D97 E96:F98 B98:C98 B99:F114 B135:I560 G119:I134 B19:F31 B33:F40 B44:F57">
    <cfRule type="containsText" dxfId="917" priority="650" operator="containsText" text="Mauricio">
      <formula>NOT(ISERROR(SEARCH("Mauricio",B1)))</formula>
    </cfRule>
    <cfRule type="containsText" dxfId="916" priority="651" operator="containsText" text="Glonk">
      <formula>NOT(ISERROR(SEARCH("Glonk",B1)))</formula>
    </cfRule>
    <cfRule type="containsText" dxfId="915" priority="652" operator="containsText" text="Chris">
      <formula>NOT(ISERROR(SEARCH("Chris",B1)))</formula>
    </cfRule>
    <cfRule type="containsText" dxfId="914" priority="653" operator="containsText" text="Ranger">
      <formula>NOT(ISERROR(SEARCH("Ranger",B1)))</formula>
    </cfRule>
    <cfRule type="containsText" dxfId="913" priority="654" operator="containsText" text="Rat">
      <formula>NOT(ISERROR(SEARCH("Rat",B1)))</formula>
    </cfRule>
    <cfRule type="containsText" dxfId="912" priority="657" operator="containsText" text="Mason">
      <formula>NOT(ISERROR(SEARCH("Mason",B1)))</formula>
    </cfRule>
    <cfRule type="containsText" dxfId="911" priority="658" operator="containsText" text="Blade">
      <formula>NOT(ISERROR(SEARCH("Blade",B1)))</formula>
    </cfRule>
    <cfRule type="containsText" dxfId="910" priority="659" operator="containsText" text="Andrew">
      <formula>NOT(ISERROR(SEARCH("Andrew",B1)))</formula>
    </cfRule>
    <cfRule type="containsText" dxfId="909" priority="660" operator="containsText" text="Shyam">
      <formula>NOT(ISERROR(SEARCH("Shyam",B1)))</formula>
    </cfRule>
    <cfRule type="containsText" dxfId="908" priority="661" operator="containsText" text="IUseArch">
      <formula>NOT(ISERROR(SEARCH("IUseArch",B1)))</formula>
    </cfRule>
    <cfRule type="containsText" dxfId="907" priority="662" operator="containsText" text="Colonizer">
      <formula>NOT(ISERROR(SEARCH("Colonizer",B1)))</formula>
    </cfRule>
    <cfRule type="containsText" dxfId="906" priority="663" operator="containsText" text="Lappland">
      <formula>NOT(ISERROR(SEARCH("Lappland",B1)))</formula>
    </cfRule>
    <cfRule type="containsText" dxfId="905" priority="664" operator="containsText" text="Diehard">
      <formula>NOT(ISERROR(SEARCH("Diehard",B1)))</formula>
    </cfRule>
    <cfRule type="containsText" dxfId="904" priority="665" operator="containsText" text="Louis">
      <formula>NOT(ISERROR(SEARCH("Louis",B1)))</formula>
    </cfRule>
    <cfRule type="containsText" dxfId="903" priority="674" operator="containsText" text="Cortex">
      <formula>NOT(ISERROR(SEARCH("Cortex",B1)))</formula>
    </cfRule>
    <cfRule type="containsText" dxfId="902" priority="676" operator="containsText" text="Acceptable">
      <formula>NOT(ISERROR(SEARCH("Acceptable",B1)))</formula>
    </cfRule>
    <cfRule type="containsText" dxfId="901" priority="677" operator="containsText" text="Minimum">
      <formula>NOT(ISERROR(SEARCH("Minimum",B1)))</formula>
    </cfRule>
    <cfRule type="containsText" dxfId="900" priority="678" operator="containsText" text="_">
      <formula>NOT(ISERROR(SEARCH("_",B1)))</formula>
    </cfRule>
  </conditionalFormatting>
  <conditionalFormatting sqref="C118:L118 G116:L117 B2:L115">
    <cfRule type="containsText" dxfId="899" priority="191" operator="containsText" text="PincheConcha">
      <formula>NOT(ISERROR(SEARCH("PincheConcha",B2)))</formula>
    </cfRule>
    <cfRule type="containsText" dxfId="898" priority="192" operator="containsText" text="Chromius.TAMU">
      <formula>NOT(ISERROR(SEARCH("Chromius.TAMU",B2)))</formula>
    </cfRule>
    <cfRule type="containsText" dxfId="897" priority="267" operator="containsText" text="Galahad21588">
      <formula>NOT(ISERROR(SEARCH("Galahad21588",B2)))</formula>
    </cfRule>
  </conditionalFormatting>
  <conditionalFormatting sqref="C16:C19">
    <cfRule type="containsText" dxfId="896" priority="675" operator="containsText" text="_">
      <formula>NOT(ISERROR(SEARCH("_",C16)))</formula>
    </cfRule>
  </conditionalFormatting>
  <conditionalFormatting sqref="C63">
    <cfRule type="containsText" dxfId="895" priority="340" operator="containsText" text="Struggler">
      <formula>NOT(ISERROR(SEARCH("Struggler",C63)))</formula>
    </cfRule>
    <cfRule type="containsText" dxfId="894" priority="341" operator="containsText" text="Koyeetchi">
      <formula>NOT(ISERROR(SEARCH("Koyeetchi",C63)))</formula>
    </cfRule>
    <cfRule type="containsText" dxfId="893" priority="342" operator="containsText" text="Mauricio">
      <formula>NOT(ISERROR(SEARCH("Mauricio",C63)))</formula>
    </cfRule>
    <cfRule type="containsText" dxfId="892" priority="343" operator="containsText" text="Glonk">
      <formula>NOT(ISERROR(SEARCH("Glonk",C63)))</formula>
    </cfRule>
    <cfRule type="containsText" dxfId="891" priority="344" operator="containsText" text="Chris">
      <formula>NOT(ISERROR(SEARCH("Chris",C63)))</formula>
    </cfRule>
    <cfRule type="containsText" dxfId="890" priority="345" operator="containsText" text="Ranger">
      <formula>NOT(ISERROR(SEARCH("Ranger",C63)))</formula>
    </cfRule>
    <cfRule type="containsText" dxfId="889" priority="346" operator="containsText" text="Rat">
      <formula>NOT(ISERROR(SEARCH("Rat",C63)))</formula>
    </cfRule>
    <cfRule type="containsText" dxfId="888" priority="347" operator="containsText" text="Boomer">
      <formula>NOT(ISERROR(SEARCH("Boomer",C63)))</formula>
    </cfRule>
    <cfRule type="containsText" dxfId="887" priority="348" operator="containsText" text="Tim">
      <formula>NOT(ISERROR(SEARCH("Tim",C63)))</formula>
    </cfRule>
    <cfRule type="containsText" dxfId="886" priority="349" operator="containsText" text="Mason">
      <formula>NOT(ISERROR(SEARCH("Mason",C63)))</formula>
    </cfRule>
    <cfRule type="containsText" dxfId="885" priority="350" operator="containsText" text="Blade">
      <formula>NOT(ISERROR(SEARCH("Blade",C63)))</formula>
    </cfRule>
    <cfRule type="containsText" dxfId="884" priority="351" operator="containsText" text="Andrew">
      <formula>NOT(ISERROR(SEARCH("Andrew",C63)))</formula>
    </cfRule>
    <cfRule type="containsText" dxfId="883" priority="352" operator="containsText" text="Shyam">
      <formula>NOT(ISERROR(SEARCH("Shyam",C63)))</formula>
    </cfRule>
    <cfRule type="containsText" dxfId="882" priority="353" operator="containsText" text="IUseArch">
      <formula>NOT(ISERROR(SEARCH("IUseArch",C63)))</formula>
    </cfRule>
    <cfRule type="containsText" dxfId="881" priority="354" operator="containsText" text="Colonizer">
      <formula>NOT(ISERROR(SEARCH("Colonizer",C63)))</formula>
    </cfRule>
    <cfRule type="containsText" dxfId="880" priority="355" operator="containsText" text="Lappland">
      <formula>NOT(ISERROR(SEARCH("Lappland",C63)))</formula>
    </cfRule>
    <cfRule type="containsText" dxfId="879" priority="356" operator="containsText" text="Diehard">
      <formula>NOT(ISERROR(SEARCH("Diehard",C63)))</formula>
    </cfRule>
    <cfRule type="containsText" dxfId="878" priority="357" operator="containsText" text="Louis">
      <formula>NOT(ISERROR(SEARCH("Louis",C63)))</formula>
    </cfRule>
    <cfRule type="containsText" dxfId="877" priority="358" operator="containsText" text="Cortex">
      <formula>NOT(ISERROR(SEARCH("Cortex",C63)))</formula>
    </cfRule>
    <cfRule type="containsText" dxfId="876" priority="359" operator="containsText" text="Acceptable">
      <formula>NOT(ISERROR(SEARCH("Acceptable",C63)))</formula>
    </cfRule>
    <cfRule type="containsText" dxfId="875" priority="360" operator="containsText" text="Minimum">
      <formula>NOT(ISERROR(SEARCH("Minimum",C63)))</formula>
    </cfRule>
    <cfRule type="containsText" dxfId="874" priority="361" operator="containsText" text="_">
      <formula>NOT(ISERROR(SEARCH("_",C63)))</formula>
    </cfRule>
  </conditionalFormatting>
  <conditionalFormatting sqref="D41:D42">
    <cfRule type="containsText" dxfId="873" priority="362" operator="containsText" text="Struggler">
      <formula>NOT(ISERROR(SEARCH("Struggler",D41)))</formula>
    </cfRule>
    <cfRule type="containsText" dxfId="872" priority="363" operator="containsText" text="Koyeetchi">
      <formula>NOT(ISERROR(SEARCH("Koyeetchi",D41)))</formula>
    </cfRule>
    <cfRule type="containsText" dxfId="871" priority="364" operator="containsText" text="Mauricio">
      <formula>NOT(ISERROR(SEARCH("Mauricio",D41)))</formula>
    </cfRule>
    <cfRule type="containsText" dxfId="870" priority="365" operator="containsText" text="Glonk">
      <formula>NOT(ISERROR(SEARCH("Glonk",D41)))</formula>
    </cfRule>
    <cfRule type="containsText" dxfId="869" priority="366" operator="containsText" text="Chris">
      <formula>NOT(ISERROR(SEARCH("Chris",D41)))</formula>
    </cfRule>
    <cfRule type="containsText" dxfId="868" priority="367" operator="containsText" text="Ranger">
      <formula>NOT(ISERROR(SEARCH("Ranger",D41)))</formula>
    </cfRule>
    <cfRule type="containsText" dxfId="867" priority="368" operator="containsText" text="Rat">
      <formula>NOT(ISERROR(SEARCH("Rat",D41)))</formula>
    </cfRule>
    <cfRule type="containsText" dxfId="866" priority="369" operator="containsText" text="Boomer">
      <formula>NOT(ISERROR(SEARCH("Boomer",D41)))</formula>
    </cfRule>
    <cfRule type="containsText" dxfId="865" priority="370" operator="containsText" text="Tim">
      <formula>NOT(ISERROR(SEARCH("Tim",D41)))</formula>
    </cfRule>
    <cfRule type="containsText" dxfId="864" priority="371" operator="containsText" text="Mason">
      <formula>NOT(ISERROR(SEARCH("Mason",D41)))</formula>
    </cfRule>
    <cfRule type="containsText" dxfId="863" priority="372" operator="containsText" text="Blade">
      <formula>NOT(ISERROR(SEARCH("Blade",D41)))</formula>
    </cfRule>
    <cfRule type="containsText" dxfId="862" priority="373" operator="containsText" text="Andrew">
      <formula>NOT(ISERROR(SEARCH("Andrew",D41)))</formula>
    </cfRule>
    <cfRule type="containsText" dxfId="861" priority="374" operator="containsText" text="Shyam">
      <formula>NOT(ISERROR(SEARCH("Shyam",D41)))</formula>
    </cfRule>
    <cfRule type="containsText" dxfId="860" priority="375" operator="containsText" text="IUseArch">
      <formula>NOT(ISERROR(SEARCH("IUseArch",D41)))</formula>
    </cfRule>
    <cfRule type="containsText" dxfId="859" priority="376" operator="containsText" text="Colonizer">
      <formula>NOT(ISERROR(SEARCH("Colonizer",D41)))</formula>
    </cfRule>
    <cfRule type="containsText" dxfId="858" priority="377" operator="containsText" text="Lappland">
      <formula>NOT(ISERROR(SEARCH("Lappland",D41)))</formula>
    </cfRule>
    <cfRule type="containsText" dxfId="857" priority="378" operator="containsText" text="Diehard">
      <formula>NOT(ISERROR(SEARCH("Diehard",D41)))</formula>
    </cfRule>
    <cfRule type="containsText" dxfId="856" priority="379" operator="containsText" text="Louis">
      <formula>NOT(ISERROR(SEARCH("Louis",D41)))</formula>
    </cfRule>
    <cfRule type="containsText" dxfId="855" priority="380" operator="containsText" text="Cortex">
      <formula>NOT(ISERROR(SEARCH("Cortex",D41)))</formula>
    </cfRule>
    <cfRule type="containsText" dxfId="854" priority="381" operator="containsText" text="Acceptable">
      <formula>NOT(ISERROR(SEARCH("Acceptable",D41)))</formula>
    </cfRule>
    <cfRule type="containsText" dxfId="853" priority="382" operator="containsText" text="Minimum">
      <formula>NOT(ISERROR(SEARCH("Minimum",D41)))</formula>
    </cfRule>
    <cfRule type="containsText" dxfId="852" priority="383" operator="containsText" text="_">
      <formula>NOT(ISERROR(SEARCH("_",D41)))</formula>
    </cfRule>
  </conditionalFormatting>
  <conditionalFormatting sqref="D64">
    <cfRule type="containsText" dxfId="851" priority="318" operator="containsText" text="Struggler">
      <formula>NOT(ISERROR(SEARCH("Struggler",D64)))</formula>
    </cfRule>
    <cfRule type="containsText" dxfId="850" priority="319" operator="containsText" text="Koyeetchi">
      <formula>NOT(ISERROR(SEARCH("Koyeetchi",D64)))</formula>
    </cfRule>
    <cfRule type="containsText" dxfId="849" priority="320" operator="containsText" text="Mauricio">
      <formula>NOT(ISERROR(SEARCH("Mauricio",D64)))</formula>
    </cfRule>
    <cfRule type="containsText" dxfId="848" priority="321" operator="containsText" text="Glonk">
      <formula>NOT(ISERROR(SEARCH("Glonk",D64)))</formula>
    </cfRule>
    <cfRule type="containsText" dxfId="847" priority="322" operator="containsText" text="Chris">
      <formula>NOT(ISERROR(SEARCH("Chris",D64)))</formula>
    </cfRule>
    <cfRule type="containsText" dxfId="846" priority="323" operator="containsText" text="Ranger">
      <formula>NOT(ISERROR(SEARCH("Ranger",D64)))</formula>
    </cfRule>
    <cfRule type="containsText" dxfId="845" priority="324" operator="containsText" text="Rat">
      <formula>NOT(ISERROR(SEARCH("Rat",D64)))</formula>
    </cfRule>
    <cfRule type="containsText" dxfId="844" priority="325" operator="containsText" text="Boomer">
      <formula>NOT(ISERROR(SEARCH("Boomer",D64)))</formula>
    </cfRule>
    <cfRule type="containsText" dxfId="843" priority="326" operator="containsText" text="Tim">
      <formula>NOT(ISERROR(SEARCH("Tim",D64)))</formula>
    </cfRule>
    <cfRule type="containsText" dxfId="842" priority="327" operator="containsText" text="Mason">
      <formula>NOT(ISERROR(SEARCH("Mason",D64)))</formula>
    </cfRule>
    <cfRule type="containsText" dxfId="841" priority="328" operator="containsText" text="Blade">
      <formula>NOT(ISERROR(SEARCH("Blade",D64)))</formula>
    </cfRule>
    <cfRule type="containsText" dxfId="840" priority="329" operator="containsText" text="Andrew">
      <formula>NOT(ISERROR(SEARCH("Andrew",D64)))</formula>
    </cfRule>
    <cfRule type="containsText" dxfId="839" priority="330" operator="containsText" text="Shyam">
      <formula>NOT(ISERROR(SEARCH("Shyam",D64)))</formula>
    </cfRule>
    <cfRule type="containsText" dxfId="838" priority="331" operator="containsText" text="IUseArch">
      <formula>NOT(ISERROR(SEARCH("IUseArch",D64)))</formula>
    </cfRule>
    <cfRule type="containsText" dxfId="837" priority="332" operator="containsText" text="Colonizer">
      <formula>NOT(ISERROR(SEARCH("Colonizer",D64)))</formula>
    </cfRule>
    <cfRule type="containsText" dxfId="836" priority="333" operator="containsText" text="Lappland">
      <formula>NOT(ISERROR(SEARCH("Lappland",D64)))</formula>
    </cfRule>
    <cfRule type="containsText" dxfId="835" priority="334" operator="containsText" text="Diehard">
      <formula>NOT(ISERROR(SEARCH("Diehard",D64)))</formula>
    </cfRule>
    <cfRule type="containsText" dxfId="834" priority="335" operator="containsText" text="Louis">
      <formula>NOT(ISERROR(SEARCH("Louis",D64)))</formula>
    </cfRule>
    <cfRule type="containsText" dxfId="833" priority="336" operator="containsText" text="Cortex">
      <formula>NOT(ISERROR(SEARCH("Cortex",D64)))</formula>
    </cfRule>
    <cfRule type="containsText" dxfId="832" priority="337" operator="containsText" text="Acceptable">
      <formula>NOT(ISERROR(SEARCH("Acceptable",D64)))</formula>
    </cfRule>
    <cfRule type="containsText" dxfId="831" priority="338" operator="containsText" text="Minimum">
      <formula>NOT(ISERROR(SEARCH("Minimum",D64)))</formula>
    </cfRule>
    <cfRule type="containsText" dxfId="830" priority="339" operator="containsText" text="_">
      <formula>NOT(ISERROR(SEARCH("_",D64)))</formula>
    </cfRule>
  </conditionalFormatting>
  <conditionalFormatting sqref="D68">
    <cfRule type="containsText" dxfId="829" priority="528" operator="containsText" text="Dlehard">
      <formula>NOT(ISERROR(SEARCH("Dlehard",D68)))</formula>
    </cfRule>
    <cfRule type="containsText" dxfId="828" priority="529" operator="containsText" text="Strix">
      <formula>NOT(ISERROR(SEARCH("Strix",D68)))</formula>
    </cfRule>
    <cfRule type="containsText" dxfId="827" priority="530" operator="containsText" text="Struggler">
      <formula>NOT(ISERROR(SEARCH("Struggler",D68)))</formula>
    </cfRule>
    <cfRule type="containsText" dxfId="826" priority="531" operator="containsText" text="Koyeetchi">
      <formula>NOT(ISERROR(SEARCH("Koyeetchi",D68)))</formula>
    </cfRule>
    <cfRule type="containsText" dxfId="825" priority="532" operator="containsText" text="Mauricio">
      <formula>NOT(ISERROR(SEARCH("Mauricio",D68)))</formula>
    </cfRule>
    <cfRule type="containsText" dxfId="824" priority="533" operator="containsText" text="Glonk">
      <formula>NOT(ISERROR(SEARCH("Glonk",D68)))</formula>
    </cfRule>
    <cfRule type="containsText" dxfId="823" priority="534" operator="containsText" text="Chris">
      <formula>NOT(ISERROR(SEARCH("Chris",D68)))</formula>
    </cfRule>
    <cfRule type="containsText" dxfId="822" priority="535" operator="containsText" text="Ranger">
      <formula>NOT(ISERROR(SEARCH("Ranger",D68)))</formula>
    </cfRule>
    <cfRule type="containsText" dxfId="821" priority="536" operator="containsText" text="Rat">
      <formula>NOT(ISERROR(SEARCH("Rat",D68)))</formula>
    </cfRule>
    <cfRule type="containsText" dxfId="820" priority="537" operator="containsText" text="Boomer">
      <formula>NOT(ISERROR(SEARCH("Boomer",D68)))</formula>
    </cfRule>
    <cfRule type="containsText" dxfId="819" priority="538" operator="containsText" text="Tim">
      <formula>NOT(ISERROR(SEARCH("Tim",D68)))</formula>
    </cfRule>
    <cfRule type="containsText" dxfId="818" priority="539" operator="containsText" text="Mason">
      <formula>NOT(ISERROR(SEARCH("Mason",D68)))</formula>
    </cfRule>
    <cfRule type="containsText" dxfId="817" priority="540" operator="containsText" text="Blade">
      <formula>NOT(ISERROR(SEARCH("Blade",D68)))</formula>
    </cfRule>
    <cfRule type="containsText" dxfId="816" priority="541" operator="containsText" text="Andrew">
      <formula>NOT(ISERROR(SEARCH("Andrew",D68)))</formula>
    </cfRule>
    <cfRule type="containsText" dxfId="815" priority="542" operator="containsText" text="Shyam">
      <formula>NOT(ISERROR(SEARCH("Shyam",D68)))</formula>
    </cfRule>
    <cfRule type="containsText" dxfId="814" priority="543" operator="containsText" text="IUseArch">
      <formula>NOT(ISERROR(SEARCH("IUseArch",D68)))</formula>
    </cfRule>
    <cfRule type="containsText" dxfId="813" priority="544" operator="containsText" text="Colonizer">
      <formula>NOT(ISERROR(SEARCH("Colonizer",D68)))</formula>
    </cfRule>
    <cfRule type="containsText" dxfId="812" priority="545" operator="containsText" text="Lappland">
      <formula>NOT(ISERROR(SEARCH("Lappland",D68)))</formula>
    </cfRule>
    <cfRule type="containsText" dxfId="811" priority="546" operator="containsText" text="Diehard">
      <formula>NOT(ISERROR(SEARCH("Diehard",D68)))</formula>
    </cfRule>
    <cfRule type="containsText" dxfId="810" priority="547" operator="containsText" text="Louis">
      <formula>NOT(ISERROR(SEARCH("Louis",D68)))</formula>
    </cfRule>
    <cfRule type="containsText" dxfId="809" priority="548" operator="containsText" text="Cortex">
      <formula>NOT(ISERROR(SEARCH("Cortex",D68)))</formula>
    </cfRule>
    <cfRule type="containsText" dxfId="808" priority="549" operator="containsText" text="Acceptable">
      <formula>NOT(ISERROR(SEARCH("Acceptable",D68)))</formula>
    </cfRule>
    <cfRule type="containsText" dxfId="807" priority="550" operator="containsText" text="Minimum">
      <formula>NOT(ISERROR(SEARCH("Minimum",D68)))</formula>
    </cfRule>
    <cfRule type="containsText" dxfId="806" priority="551" operator="containsText" text="_">
      <formula>NOT(ISERROR(SEARCH("_",D68)))</formula>
    </cfRule>
  </conditionalFormatting>
  <conditionalFormatting sqref="D98">
    <cfRule type="containsText" dxfId="805" priority="193" operator="containsText" text="Dlehard">
      <formula>NOT(ISERROR(SEARCH("Dlehard",D98)))</formula>
    </cfRule>
    <cfRule type="containsText" dxfId="804" priority="268" operator="containsText" text="Dlehard">
      <formula>NOT(ISERROR(SEARCH("Dlehard",D98)))</formula>
    </cfRule>
    <cfRule type="containsText" dxfId="803" priority="269" operator="containsText" text="Strix">
      <formula>NOT(ISERROR(SEARCH("Strix",D98)))</formula>
    </cfRule>
    <cfRule type="containsText" dxfId="802" priority="270" operator="containsText" text="Struggler">
      <formula>NOT(ISERROR(SEARCH("Struggler",D98)))</formula>
    </cfRule>
    <cfRule type="containsText" dxfId="801" priority="271" operator="containsText" text="Koyeetchi">
      <formula>NOT(ISERROR(SEARCH("Koyeetchi",D98)))</formula>
    </cfRule>
    <cfRule type="containsText" dxfId="800" priority="272" operator="containsText" text="Mauricio">
      <formula>NOT(ISERROR(SEARCH("Mauricio",D98)))</formula>
    </cfRule>
    <cfRule type="containsText" dxfId="799" priority="273" operator="containsText" text="Glonk">
      <formula>NOT(ISERROR(SEARCH("Glonk",D98)))</formula>
    </cfRule>
    <cfRule type="containsText" dxfId="798" priority="274" operator="containsText" text="Chris">
      <formula>NOT(ISERROR(SEARCH("Chris",D98)))</formula>
    </cfRule>
    <cfRule type="containsText" dxfId="797" priority="275" operator="containsText" text="Ranger">
      <formula>NOT(ISERROR(SEARCH("Ranger",D98)))</formula>
    </cfRule>
    <cfRule type="containsText" dxfId="796" priority="276" operator="containsText" text="Rat">
      <formula>NOT(ISERROR(SEARCH("Rat",D98)))</formula>
    </cfRule>
    <cfRule type="containsText" dxfId="795" priority="277" operator="containsText" text="Boomer">
      <formula>NOT(ISERROR(SEARCH("Boomer",D98)))</formula>
    </cfRule>
    <cfRule type="containsText" dxfId="794" priority="278" operator="containsText" text="Tim">
      <formula>NOT(ISERROR(SEARCH("Tim",D98)))</formula>
    </cfRule>
    <cfRule type="containsText" dxfId="793" priority="279" operator="containsText" text="Mason">
      <formula>NOT(ISERROR(SEARCH("Mason",D98)))</formula>
    </cfRule>
    <cfRule type="containsText" dxfId="792" priority="280" operator="containsText" text="Blade">
      <formula>NOT(ISERROR(SEARCH("Blade",D98)))</formula>
    </cfRule>
    <cfRule type="containsText" dxfId="791" priority="281" operator="containsText" text="Andrew">
      <formula>NOT(ISERROR(SEARCH("Andrew",D98)))</formula>
    </cfRule>
    <cfRule type="containsText" dxfId="790" priority="282" operator="containsText" text="Shyam">
      <formula>NOT(ISERROR(SEARCH("Shyam",D98)))</formula>
    </cfRule>
    <cfRule type="containsText" dxfId="789" priority="283" operator="containsText" text="IUseArch">
      <formula>NOT(ISERROR(SEARCH("IUseArch",D98)))</formula>
    </cfRule>
    <cfRule type="containsText" dxfId="788" priority="284" operator="containsText" text="Colonizer">
      <formula>NOT(ISERROR(SEARCH("Colonizer",D98)))</formula>
    </cfRule>
    <cfRule type="containsText" dxfId="787" priority="285" operator="containsText" text="Lappland">
      <formula>NOT(ISERROR(SEARCH("Lappland",D98)))</formula>
    </cfRule>
    <cfRule type="containsText" dxfId="786" priority="286" operator="containsText" text="Diehard">
      <formula>NOT(ISERROR(SEARCH("Diehard",D98)))</formula>
    </cfRule>
    <cfRule type="containsText" dxfId="785" priority="287" operator="containsText" text="Louis">
      <formula>NOT(ISERROR(SEARCH("Louis",D98)))</formula>
    </cfRule>
    <cfRule type="containsText" dxfId="784" priority="288" operator="containsText" text="Cortex">
      <formula>NOT(ISERROR(SEARCH("Cortex",D98)))</formula>
    </cfRule>
    <cfRule type="containsText" dxfId="783" priority="289" operator="containsText" text="Acceptable">
      <formula>NOT(ISERROR(SEARCH("Acceptable",D98)))</formula>
    </cfRule>
    <cfRule type="containsText" dxfId="782" priority="290" operator="containsText" text="Minimum">
      <formula>NOT(ISERROR(SEARCH("Minimum",D98)))</formula>
    </cfRule>
    <cfRule type="containsText" dxfId="781" priority="291" operator="containsText" text="_">
      <formula>NOT(ISERROR(SEARCH("_",D98)))</formula>
    </cfRule>
  </conditionalFormatting>
  <conditionalFormatting sqref="D70:E73">
    <cfRule type="containsText" dxfId="780" priority="384" operator="containsText" text="Dlehard">
      <formula>NOT(ISERROR(SEARCH("Dlehard",D70)))</formula>
    </cfRule>
    <cfRule type="containsText" dxfId="779" priority="385" operator="containsText" text="Strix">
      <formula>NOT(ISERROR(SEARCH("Strix",D70)))</formula>
    </cfRule>
    <cfRule type="containsText" dxfId="778" priority="386" operator="containsText" text="Struggler">
      <formula>NOT(ISERROR(SEARCH("Struggler",D70)))</formula>
    </cfRule>
    <cfRule type="containsText" dxfId="777" priority="387" operator="containsText" text="Koyeetchi">
      <formula>NOT(ISERROR(SEARCH("Koyeetchi",D70)))</formula>
    </cfRule>
    <cfRule type="containsText" dxfId="776" priority="388" operator="containsText" text="Mauricio">
      <formula>NOT(ISERROR(SEARCH("Mauricio",D70)))</formula>
    </cfRule>
    <cfRule type="containsText" dxfId="775" priority="389" operator="containsText" text="Glonk">
      <formula>NOT(ISERROR(SEARCH("Glonk",D70)))</formula>
    </cfRule>
    <cfRule type="containsText" dxfId="774" priority="390" operator="containsText" text="Chris">
      <formula>NOT(ISERROR(SEARCH("Chris",D70)))</formula>
    </cfRule>
    <cfRule type="containsText" dxfId="773" priority="391" operator="containsText" text="Ranger">
      <formula>NOT(ISERROR(SEARCH("Ranger",D70)))</formula>
    </cfRule>
    <cfRule type="containsText" dxfId="772" priority="392" operator="containsText" text="Rat">
      <formula>NOT(ISERROR(SEARCH("Rat",D70)))</formula>
    </cfRule>
    <cfRule type="containsText" dxfId="771" priority="393" operator="containsText" text="Boomer">
      <formula>NOT(ISERROR(SEARCH("Boomer",D70)))</formula>
    </cfRule>
    <cfRule type="containsText" dxfId="770" priority="394" operator="containsText" text="Tim">
      <formula>NOT(ISERROR(SEARCH("Tim",D70)))</formula>
    </cfRule>
    <cfRule type="containsText" dxfId="769" priority="395" operator="containsText" text="Mason">
      <formula>NOT(ISERROR(SEARCH("Mason",D70)))</formula>
    </cfRule>
    <cfRule type="containsText" dxfId="768" priority="396" operator="containsText" text="Blade">
      <formula>NOT(ISERROR(SEARCH("Blade",D70)))</formula>
    </cfRule>
    <cfRule type="containsText" dxfId="767" priority="397" operator="containsText" text="Andrew">
      <formula>NOT(ISERROR(SEARCH("Andrew",D70)))</formula>
    </cfRule>
    <cfRule type="containsText" dxfId="766" priority="398" operator="containsText" text="Shyam">
      <formula>NOT(ISERROR(SEARCH("Shyam",D70)))</formula>
    </cfRule>
    <cfRule type="containsText" dxfId="765" priority="399" operator="containsText" text="IUseArch">
      <formula>NOT(ISERROR(SEARCH("IUseArch",D70)))</formula>
    </cfRule>
    <cfRule type="containsText" dxfId="764" priority="400" operator="containsText" text="Colonizer">
      <formula>NOT(ISERROR(SEARCH("Colonizer",D70)))</formula>
    </cfRule>
    <cfRule type="containsText" dxfId="763" priority="401" operator="containsText" text="Lappland">
      <formula>NOT(ISERROR(SEARCH("Lappland",D70)))</formula>
    </cfRule>
    <cfRule type="containsText" dxfId="762" priority="402" operator="containsText" text="Diehard">
      <formula>NOT(ISERROR(SEARCH("Diehard",D70)))</formula>
    </cfRule>
    <cfRule type="containsText" dxfId="761" priority="403" operator="containsText" text="Louis">
      <formula>NOT(ISERROR(SEARCH("Louis",D70)))</formula>
    </cfRule>
    <cfRule type="containsText" dxfId="760" priority="404" operator="containsText" text="Cortex">
      <formula>NOT(ISERROR(SEARCH("Cortex",D70)))</formula>
    </cfRule>
    <cfRule type="containsText" dxfId="759" priority="405" operator="containsText" text="Acceptable">
      <formula>NOT(ISERROR(SEARCH("Acceptable",D70)))</formula>
    </cfRule>
    <cfRule type="containsText" dxfId="758" priority="406" operator="containsText" text="Minimum">
      <formula>NOT(ISERROR(SEARCH("Minimum",D70)))</formula>
    </cfRule>
    <cfRule type="containsText" dxfId="757" priority="407" operator="containsText" text="_">
      <formula>NOT(ISERROR(SEARCH("_",D70)))</formula>
    </cfRule>
  </conditionalFormatting>
  <conditionalFormatting sqref="E58:E60 E74:E77">
    <cfRule type="containsText" dxfId="756" priority="576" operator="containsText" text="Dlehard">
      <formula>NOT(ISERROR(SEARCH("Dlehard",E58)))</formula>
    </cfRule>
    <cfRule type="containsText" dxfId="755" priority="577" operator="containsText" text="Strix">
      <formula>NOT(ISERROR(SEARCH("Strix",E58)))</formula>
    </cfRule>
    <cfRule type="containsText" dxfId="754" priority="578" operator="containsText" text="Struggler">
      <formula>NOT(ISERROR(SEARCH("Struggler",E58)))</formula>
    </cfRule>
    <cfRule type="containsText" dxfId="753" priority="579" operator="containsText" text="Koyeetchi">
      <formula>NOT(ISERROR(SEARCH("Koyeetchi",E58)))</formula>
    </cfRule>
    <cfRule type="containsText" dxfId="752" priority="580" operator="containsText" text="Mauricio">
      <formula>NOT(ISERROR(SEARCH("Mauricio",E58)))</formula>
    </cfRule>
    <cfRule type="containsText" dxfId="751" priority="581" operator="containsText" text="Glonk">
      <formula>NOT(ISERROR(SEARCH("Glonk",E58)))</formula>
    </cfRule>
    <cfRule type="containsText" dxfId="750" priority="582" operator="containsText" text="Chris">
      <formula>NOT(ISERROR(SEARCH("Chris",E58)))</formula>
    </cfRule>
    <cfRule type="containsText" dxfId="749" priority="583" operator="containsText" text="Ranger">
      <formula>NOT(ISERROR(SEARCH("Ranger",E58)))</formula>
    </cfRule>
    <cfRule type="containsText" dxfId="748" priority="584" operator="containsText" text="Rat">
      <formula>NOT(ISERROR(SEARCH("Rat",E58)))</formula>
    </cfRule>
    <cfRule type="containsText" dxfId="747" priority="585" operator="containsText" text="Boomer">
      <formula>NOT(ISERROR(SEARCH("Boomer",E58)))</formula>
    </cfRule>
    <cfRule type="containsText" dxfId="746" priority="586" operator="containsText" text="Tim">
      <formula>NOT(ISERROR(SEARCH("Tim",E58)))</formula>
    </cfRule>
    <cfRule type="containsText" dxfId="745" priority="587" operator="containsText" text="Mason">
      <formula>NOT(ISERROR(SEARCH("Mason",E58)))</formula>
    </cfRule>
    <cfRule type="containsText" dxfId="744" priority="588" operator="containsText" text="Blade">
      <formula>NOT(ISERROR(SEARCH("Blade",E58)))</formula>
    </cfRule>
    <cfRule type="containsText" dxfId="743" priority="589" operator="containsText" text="Andrew">
      <formula>NOT(ISERROR(SEARCH("Andrew",E58)))</formula>
    </cfRule>
    <cfRule type="containsText" dxfId="742" priority="590" operator="containsText" text="Shyam">
      <formula>NOT(ISERROR(SEARCH("Shyam",E58)))</formula>
    </cfRule>
    <cfRule type="containsText" dxfId="741" priority="591" operator="containsText" text="IUseArch">
      <formula>NOT(ISERROR(SEARCH("IUseArch",E58)))</formula>
    </cfRule>
    <cfRule type="containsText" dxfId="740" priority="592" operator="containsText" text="Colonizer">
      <formula>NOT(ISERROR(SEARCH("Colonizer",E58)))</formula>
    </cfRule>
    <cfRule type="containsText" dxfId="739" priority="593" operator="containsText" text="Lappland">
      <formula>NOT(ISERROR(SEARCH("Lappland",E58)))</formula>
    </cfRule>
    <cfRule type="containsText" dxfId="738" priority="594" operator="containsText" text="Diehard">
      <formula>NOT(ISERROR(SEARCH("Diehard",E58)))</formula>
    </cfRule>
    <cfRule type="containsText" dxfId="737" priority="595" operator="containsText" text="Louis">
      <formula>NOT(ISERROR(SEARCH("Louis",E58)))</formula>
    </cfRule>
    <cfRule type="containsText" dxfId="736" priority="596" operator="containsText" text="Cortex">
      <formula>NOT(ISERROR(SEARCH("Cortex",E58)))</formula>
    </cfRule>
    <cfRule type="containsText" dxfId="735" priority="597" operator="containsText" text="Acceptable">
      <formula>NOT(ISERROR(SEARCH("Acceptable",E58)))</formula>
    </cfRule>
    <cfRule type="containsText" dxfId="734" priority="598" operator="containsText" text="Minimum">
      <formula>NOT(ISERROR(SEARCH("Minimum",E58)))</formula>
    </cfRule>
    <cfRule type="containsText" dxfId="733" priority="599" operator="containsText" text="_">
      <formula>NOT(ISERROR(SEARCH("_",E58)))</formula>
    </cfRule>
  </conditionalFormatting>
  <conditionalFormatting sqref="E63:E69">
    <cfRule type="containsText" dxfId="732" priority="504" operator="containsText" text="Dlehard">
      <formula>NOT(ISERROR(SEARCH("Dlehard",E63)))</formula>
    </cfRule>
    <cfRule type="containsText" dxfId="731" priority="505" operator="containsText" text="Strix">
      <formula>NOT(ISERROR(SEARCH("Strix",E63)))</formula>
    </cfRule>
    <cfRule type="containsText" dxfId="730" priority="506" operator="containsText" text="Struggler">
      <formula>NOT(ISERROR(SEARCH("Struggler",E63)))</formula>
    </cfRule>
    <cfRule type="containsText" dxfId="729" priority="507" operator="containsText" text="Koyeetchi">
      <formula>NOT(ISERROR(SEARCH("Koyeetchi",E63)))</formula>
    </cfRule>
    <cfRule type="containsText" dxfId="728" priority="508" operator="containsText" text="Mauricio">
      <formula>NOT(ISERROR(SEARCH("Mauricio",E63)))</formula>
    </cfRule>
    <cfRule type="containsText" dxfId="727" priority="509" operator="containsText" text="Glonk">
      <formula>NOT(ISERROR(SEARCH("Glonk",E63)))</formula>
    </cfRule>
    <cfRule type="containsText" dxfId="726" priority="510" operator="containsText" text="Chris">
      <formula>NOT(ISERROR(SEARCH("Chris",E63)))</formula>
    </cfRule>
    <cfRule type="containsText" dxfId="725" priority="511" operator="containsText" text="Ranger">
      <formula>NOT(ISERROR(SEARCH("Ranger",E63)))</formula>
    </cfRule>
    <cfRule type="containsText" dxfId="724" priority="512" operator="containsText" text="Rat">
      <formula>NOT(ISERROR(SEARCH("Rat",E63)))</formula>
    </cfRule>
    <cfRule type="containsText" dxfId="723" priority="513" operator="containsText" text="Boomer">
      <formula>NOT(ISERROR(SEARCH("Boomer",E63)))</formula>
    </cfRule>
    <cfRule type="containsText" dxfId="722" priority="514" operator="containsText" text="Tim">
      <formula>NOT(ISERROR(SEARCH("Tim",E63)))</formula>
    </cfRule>
    <cfRule type="containsText" dxfId="721" priority="515" operator="containsText" text="Mason">
      <formula>NOT(ISERROR(SEARCH("Mason",E63)))</formula>
    </cfRule>
    <cfRule type="containsText" dxfId="720" priority="516" operator="containsText" text="Blade">
      <formula>NOT(ISERROR(SEARCH("Blade",E63)))</formula>
    </cfRule>
    <cfRule type="containsText" dxfId="719" priority="517" operator="containsText" text="Andrew">
      <formula>NOT(ISERROR(SEARCH("Andrew",E63)))</formula>
    </cfRule>
    <cfRule type="containsText" dxfId="718" priority="518" operator="containsText" text="Shyam">
      <formula>NOT(ISERROR(SEARCH("Shyam",E63)))</formula>
    </cfRule>
    <cfRule type="containsText" dxfId="717" priority="519" operator="containsText" text="IUseArch">
      <formula>NOT(ISERROR(SEARCH("IUseArch",E63)))</formula>
    </cfRule>
    <cfRule type="containsText" dxfId="716" priority="520" operator="containsText" text="Colonizer">
      <formula>NOT(ISERROR(SEARCH("Colonizer",E63)))</formula>
    </cfRule>
    <cfRule type="containsText" dxfId="715" priority="521" operator="containsText" text="Lappland">
      <formula>NOT(ISERROR(SEARCH("Lappland",E63)))</formula>
    </cfRule>
    <cfRule type="containsText" dxfId="714" priority="522" operator="containsText" text="Diehard">
      <formula>NOT(ISERROR(SEARCH("Diehard",E63)))</formula>
    </cfRule>
    <cfRule type="containsText" dxfId="713" priority="523" operator="containsText" text="Louis">
      <formula>NOT(ISERROR(SEARCH("Louis",E63)))</formula>
    </cfRule>
    <cfRule type="containsText" dxfId="712" priority="524" operator="containsText" text="Cortex">
      <formula>NOT(ISERROR(SEARCH("Cortex",E63)))</formula>
    </cfRule>
    <cfRule type="containsText" dxfId="711" priority="525" operator="containsText" text="Acceptable">
      <formula>NOT(ISERROR(SEARCH("Acceptable",E63)))</formula>
    </cfRule>
    <cfRule type="containsText" dxfId="710" priority="526" operator="containsText" text="Minimum">
      <formula>NOT(ISERROR(SEARCH("Minimum",E63)))</formula>
    </cfRule>
    <cfRule type="containsText" dxfId="709" priority="527" operator="containsText" text="_">
      <formula>NOT(ISERROR(SEARCH("_",E63)))</formula>
    </cfRule>
  </conditionalFormatting>
  <conditionalFormatting sqref="F66:F77">
    <cfRule type="containsText" dxfId="708" priority="456" operator="containsText" text="Dlehard">
      <formula>NOT(ISERROR(SEARCH("Dlehard",F66)))</formula>
    </cfRule>
    <cfRule type="containsText" dxfId="707" priority="457" operator="containsText" text="Strix">
      <formula>NOT(ISERROR(SEARCH("Strix",F66)))</formula>
    </cfRule>
    <cfRule type="containsText" dxfId="706" priority="458" operator="containsText" text="Struggler">
      <formula>NOT(ISERROR(SEARCH("Struggler",F66)))</formula>
    </cfRule>
  </conditionalFormatting>
  <conditionalFormatting sqref="F73">
    <cfRule type="containsText" dxfId="705" priority="459" operator="containsText" text="Koyeetchi">
      <formula>NOT(ISERROR(SEARCH("Koyeetchi",F73)))</formula>
    </cfRule>
    <cfRule type="containsText" dxfId="704" priority="460" operator="containsText" text="Mauricio">
      <formula>NOT(ISERROR(SEARCH("Mauricio",F73)))</formula>
    </cfRule>
    <cfRule type="containsText" dxfId="703" priority="461" operator="containsText" text="Glonk">
      <formula>NOT(ISERROR(SEARCH("Glonk",F73)))</formula>
    </cfRule>
    <cfRule type="containsText" dxfId="702" priority="462" operator="containsText" text="Chris">
      <formula>NOT(ISERROR(SEARCH("Chris",F73)))</formula>
    </cfRule>
    <cfRule type="containsText" dxfId="701" priority="463" operator="containsText" text="Ranger">
      <formula>NOT(ISERROR(SEARCH("Ranger",F73)))</formula>
    </cfRule>
    <cfRule type="containsText" dxfId="700" priority="464" operator="containsText" text="Rat">
      <formula>NOT(ISERROR(SEARCH("Rat",F73)))</formula>
    </cfRule>
    <cfRule type="containsText" dxfId="699" priority="465" operator="containsText" text="Boomer">
      <formula>NOT(ISERROR(SEARCH("Boomer",F73)))</formula>
    </cfRule>
    <cfRule type="containsText" dxfId="698" priority="466" operator="containsText" text="Tim">
      <formula>NOT(ISERROR(SEARCH("Tim",F73)))</formula>
    </cfRule>
    <cfRule type="containsText" dxfId="697" priority="467" operator="containsText" text="Mason">
      <formula>NOT(ISERROR(SEARCH("Mason",F73)))</formula>
    </cfRule>
    <cfRule type="containsText" dxfId="696" priority="468" operator="containsText" text="Blade">
      <formula>NOT(ISERROR(SEARCH("Blade",F73)))</formula>
    </cfRule>
    <cfRule type="containsText" dxfId="695" priority="469" operator="containsText" text="Andrew">
      <formula>NOT(ISERROR(SEARCH("Andrew",F73)))</formula>
    </cfRule>
    <cfRule type="containsText" dxfId="694" priority="470" operator="containsText" text="Shyam">
      <formula>NOT(ISERROR(SEARCH("Shyam",F73)))</formula>
    </cfRule>
    <cfRule type="containsText" dxfId="693" priority="471" operator="containsText" text="IUseArch">
      <formula>NOT(ISERROR(SEARCH("IUseArch",F73)))</formula>
    </cfRule>
    <cfRule type="containsText" dxfId="692" priority="472" operator="containsText" text="Colonizer">
      <formula>NOT(ISERROR(SEARCH("Colonizer",F73)))</formula>
    </cfRule>
    <cfRule type="containsText" dxfId="691" priority="473" operator="containsText" text="Lappland">
      <formula>NOT(ISERROR(SEARCH("Lappland",F73)))</formula>
    </cfRule>
    <cfRule type="containsText" dxfId="690" priority="474" operator="containsText" text="Diehard">
      <formula>NOT(ISERROR(SEARCH("Diehard",F73)))</formula>
    </cfRule>
    <cfRule type="containsText" dxfId="689" priority="475" operator="containsText" text="Louis">
      <formula>NOT(ISERROR(SEARCH("Louis",F73)))</formula>
    </cfRule>
    <cfRule type="containsText" dxfId="688" priority="476" operator="containsText" text="Cortex">
      <formula>NOT(ISERROR(SEARCH("Cortex",F73)))</formula>
    </cfRule>
    <cfRule type="containsText" dxfId="687" priority="477" operator="containsText" text="Acceptable">
      <formula>NOT(ISERROR(SEARCH("Acceptable",F73)))</formula>
    </cfRule>
    <cfRule type="containsText" dxfId="686" priority="478" operator="containsText" text="Minimum">
      <formula>NOT(ISERROR(SEARCH("Minimum",F73)))</formula>
    </cfRule>
    <cfRule type="containsText" dxfId="685" priority="479" operator="containsText" text="_">
      <formula>NOT(ISERROR(SEARCH("_",F73)))</formula>
    </cfRule>
  </conditionalFormatting>
  <conditionalFormatting sqref="F115">
    <cfRule type="containsText" dxfId="684" priority="111" operator="containsText" text="Dlehard">
      <formula>NOT(ISERROR(SEARCH("Dlehard",F115)))</formula>
    </cfRule>
    <cfRule type="containsText" dxfId="683" priority="112" operator="containsText" text="Strix">
      <formula>NOT(ISERROR(SEARCH("Strix",F115)))</formula>
    </cfRule>
    <cfRule type="containsText" dxfId="682" priority="113" operator="containsText" text="Struggler">
      <formula>NOT(ISERROR(SEARCH("Struggler",F115)))</formula>
    </cfRule>
    <cfRule type="containsText" dxfId="681" priority="114" operator="containsText" text="Koyeetchi">
      <formula>NOT(ISERROR(SEARCH("Koyeetchi",F115)))</formula>
    </cfRule>
    <cfRule type="containsText" dxfId="680" priority="115" operator="containsText" text="Mauricio">
      <formula>NOT(ISERROR(SEARCH("Mauricio",F115)))</formula>
    </cfRule>
    <cfRule type="containsText" dxfId="679" priority="116" operator="containsText" text="Glonk">
      <formula>NOT(ISERROR(SEARCH("Glonk",F115)))</formula>
    </cfRule>
    <cfRule type="containsText" dxfId="678" priority="117" operator="containsText" text="Chris">
      <formula>NOT(ISERROR(SEARCH("Chris",F115)))</formula>
    </cfRule>
    <cfRule type="containsText" dxfId="677" priority="118" operator="containsText" text="Ranger">
      <formula>NOT(ISERROR(SEARCH("Ranger",F115)))</formula>
    </cfRule>
    <cfRule type="containsText" dxfId="676" priority="119" operator="containsText" text="Rat">
      <formula>NOT(ISERROR(SEARCH("Rat",F115)))</formula>
    </cfRule>
    <cfRule type="containsText" dxfId="675" priority="120" operator="containsText" text="Tim">
      <formula>NOT(ISERROR(SEARCH("Tim",F115)))</formula>
    </cfRule>
    <cfRule type="containsText" dxfId="674" priority="121" operator="containsText" text="Mason">
      <formula>NOT(ISERROR(SEARCH("Mason",F115)))</formula>
    </cfRule>
    <cfRule type="containsText" dxfId="673" priority="122" operator="containsText" text="Blade">
      <formula>NOT(ISERROR(SEARCH("Blade",F115)))</formula>
    </cfRule>
    <cfRule type="containsText" dxfId="672" priority="123" operator="containsText" text="Andrew">
      <formula>NOT(ISERROR(SEARCH("Andrew",F115)))</formula>
    </cfRule>
    <cfRule type="containsText" dxfId="671" priority="124" operator="containsText" text="Shyam">
      <formula>NOT(ISERROR(SEARCH("Shyam",F115)))</formula>
    </cfRule>
    <cfRule type="containsText" dxfId="670" priority="125" operator="containsText" text="IUseArch">
      <formula>NOT(ISERROR(SEARCH("IUseArch",F115)))</formula>
    </cfRule>
    <cfRule type="containsText" dxfId="669" priority="126" operator="containsText" text="Colonizer">
      <formula>NOT(ISERROR(SEARCH("Colonizer",F115)))</formula>
    </cfRule>
    <cfRule type="containsText" dxfId="668" priority="127" operator="containsText" text="Lappland">
      <formula>NOT(ISERROR(SEARCH("Lappland",F115)))</formula>
    </cfRule>
    <cfRule type="containsText" dxfId="667" priority="128" operator="containsText" text="Diehard">
      <formula>NOT(ISERROR(SEARCH("Diehard",F115)))</formula>
    </cfRule>
    <cfRule type="containsText" dxfId="666" priority="129" operator="containsText" text="Louis">
      <formula>NOT(ISERROR(SEARCH("Louis",F115)))</formula>
    </cfRule>
    <cfRule type="containsText" dxfId="665" priority="130" operator="containsText" text="Cortex">
      <formula>NOT(ISERROR(SEARCH("Cortex",F115)))</formula>
    </cfRule>
    <cfRule type="containsText" dxfId="664" priority="131" operator="containsText" text="Acceptable">
      <formula>NOT(ISERROR(SEARCH("Acceptable",F115)))</formula>
    </cfRule>
    <cfRule type="containsText" dxfId="663" priority="132" operator="containsText" text="Minimum">
      <formula>NOT(ISERROR(SEARCH("Minimum",F115)))</formula>
    </cfRule>
    <cfRule type="containsText" dxfId="662" priority="133" operator="containsText" text="_">
      <formula>NOT(ISERROR(SEARCH("_",F115)))</formula>
    </cfRule>
  </conditionalFormatting>
  <conditionalFormatting sqref="B117:F117 B119:F131">
    <cfRule type="containsText" dxfId="661" priority="16" operator="containsText" text="Dlehard">
      <formula>NOT(ISERROR(SEARCH("Dlehard",B117)))</formula>
    </cfRule>
  </conditionalFormatting>
  <conditionalFormatting sqref="B117:F117">
    <cfRule type="containsText" dxfId="660" priority="17" operator="containsText" text="Galahad21588">
      <formula>NOT(ISERROR(SEARCH("Galahad21588",B117)))</formula>
    </cfRule>
  </conditionalFormatting>
  <conditionalFormatting sqref="B117:F117 B119:F131">
    <cfRule type="containsText" dxfId="659" priority="18" operator="containsText" text="Glonk.MB">
      <formula>NOT(ISERROR(SEARCH("Glonk.MB",B117)))</formula>
    </cfRule>
  </conditionalFormatting>
  <conditionalFormatting sqref="B116:F116">
    <cfRule type="containsText" dxfId="658" priority="13" operator="containsText" text="Dlehard">
      <formula>NOT(ISERROR(SEARCH("Dlehard",B116)))</formula>
    </cfRule>
  </conditionalFormatting>
  <conditionalFormatting sqref="B116:F116">
    <cfRule type="containsText" dxfId="657" priority="14" operator="containsText" text="Galahad21588">
      <formula>NOT(ISERROR(SEARCH("Galahad21588",B116)))</formula>
    </cfRule>
  </conditionalFormatting>
  <conditionalFormatting sqref="B116:F116">
    <cfRule type="containsText" dxfId="656" priority="15" operator="containsText" text="Glonk.MB">
      <formula>NOT(ISERROR(SEARCH("Glonk.MB",B116)))</formula>
    </cfRule>
  </conditionalFormatting>
  <conditionalFormatting sqref="B118">
    <cfRule type="containsText" dxfId="655" priority="10" operator="containsText" text="Dlehard">
      <formula>NOT(ISERROR(SEARCH("Dlehard",B118)))</formula>
    </cfRule>
  </conditionalFormatting>
  <conditionalFormatting sqref="B118">
    <cfRule type="containsText" dxfId="654" priority="11" operator="containsText" text="Galahad21588">
      <formula>NOT(ISERROR(SEARCH("Galahad21588",B118)))</formula>
    </cfRule>
  </conditionalFormatting>
  <conditionalFormatting sqref="B118">
    <cfRule type="containsText" dxfId="653" priority="12" operator="containsText" text="Glonk.MB">
      <formula>NOT(ISERROR(SEARCH("Glonk.MB",B118)))</formula>
    </cfRule>
  </conditionalFormatting>
  <conditionalFormatting sqref="B134:F134 B132:D133 F132:F133">
    <cfRule type="containsText" dxfId="652" priority="4" operator="containsText" text="Dlehard">
      <formula>NOT(ISERROR(SEARCH("Dlehard",B132)))</formula>
    </cfRule>
  </conditionalFormatting>
  <conditionalFormatting sqref="B134:F134 B132:D133 F132:F133 B119:F131">
    <cfRule type="containsText" dxfId="651" priority="7" operator="containsText" text="Galahad21588">
      <formula>NOT(ISERROR(SEARCH("Galahad21588",B119)))</formula>
    </cfRule>
  </conditionalFormatting>
  <conditionalFormatting sqref="B134:F134 B132:D133 F132:F133">
    <cfRule type="containsText" dxfId="650" priority="8" operator="containsText" text="Glonk.MB">
      <formula>NOT(ISERROR(SEARCH("Glonk.MB",B132)))</formula>
    </cfRule>
  </conditionalFormatting>
  <conditionalFormatting sqref="B134:F134 B132:D133 F132:F133 B119:F131">
    <cfRule type="containsText" dxfId="649" priority="6" operator="containsText" text="Boomerjet123">
      <formula>NOT(ISERROR(SEARCH("Boomerjet123",B119)))</formula>
    </cfRule>
  </conditionalFormatting>
  <conditionalFormatting sqref="B134:F134 B132:D133 F132:F133 B119:F131">
    <cfRule type="containsText" dxfId="648" priority="5" operator="containsText" text="Chromius.TAMU">
      <formula>NOT(ISERROR(SEARCH("Chromius.TAMU",B119)))</formula>
    </cfRule>
  </conditionalFormatting>
  <conditionalFormatting sqref="B134:F134 B132:D133 F132:F133 B119:F131">
    <cfRule type="containsText" dxfId="647" priority="9" operator="containsText" text="nobetterdough">
      <formula>NOT(ISERROR(SEARCH("nobetterdough",B119)))</formula>
    </cfRule>
  </conditionalFormatting>
  <conditionalFormatting sqref="B134:F134 B132:D133 F132:F133 B119:F131">
    <cfRule type="containsText" dxfId="646" priority="3" operator="containsText" text="Kermitt.MB">
      <formula>NOT(ISERROR(SEARCH("Kermitt.MB",B119)))</formula>
    </cfRule>
  </conditionalFormatting>
  <conditionalFormatting sqref="B134:F134 B132:D133 F132:F133 B119:F131">
    <cfRule type="containsText" dxfId="645" priority="2" operator="containsText" text="Timythiccums.MB">
      <formula>NOT(ISERROR(SEARCH("Timythiccums.MB",B119)))</formula>
    </cfRule>
  </conditionalFormatting>
  <conditionalFormatting sqref="B134:F134 B132:D133 F132:F133 B119:F131">
    <cfRule type="containsText" dxfId="644" priority="1" operator="containsText" text="Coolrocket.TAMU">
      <formula>NOT(ISERROR(SEARCH("Coolrocket.TAMU",B119)))</formula>
    </cfRule>
  </conditionalFormatting>
  <conditionalFormatting sqref="A2:A134">
    <cfRule type="duplicateValues" dxfId="643" priority="3498"/>
  </conditionalFormatting>
  <conditionalFormatting sqref="J2:J134">
    <cfRule type="colorScale" priority="3500">
      <colorScale>
        <cfvo type="min"/>
        <cfvo type="percentile" val="50"/>
        <cfvo type="max"/>
        <color rgb="FFF8696B"/>
        <color rgb="FFFFEB84"/>
        <color rgb="FF63BE7B"/>
      </colorScale>
    </cfRule>
  </conditionalFormatting>
  <conditionalFormatting sqref="K2:L134">
    <cfRule type="colorScale" priority="3502">
      <colorScale>
        <cfvo type="min"/>
        <cfvo type="percentile" val="50"/>
        <cfvo type="max"/>
        <color rgb="FFF8696B"/>
        <color rgb="FFFFEB84"/>
        <color rgb="FF63BE7B"/>
      </colorScale>
    </cfRule>
  </conditionalFormatting>
  <pageMargins left="0.7" right="0.7" top="0.75" bottom="0.75" header="0.3" footer="0.3"/>
  <ignoredErrors>
    <ignoredError sqref="H19" evalError="1"/>
  </ignoredError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F1E0-B70B-4F0F-BF16-5878F8F439CE}">
  <sheetPr>
    <tabColor rgb="FFC00000"/>
  </sheetPr>
  <dimension ref="A1:BK147"/>
  <sheetViews>
    <sheetView tabSelected="1" workbookViewId="0">
      <pane ySplit="1" topLeftCell="A127" activePane="bottomLeft" state="frozen"/>
      <selection pane="bottomLeft" activeCell="D147" sqref="D147"/>
      <selection activeCell="L1" sqref="L1"/>
    </sheetView>
  </sheetViews>
  <sheetFormatPr defaultRowHeight="15"/>
  <cols>
    <col min="1" max="1" width="6.7109375" style="155" customWidth="1"/>
    <col min="2" max="2" width="16" customWidth="1"/>
    <col min="3" max="3" width="17.7109375" customWidth="1"/>
    <col min="4" max="4" width="19.28515625" customWidth="1"/>
    <col min="5" max="5" width="17.5703125" customWidth="1"/>
    <col min="6" max="6" width="16.7109375" style="155" customWidth="1"/>
    <col min="7" max="7" width="7.140625" customWidth="1"/>
    <col min="8" max="8" width="10.140625" bestFit="1" customWidth="1"/>
    <col min="9" max="9" width="7.42578125" customWidth="1"/>
    <col min="10" max="10" width="7.28515625" customWidth="1"/>
    <col min="11" max="11" width="7.140625" style="155" customWidth="1"/>
    <col min="12" max="12" width="8.140625" customWidth="1"/>
    <col min="13" max="14" width="7" customWidth="1"/>
    <col min="15" max="15" width="8.85546875" customWidth="1"/>
    <col min="16" max="16" width="11.85546875" style="39" customWidth="1"/>
    <col min="17" max="17" width="51.42578125" style="184" customWidth="1"/>
    <col min="18" max="18" width="8.85546875" style="33" customWidth="1"/>
    <col min="19" max="19" width="8.140625" customWidth="1"/>
    <col min="20" max="20" width="15.7109375" style="107" customWidth="1"/>
    <col min="21" max="21" width="20" style="70" hidden="1" customWidth="1"/>
    <col min="23" max="23" width="10.140625" bestFit="1" customWidth="1"/>
    <col min="24" max="24" width="11.85546875" bestFit="1" customWidth="1"/>
    <col min="25" max="25" width="9.7109375" customWidth="1"/>
    <col min="26" max="26" width="12.7109375" customWidth="1"/>
    <col min="27" max="27" width="14.5703125" customWidth="1"/>
    <col min="28" max="28" width="14.140625" customWidth="1"/>
    <col min="29" max="29" width="15.5703125" customWidth="1"/>
    <col min="30" max="30" width="8.5703125" customWidth="1"/>
    <col min="31" max="31" width="8.140625" customWidth="1"/>
    <col min="32" max="32" width="8.28515625" customWidth="1"/>
    <col min="33" max="33" width="8" customWidth="1"/>
    <col min="34" max="34" width="6.42578125" customWidth="1"/>
    <col min="35" max="35" width="8.85546875" customWidth="1"/>
    <col min="36" max="36" width="9" customWidth="1"/>
    <col min="37" max="38" width="7.7109375" customWidth="1"/>
    <col min="39" max="39" width="8.42578125" customWidth="1"/>
    <col min="40" max="40" width="7.5703125" customWidth="1"/>
    <col min="41" max="41" width="7.7109375" customWidth="1"/>
    <col min="42" max="42" width="8.140625" customWidth="1"/>
    <col min="43" max="44" width="9.28515625" customWidth="1"/>
    <col min="45" max="45" width="9.5703125" customWidth="1"/>
    <col min="46" max="46" width="7.85546875" customWidth="1"/>
    <col min="47" max="47" width="8.85546875" customWidth="1"/>
    <col min="48" max="48" width="7.5703125" customWidth="1"/>
    <col min="51" max="51" width="11" customWidth="1"/>
    <col min="52" max="52" width="11" bestFit="1" customWidth="1"/>
    <col min="53" max="54" width="11" customWidth="1"/>
    <col min="55" max="55" width="13" customWidth="1"/>
    <col min="56" max="56" width="14.42578125" customWidth="1"/>
    <col min="57" max="57" width="11" customWidth="1"/>
    <col min="58" max="58" width="14.5703125" customWidth="1"/>
    <col min="59" max="59" width="18.42578125" customWidth="1"/>
    <col min="60" max="60" width="15.85546875" customWidth="1"/>
    <col min="61" max="61" width="15.7109375" customWidth="1"/>
    <col min="62" max="62" width="14.85546875" customWidth="1"/>
    <col min="63" max="63" width="15.28515625" customWidth="1"/>
    <col min="64" max="64" width="11.85546875" customWidth="1"/>
  </cols>
  <sheetData>
    <row r="1" spans="1:62" ht="24.75" customHeight="1">
      <c r="A1" s="155" t="s">
        <v>166</v>
      </c>
      <c r="B1" s="28" t="s">
        <v>167</v>
      </c>
      <c r="C1" s="28" t="s">
        <v>168</v>
      </c>
      <c r="D1" s="28" t="s">
        <v>169</v>
      </c>
      <c r="E1" s="28" t="s">
        <v>170</v>
      </c>
      <c r="F1" s="157" t="s">
        <v>171</v>
      </c>
      <c r="G1" s="28" t="s">
        <v>224</v>
      </c>
      <c r="H1" s="28" t="s">
        <v>225</v>
      </c>
      <c r="I1" s="28" t="s">
        <v>226</v>
      </c>
      <c r="J1" s="28" t="s">
        <v>227</v>
      </c>
      <c r="K1" s="157" t="s">
        <v>228</v>
      </c>
      <c r="L1" s="36" t="s">
        <v>172</v>
      </c>
      <c r="M1" s="36" t="s">
        <v>173</v>
      </c>
      <c r="N1" s="37" t="s">
        <v>174</v>
      </c>
      <c r="O1" s="28" t="s">
        <v>175</v>
      </c>
      <c r="P1" s="105" t="s">
        <v>176</v>
      </c>
      <c r="Q1" s="66" t="s">
        <v>177</v>
      </c>
      <c r="R1"/>
      <c r="T1"/>
      <c r="U1" s="4" t="s">
        <v>229</v>
      </c>
      <c r="V1" s="4" t="s">
        <v>48</v>
      </c>
      <c r="W1" s="4" t="s">
        <v>49</v>
      </c>
      <c r="X1" s="4" t="s">
        <v>50</v>
      </c>
      <c r="Y1" s="4" t="s">
        <v>51</v>
      </c>
      <c r="Z1" s="4" t="s">
        <v>52</v>
      </c>
      <c r="AA1" s="4" t="s">
        <v>53</v>
      </c>
      <c r="AB1" s="4" t="s">
        <v>54</v>
      </c>
      <c r="AC1" s="4" t="s">
        <v>55</v>
      </c>
      <c r="AD1" s="4" t="s">
        <v>56</v>
      </c>
      <c r="AE1" s="4" t="s">
        <v>57</v>
      </c>
      <c r="AF1" s="4" t="s">
        <v>58</v>
      </c>
      <c r="AG1" s="4" t="s">
        <v>59</v>
      </c>
      <c r="AH1" s="4" t="s">
        <v>60</v>
      </c>
      <c r="AI1" s="4" t="s">
        <v>230</v>
      </c>
      <c r="AJ1" s="4" t="s">
        <v>231</v>
      </c>
      <c r="AK1" s="4" t="s">
        <v>61</v>
      </c>
      <c r="AL1" s="4" t="s">
        <v>62</v>
      </c>
      <c r="AM1" s="4" t="s">
        <v>63</v>
      </c>
      <c r="AN1" s="4" t="s">
        <v>64</v>
      </c>
      <c r="AO1" s="4" t="s">
        <v>65</v>
      </c>
      <c r="AP1" s="4" t="s">
        <v>66</v>
      </c>
      <c r="AQ1" s="4" t="s">
        <v>67</v>
      </c>
      <c r="AR1" s="4" t="s">
        <v>68</v>
      </c>
      <c r="AS1" s="4" t="s">
        <v>69</v>
      </c>
      <c r="AT1" s="4" t="s">
        <v>70</v>
      </c>
      <c r="AU1" s="1"/>
      <c r="AV1" s="1"/>
      <c r="AW1" s="1"/>
      <c r="AX1" s="1"/>
      <c r="AY1" s="1"/>
      <c r="AZ1" s="1"/>
      <c r="BA1" s="1"/>
      <c r="BB1" s="1"/>
    </row>
    <row r="2" spans="1:62">
      <c r="A2" s="156" t="str">
        <f>_xlfn.TEXTJOIN(",",TRUE,_xlfn._xlws.SORT(_xlfn.TEXTSPLIT(_xlfn.TEXTJOIN(",",TRUE,_xlfn._xlws.SORT($B2:$F2, 1, -1, FALSE)),"WWWWW",",")))</f>
        <v>AkusNightmare,Chromius.TAMU,Jamato33,PincheConcha,Viests.</v>
      </c>
      <c r="B2" s="152" t="s">
        <v>77</v>
      </c>
      <c r="C2" s="152" t="s">
        <v>91</v>
      </c>
      <c r="D2" s="152" t="s">
        <v>232</v>
      </c>
      <c r="E2" s="152" t="s">
        <v>233</v>
      </c>
      <c r="F2" s="158" t="s">
        <v>185</v>
      </c>
      <c r="G2" s="187" t="str">
        <f>IFERROR(VLOOKUP(Y9S1[[#This Row],[Player 1]],YEar9Table[],2,FALSE),0)</f>
        <v>TIER 1</v>
      </c>
      <c r="H2" s="152" t="str">
        <f>IFERROR(VLOOKUP(Y9S1[[#This Row],[Player 2]],YEar9Table[],2,FALSE),"")</f>
        <v>TIER 3</v>
      </c>
      <c r="I2" s="152" t="str">
        <f>IFERROR(VLOOKUP(Y9S1[[#This Row],[Player 3]],YEar9Table[],2,FALSE),"")</f>
        <v>TIER 7</v>
      </c>
      <c r="J2" s="152" t="str">
        <f>IFERROR(VLOOKUP(Y9S1[[#This Row],[Player 4]],YEar9Table[],2,FALSE),"")</f>
        <v>TIER 5</v>
      </c>
      <c r="K2" s="158" t="str">
        <f>IFERROR(VLOOKUP(Y9S1[[#This Row],[Player 5]],YEar9Table[],2,FALSE),"")</f>
        <v>TIER 7</v>
      </c>
      <c r="L2" s="40">
        <v>3</v>
      </c>
      <c r="M2" s="40">
        <v>0</v>
      </c>
      <c r="N2" s="40">
        <f>$L2+$M2</f>
        <v>3</v>
      </c>
      <c r="O2" s="51">
        <f>IFERROR(L2/(M2+L2),0)</f>
        <v>1</v>
      </c>
      <c r="P2" s="104">
        <f>(((Y9S1[[#This Row],[Wins]]*1.3)-Y9S1[[#This Row],[Losses]])/SUM(Y9S1[Games Played]))*10</f>
        <v>0.14942528735632185</v>
      </c>
      <c r="Q2" s="182"/>
      <c r="R2"/>
      <c r="T2"/>
      <c r="U2" s="1" t="str">
        <f>YEar9Table[[#This Row],[Player]]</f>
        <v>Chromius.TAMU</v>
      </c>
      <c r="V2" s="1" t="str">
        <f>IF(AT2&gt;7.5, "TIER 1",
IF(AT2&gt;6.5, "TIER 2",
IF(AT2&gt;5.5, "TIER 3",
IF(AT2&gt;4.5, "TIER 4",
IF(AT2&gt;3.5, "TIER 5",
IF(AT2&gt;2,  "TIER 6",
IF(AT2&gt;0,  "TIER 7",
"TIER 8")))))))</f>
        <v>TIER 1</v>
      </c>
      <c r="W2" s="1" t="s">
        <v>76</v>
      </c>
      <c r="X2" s="8" t="s">
        <v>77</v>
      </c>
      <c r="Y2" s="8">
        <f>VLOOKUP(YEar9Table[[#This Row],[Player]],ImportTable15[],2,FALSE)</f>
        <v>1.1530339999999999</v>
      </c>
      <c r="Z2" s="8">
        <f>VLOOKUP(YEar9Table[[#This Row],[Player]],ImportTable15[],3,FALSE)</f>
        <v>1.568047</v>
      </c>
      <c r="AA2" s="8">
        <f>VLOOKUP(YEar9Table[[#This Row],[Player]],ImportTable15[],4,FALSE)</f>
        <v>202</v>
      </c>
      <c r="AB2" s="8">
        <f>VLOOKUP(YEar9Table[[#This Row],[Player]],ImportTable15[],5,FALSE)</f>
        <v>273</v>
      </c>
      <c r="AC2" s="8">
        <f>VLOOKUP(YEar9Table[[#This Row],[Player]],ImportTable15[],6,FALSE)</f>
        <v>291</v>
      </c>
      <c r="AD2" s="8">
        <f>VLOOKUP(YEar9Table[[#This Row],[Player]],ImportTable15[],7,FALSE)</f>
        <v>183</v>
      </c>
      <c r="AE2" s="77">
        <f>VLOOKUP(YEar9Table[[#This Row],[Player]],ImportTable15[],8,FALSE)</f>
        <v>55.958179999999999</v>
      </c>
      <c r="AF2" s="77">
        <f>VLOOKUP(YEar9Table[[#This Row],[Player]],ImportTable15[],9,FALSE)</f>
        <v>71.339699999999993</v>
      </c>
      <c r="AG2" s="8">
        <f>VLOOKUP(YEar9Table[[#This Row],[Player]],ImportTable15[],10,FALSE)</f>
        <v>87</v>
      </c>
      <c r="AH2" s="8">
        <f>VLOOKUP(YEar9Table[[#This Row],[Player]],ImportTable15[],11,FALSE)</f>
        <v>74</v>
      </c>
      <c r="AI2" s="8" t="str">
        <f>IF(YEar9Table[[#This Row],[Ranked Wins]]=YEar9Table[[#This Row],[Wins in Stacks]],"Y","N")</f>
        <v>N</v>
      </c>
      <c r="AJ2" s="8" t="str">
        <f>IF(YEar9Table[[#This Row],[Ranked Losses]]=YEar9Table[[#This Row],[Losses in Stacks]],"Y","N")</f>
        <v>N</v>
      </c>
      <c r="AK2" s="3">
        <f>IFERROR(YEar9Table[[#This Row],[Ranked Wins]]/(YEar9Table[[#This Row],[Ranked Wins]]+YEar9Table[[#This Row],[Ranked Losses]]),0)</f>
        <v>0.54037267080745344</v>
      </c>
      <c r="AL2" s="3">
        <f>IFERROR(YEar9Table[[#This Row],[Attack Wins]]/(YEar9Table[[#This Row],[Attack Wins]]+YEar9Table[[#This Row],[Attack Losses]]),0)</f>
        <v>0.42526315789473684</v>
      </c>
      <c r="AM2" s="3">
        <f>IFERROR(YEar9Table[[#This Row],[Defense Wins]]/(YEar9Table[[#This Row],[Defense Wins]]+YEar9Table[[#This Row],[Defense Losses]]),0)</f>
        <v>0.61392405063291144</v>
      </c>
      <c r="AN2" s="1" cm="1">
        <f t="array" ref="AN2">IFERROR(SUMPRODUCT(($B$2:$B$131=YEar9Table[[#This Row],[Player]])*$L$2:$L$131),0)+IFERROR(SUMPRODUCT(($C$2:$C$131=YEar9Table[[#This Row],[Player]])*$L$2:$L$131),0)+IFERROR(SUMPRODUCT(($E$2:$E$131=YEar9Table[[#This Row],[Player]])*$L$2:$L$131),0)+IFERROR(SUMPRODUCT(($D$2:$D$131=YEar9Table[[#This Row],[Player]])*$L$2:$L$131),0)+IFERROR(SUMPRODUCT(($F$2:$F$131=YEar9Table[[#This Row],[Player]])*$L$2:$L$131),0)</f>
        <v>109</v>
      </c>
      <c r="AO2" s="1" cm="1">
        <f t="array" ref="AO2">IFERROR(SUMPRODUCT(($B$2:$B$131=YEar9Table[[#This Row],[Player]])*$M$2:$M$131),0)+IFERROR(SUMPRODUCT(($C$2:$C$131=YEar9Table[[#This Row],[Player]])*$M$2:$M$131),0)+IFERROR(SUMPRODUCT(($D$2:$D$131=YEar9Table[[#This Row],[Player]])*$M$2:$M$131),0)+IFERROR(SUMPRODUCT(($E$2:$E$131=YEar9Table[[#This Row],[Player]])*$M$2:$M$131),0)+IFERROR(SUMPRODUCT(($F$2:$F$131=YEar9Table[[#This Row],[Player]])*$M$2:$M$131),0)</f>
        <v>95</v>
      </c>
      <c r="AP2" s="1">
        <f>YEar9Table[[#This Row],[Wins in Stacks]]+YEar9Table[[#This Row],[Losses in Stacks]]</f>
        <v>204</v>
      </c>
      <c r="AQ2" s="3">
        <f>IFERROR(YEar9Table[[#This Row],[Wins in Stacks]]/YEar9Table[[#This Row],[Total Games In Stacks]],0)</f>
        <v>0.53431372549019607</v>
      </c>
      <c r="AR2" s="75">
        <v>0.8</v>
      </c>
      <c r="AS2" s="74">
        <v>2</v>
      </c>
      <c r="AT2" s="20" cm="1">
        <f t="array" ref="AT2">(YEar9Table[[#This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7.6753724567103472</v>
      </c>
      <c r="AU2" s="16" t="s">
        <v>73</v>
      </c>
      <c r="AV2" s="202" t="s">
        <v>74</v>
      </c>
      <c r="AW2" s="202"/>
      <c r="AX2" s="202"/>
      <c r="AY2" s="202"/>
      <c r="AZ2" s="202"/>
      <c r="BA2" s="202"/>
      <c r="BB2" s="202"/>
      <c r="BC2" s="202"/>
      <c r="BD2" s="203" t="s">
        <v>75</v>
      </c>
      <c r="BE2" s="203"/>
      <c r="BF2" s="203"/>
      <c r="BG2" s="203"/>
      <c r="BH2" s="203"/>
      <c r="BI2" s="203"/>
      <c r="BJ2" s="203"/>
    </row>
    <row r="3" spans="1:62">
      <c r="A3" s="156" t="str">
        <f>_xlfn.TEXTJOIN(",",TRUE,_xlfn._xlws.SORT(_xlfn.TEXTSPLIT(_xlfn.TEXTJOIN(",",TRUE,_xlfn._xlws.SORT($B3:$F3, 1, -1, FALSE)),"WWWWW",",")))</f>
        <v>Chromius.TAMU,Elyidian,Glonk.MB,TexAg21,Timythiccums.MB</v>
      </c>
      <c r="B3" s="153" t="s">
        <v>162</v>
      </c>
      <c r="C3" s="153" t="s">
        <v>188</v>
      </c>
      <c r="D3" s="153" t="s">
        <v>77</v>
      </c>
      <c r="E3" s="153" t="s">
        <v>234</v>
      </c>
      <c r="F3" s="159" t="s">
        <v>81</v>
      </c>
      <c r="G3" s="154" t="str">
        <f>IFERROR(VLOOKUP(Y9S1[[#This Row],[Player 1]],YEar9Table[],2,FALSE),0)</f>
        <v>TIER 2</v>
      </c>
      <c r="H3" s="153" t="str">
        <f>IFERROR(VLOOKUP(Y9S1[[#This Row],[Player 2]],YEar9Table[],2,FALSE),"")</f>
        <v>TIER 8</v>
      </c>
      <c r="I3" s="153" t="str">
        <f>IFERROR(VLOOKUP(Y9S1[[#This Row],[Player 3]],YEar9Table[],2,FALSE),"")</f>
        <v>TIER 1</v>
      </c>
      <c r="J3" s="153" t="str">
        <f>IFERROR(VLOOKUP(Y9S1[[#This Row],[Player 4]],YEar9Table[],2,FALSE),"")</f>
        <v>TIER 8</v>
      </c>
      <c r="K3" s="159" t="str">
        <f>IFERROR(VLOOKUP(Y9S1[[#This Row],[Player 5]],YEar9Table[],2,FALSE),"")</f>
        <v>TIER 6</v>
      </c>
      <c r="L3" s="40">
        <v>3</v>
      </c>
      <c r="M3" s="40">
        <v>0</v>
      </c>
      <c r="N3" s="40">
        <f>$L3+$M3</f>
        <v>3</v>
      </c>
      <c r="O3" s="51">
        <f>IFERROR(L3/(M3+L3),0)</f>
        <v>1</v>
      </c>
      <c r="P3" s="104">
        <f>(((Y9S1[[#This Row],[Wins]]*1.3)-Y9S1[[#This Row],[Losses]])/SUM(Y9S1[Games Played]))*10</f>
        <v>0.14942528735632185</v>
      </c>
      <c r="Q3" s="182"/>
      <c r="R3"/>
      <c r="S3" t="s">
        <v>178</v>
      </c>
      <c r="T3"/>
      <c r="U3" s="1" t="str">
        <f>YEar9Table[[#This Row],[Player]]</f>
        <v>HostMal0ne</v>
      </c>
      <c r="V3" s="1" t="str">
        <f>IF(AT3&gt;7.5, "TIER 1",
IF(AT3&gt;6.5, "TIER 2",
IF(AT3&gt;5.5, "TIER 3",
IF(AT3&gt;4.5, "TIER 4",
IF(AT3&gt;3.5, "TIER 5",
IF(AT3&gt;2,  "TIER 6",
IF(AT3&gt;0,  "TIER 7",
"TIER 8")))))))</f>
        <v>TIER 1</v>
      </c>
      <c r="W3" s="8" t="s">
        <v>235</v>
      </c>
      <c r="X3" s="8" t="s">
        <v>235</v>
      </c>
      <c r="Y3" s="8">
        <f>VLOOKUP(YEar9Table[[#This Row],[Player]],ImportTable15[],2,FALSE)</f>
        <v>1.0208699999999999</v>
      </c>
      <c r="Z3" s="8">
        <f>VLOOKUP(YEar9Table[[#This Row],[Player]],ImportTable15[],3,FALSE)</f>
        <v>1.503401</v>
      </c>
      <c r="AA3" s="8">
        <f>VLOOKUP(YEar9Table[[#This Row],[Player]],ImportTable15[],4,FALSE)</f>
        <v>292</v>
      </c>
      <c r="AB3" s="8">
        <f>VLOOKUP(YEar9Table[[#This Row],[Player]],ImportTable15[],5,FALSE)</f>
        <v>447</v>
      </c>
      <c r="AC3" s="8">
        <f>VLOOKUP(YEar9Table[[#This Row],[Player]],ImportTable15[],6,FALSE)</f>
        <v>418</v>
      </c>
      <c r="AD3" s="8">
        <f>VLOOKUP(YEar9Table[[#This Row],[Player]],ImportTable15[],7,FALSE)</f>
        <v>283</v>
      </c>
      <c r="AE3" s="77">
        <f>VLOOKUP(YEar9Table[[#This Row],[Player]],ImportTable15[],8,FALSE)</f>
        <v>56.199719999999999</v>
      </c>
      <c r="AF3" s="77">
        <f>VLOOKUP(YEar9Table[[#This Row],[Player]],ImportTable15[],9,FALSE)</f>
        <v>68.351470000000006</v>
      </c>
      <c r="AG3" s="8">
        <f>VLOOKUP(YEar9Table[[#This Row],[Player]],ImportTable15[],10,FALSE)</f>
        <v>125</v>
      </c>
      <c r="AH3" s="8">
        <f>VLOOKUP(YEar9Table[[#This Row],[Player]],ImportTable15[],11,FALSE)</f>
        <v>136</v>
      </c>
      <c r="AI3" s="8" t="str">
        <f>IF(YEar9Table[[#This Row],[Ranked Wins]]=YEar9Table[[#This Row],[Wins in Stacks]],"Y","N")</f>
        <v>N</v>
      </c>
      <c r="AJ3" s="8" t="str">
        <f>IF(YEar9Table[[#This Row],[Ranked Losses]]=YEar9Table[[#This Row],[Losses in Stacks]],"Y","N")</f>
        <v>N</v>
      </c>
      <c r="AK3" s="3">
        <f>IFERROR(YEar9Table[[#This Row],[Ranked Wins]]/(YEar9Table[[#This Row],[Ranked Wins]]+YEar9Table[[#This Row],[Ranked Losses]]),0)</f>
        <v>0.47892720306513409</v>
      </c>
      <c r="AL3" s="3">
        <f>IFERROR(YEar9Table[[#This Row],[Attack Wins]]/(YEar9Table[[#This Row],[Attack Wins]]+YEar9Table[[#This Row],[Attack Losses]]),0)</f>
        <v>0.39512855209742898</v>
      </c>
      <c r="AM3" s="3">
        <f>IFERROR(YEar9Table[[#This Row],[Defense Wins]]/(YEar9Table[[#This Row],[Defense Wins]]+YEar9Table[[#This Row],[Defense Losses]]),0)</f>
        <v>0.5962910128388017</v>
      </c>
      <c r="AN3" s="1" cm="1">
        <f t="array" ref="AN3">IFERROR(SUMPRODUCT(($B$2:$B$131=YEar9Table[[#This Row],[Player]])*$L$2:$L$131),0)+IFERROR(SUMPRODUCT(($C$2:$C$131=YEar9Table[[#This Row],[Player]])*$L$2:$L$131),0)+IFERROR(SUMPRODUCT(($E$2:$E$131=YEar9Table[[#This Row],[Player]])*$L$2:$L$131),0)+IFERROR(SUMPRODUCT(($D$2:$D$131=YEar9Table[[#This Row],[Player]])*$L$2:$L$131),0)+IFERROR(SUMPRODUCT(($F$2:$F$131=YEar9Table[[#This Row],[Player]])*$L$2:$L$131),0)</f>
        <v>3</v>
      </c>
      <c r="AO3" s="1" cm="1">
        <f t="array" ref="AO3">IFERROR(SUMPRODUCT(($B$2:$B$131=YEar9Table[[#This Row],[Player]])*$M$2:$M$131),0)+IFERROR(SUMPRODUCT(($C$2:$C$131=YEar9Table[[#This Row],[Player]])*$M$2:$M$131),0)+IFERROR(SUMPRODUCT(($D$2:$D$131=YEar9Table[[#This Row],[Player]])*$M$2:$M$131),0)+IFERROR(SUMPRODUCT(($E$2:$E$131=YEar9Table[[#This Row],[Player]])*$M$2:$M$131),0)+IFERROR(SUMPRODUCT(($F$2:$F$131=YEar9Table[[#This Row],[Player]])*$M$2:$M$131),0)</f>
        <v>1</v>
      </c>
      <c r="AP3" s="1">
        <f>YEar9Table[[#This Row],[Wins in Stacks]]+YEar9Table[[#This Row],[Losses in Stacks]]</f>
        <v>4</v>
      </c>
      <c r="AQ3" s="3">
        <f>IFERROR(YEar9Table[[#This Row],[Wins in Stacks]]/YEar9Table[[#This Row],[Total Games In Stacks]],0)</f>
        <v>0.75</v>
      </c>
      <c r="AR3" s="75">
        <v>0.7</v>
      </c>
      <c r="AS3" s="21">
        <v>3</v>
      </c>
      <c r="AT3" s="20" cm="1">
        <f t="array" ref="AT3">(YEar9Table[[#This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8.425487833569056</v>
      </c>
      <c r="AU3" s="18" t="s">
        <v>78</v>
      </c>
      <c r="AV3" s="204" t="s">
        <v>79</v>
      </c>
      <c r="AW3" s="204"/>
      <c r="AX3" s="204"/>
      <c r="AY3" s="204"/>
      <c r="AZ3" s="204"/>
      <c r="BA3" s="204"/>
      <c r="BB3" s="204"/>
      <c r="BC3" s="204"/>
      <c r="BD3" s="203" t="s">
        <v>80</v>
      </c>
      <c r="BE3" s="203"/>
      <c r="BF3" s="203"/>
      <c r="BG3" s="203"/>
      <c r="BH3" s="203"/>
      <c r="BI3" s="203"/>
      <c r="BJ3" s="203"/>
    </row>
    <row r="4" spans="1:62">
      <c r="A4" s="156" t="str">
        <f>_xlfn.TEXTJOIN(",",TRUE,_xlfn._xlws.SORT(_xlfn.TEXTSPLIT(_xlfn.TEXTJOIN(",",TRUE,_xlfn._xlws.SORT($B4:$F4, 1, -1, FALSE)),"WWWWW",",")))</f>
        <v>Chromius.TAMU,Glonk.MB,Kermitt.MB,PincheConcha,Timythiccums.MB</v>
      </c>
      <c r="B4" s="153" t="s">
        <v>77</v>
      </c>
      <c r="C4" s="153" t="s">
        <v>162</v>
      </c>
      <c r="D4" s="153" t="s">
        <v>118</v>
      </c>
      <c r="E4" s="153" t="s">
        <v>91</v>
      </c>
      <c r="F4" s="159" t="s">
        <v>81</v>
      </c>
      <c r="G4" s="153" t="str">
        <f>IFERROR(VLOOKUP(Y9S1[[#This Row],[Player 1]],YEar9Table[],2,FALSE),0)</f>
        <v>TIER 1</v>
      </c>
      <c r="H4" s="153" t="str">
        <f>IFERROR(VLOOKUP(Y9S1[[#This Row],[Player 2]],YEar9Table[],2,FALSE),"")</f>
        <v>TIER 2</v>
      </c>
      <c r="I4" s="153" t="str">
        <f>IFERROR(VLOOKUP(Y9S1[[#This Row],[Player 3]],YEar9Table[],2,FALSE),"")</f>
        <v>TIER 4</v>
      </c>
      <c r="J4" s="153" t="str">
        <f>IFERROR(VLOOKUP(Y9S1[[#This Row],[Player 4]],YEar9Table[],2,FALSE),"")</f>
        <v>TIER 3</v>
      </c>
      <c r="K4" s="159" t="str">
        <f>IFERROR(VLOOKUP(Y9S1[[#This Row],[Player 5]],YEar9Table[],2,FALSE),"")</f>
        <v>TIER 6</v>
      </c>
      <c r="L4" s="40">
        <v>2</v>
      </c>
      <c r="M4" s="40">
        <v>0</v>
      </c>
      <c r="N4" s="40">
        <f>$L4+$M4</f>
        <v>2</v>
      </c>
      <c r="O4" s="51">
        <f>IFERROR(L4/(M4+L4),0)</f>
        <v>1</v>
      </c>
      <c r="P4" s="104">
        <f>(((Y9S1[[#This Row],[Wins]]*1.3)-Y9S1[[#This Row],[Losses]])/SUM(Y9S1[Games Played]))*10</f>
        <v>9.9616858237547901E-2</v>
      </c>
      <c r="Q4" s="182"/>
      <c r="R4"/>
      <c r="T4"/>
      <c r="U4" s="1" t="str">
        <f>YEar9Table[[#This Row],[Player]]</f>
        <v>Glonk.MB</v>
      </c>
      <c r="V4" s="1" t="str">
        <f>IF(AT4&gt;7.5, "TIER 1",
IF(AT4&gt;6.5, "TIER 2",
IF(AT4&gt;5.5, "TIER 3",
IF(AT4&gt;4.5, "TIER 4",
IF(AT4&gt;3.5, "TIER 5",
IF(AT4&gt;2,  "TIER 6",
IF(AT4&gt;0,  "TIER 7",
"TIER 8")))))))</f>
        <v>TIER 2</v>
      </c>
      <c r="W4" s="1" t="s">
        <v>71</v>
      </c>
      <c r="X4" s="8" t="s">
        <v>162</v>
      </c>
      <c r="Y4" s="8">
        <f>IF(AND(ISNUMBER(VLOOKUP("Glonk.MB", ImportTable15[], 2, FALSE)), ISNUMBER(VLOOKUP("Glonk..", ImportTable15[], 2, FALSE))), (VLOOKUP("Glonk.MB", ImportTable15[], 2, FALSE) + VLOOKUP("Glonk..", ImportTable15[], 2, FALSE))/2, IF(ISNUMBER(VLOOKUP("Glonk.MB", ImportTable15[], 2, FALSE)), VLOOKUP("Glonk.MB", ImportTable15[], 2, FALSE), IF(ISNUMBER(VLOOKUP("Glonk..", ImportTable15[], 2, FALSE)), VLOOKUP("Glonk..", ImportTable15[], 2, FALSE), 0)))</f>
        <v>0.78272299999999995</v>
      </c>
      <c r="Z4" s="8">
        <f>IF(AND(ISNUMBER(VLOOKUP("Glonk.MB", ImportTable15[], 3, FALSE)), ISNUMBER(VLOOKUP("Glonk..", ImportTable15[], 3, FALSE))), (VLOOKUP("Glonk.MB", ImportTable15[], 3, FALSE) + VLOOKUP("Glonk..", ImportTable15[], 3, FALSE))/3, IF(ISNUMBER(VLOOKUP("Glonk.MB", ImportTable15[], 3, FALSE)), VLOOKUP("Glonk.MB", ImportTable15[], 3, FALSE), IF(ISNUMBER(VLOOKUP("Glonk..", ImportTable15[], 3, FALSE)), VLOOKUP("Glonk..", ImportTable15[], 3, FALSE), 0)))</f>
        <v>0.81981999999999999</v>
      </c>
      <c r="AA4" s="8">
        <f>(VLOOKUP("Glonk.MB",ImportTable15[],4,FALSE) + VLOOKUP("Glonk..",ImportTable15[],4,FALSE))</f>
        <v>209</v>
      </c>
      <c r="AB4" s="8">
        <f>(VLOOKUP("Glonk.MB",ImportTable15[],5,FALSE) + VLOOKUP("Glonk..",ImportTable15[],5,FALSE))</f>
        <v>286</v>
      </c>
      <c r="AC4" s="8">
        <f>(VLOOKUP("Glonk.MB",ImportTable15[],6,FALSE) + VLOOKUP("Glonk..",ImportTable15[],6,FALSE))</f>
        <v>287</v>
      </c>
      <c r="AD4" s="8">
        <f>(VLOOKUP("Glonk.MB",ImportTable15[],7,FALSE) + VLOOKUP("Glonk..",ImportTable15[],7,FALSE))</f>
        <v>202</v>
      </c>
      <c r="AE4" s="77">
        <f>IF(AND(ISNUMBER(VLOOKUP("Glonk.MB", ImportTable15[], 8, FALSE)), ISNUMBER(VLOOKUP("Glonk..", ImportTable15[], 8, FALSE))), (VLOOKUP("Glonk.MB", ImportTable15[], 8, FALSE) + VLOOKUP("Glonk..", ImportTable15[], 8, FALSE))/8, IF(ISNUMBER(VLOOKUP("Glonk.MB", ImportTable15[], 8, FALSE)), VLOOKUP("Glonk.MB", ImportTable15[], 8, FALSE), IF(ISNUMBER(VLOOKUP("Glonk..", ImportTable15[], 8, FALSE)), VLOOKUP("Glonk..", ImportTable15[], 8, FALSE), 0)))</f>
        <v>71.263810000000007</v>
      </c>
      <c r="AF4" s="77">
        <f>IF(AND(ISNUMBER(VLOOKUP("Glonk.MB", ImportTable15[], 9, FALSE)), ISNUMBER(VLOOKUP("Glonk..", ImportTable15[], 9, FALSE))), (VLOOKUP("Glonk.MB", ImportTable15[], 9, FALSE) + VLOOKUP("Glonk..", ImportTable15[], 9, FALSE))/9, IF(ISNUMBER(VLOOKUP("Glonk.MB", ImportTable15[], 9, FALSE)), VLOOKUP("Glonk.MB", ImportTable15[], 9, FALSE), IF(ISNUMBER(VLOOKUP("Glonk..", ImportTable15[], 9, FALSE)), VLOOKUP("Glonk..", ImportTable15[], 9, FALSE), 0)))</f>
        <v>52.23545</v>
      </c>
      <c r="AG4" s="8">
        <f>(VLOOKUP("Glonk.MB",ImportTable15[],10,FALSE) + VLOOKUP("Glonk..",ImportTable15[],10,FALSE))</f>
        <v>86</v>
      </c>
      <c r="AH4" s="8">
        <f>(VLOOKUP("Glonk.MB",ImportTable15[],11,FALSE) + VLOOKUP("Glonk..",ImportTable15[],11,FALSE))</f>
        <v>85</v>
      </c>
      <c r="AI4" s="8" t="str">
        <f>IF(YEar9Table[[#This Row],[Ranked Wins]]=YEar9Table[[#This Row],[Wins in Stacks]],"Y","N")</f>
        <v>N</v>
      </c>
      <c r="AJ4" s="8" t="str">
        <f>IF(YEar9Table[[#This Row],[Ranked Losses]]=YEar9Table[[#This Row],[Losses in Stacks]],"Y","N")</f>
        <v>N</v>
      </c>
      <c r="AK4" s="3">
        <f>IFERROR(YEar9Table[[#This Row],[Ranked Wins]]/(YEar9Table[[#This Row],[Ranked Wins]]+YEar9Table[[#This Row],[Ranked Losses]]),0)</f>
        <v>0.50292397660818711</v>
      </c>
      <c r="AL4" s="3">
        <f>IFERROR(YEar9Table[[#This Row],[Attack Wins]]/(YEar9Table[[#This Row],[Attack Wins]]+YEar9Table[[#This Row],[Attack Losses]]),0)</f>
        <v>0.42222222222222222</v>
      </c>
      <c r="AM4" s="3">
        <f>IFERROR(YEar9Table[[#This Row],[Defense Wins]]/(YEar9Table[[#This Row],[Defense Wins]]+YEar9Table[[#This Row],[Defense Losses]]),0)</f>
        <v>0.58691206543967278</v>
      </c>
      <c r="AN4" s="1" cm="1">
        <f t="array" ref="AN4">IFERROR(SUMPRODUCT(($B$2:$B$131=YEar9Table[[#This Row],[Player]])*$L$2:$L$131),0)+IFERROR(SUMPRODUCT(($C$2:$C$131=YEar9Table[[#This Row],[Player]])*$L$2:$L$131),0)+IFERROR(SUMPRODUCT(($E$2:$E$131=YEar9Table[[#This Row],[Player]])*$L$2:$L$131),0)+IFERROR(SUMPRODUCT(($D$2:$D$131=YEar9Table[[#This Row],[Player]])*$L$2:$L$131),0)+IFERROR(SUMPRODUCT(($F$2:$F$131=YEar9Table[[#This Row],[Player]])*$L$2:$L$131),0)</f>
        <v>99</v>
      </c>
      <c r="AO4" s="1" cm="1">
        <f t="array" ref="AO4">IFERROR(SUMPRODUCT(($B$2:$B$131=YEar9Table[[#This Row],[Player]])*$M$2:$M$131),0)+IFERROR(SUMPRODUCT(($C$2:$C$131=YEar9Table[[#This Row],[Player]])*$M$2:$M$131),0)+IFERROR(SUMPRODUCT(($D$2:$D$131=YEar9Table[[#This Row],[Player]])*$M$2:$M$131),0)+IFERROR(SUMPRODUCT(($E$2:$E$131=YEar9Table[[#This Row],[Player]])*$M$2:$M$131),0)+IFERROR(SUMPRODUCT(($F$2:$F$131=YEar9Table[[#This Row],[Player]])*$M$2:$M$131),0)</f>
        <v>96</v>
      </c>
      <c r="AP4" s="1">
        <f>YEar9Table[[#This Row],[Wins in Stacks]]+YEar9Table[[#This Row],[Losses in Stacks]]</f>
        <v>195</v>
      </c>
      <c r="AQ4" s="3">
        <f>IFERROR(YEar9Table[[#This Row],[Wins in Stacks]]/YEar9Table[[#This Row],[Total Games In Stacks]],0)</f>
        <v>0.50769230769230766</v>
      </c>
      <c r="AR4" s="75">
        <v>0.9</v>
      </c>
      <c r="AS4" s="74">
        <v>1</v>
      </c>
      <c r="AT4" s="20" cm="1">
        <f t="array" ref="AT4">(YEar9Table[[#This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6.9695279501023846</v>
      </c>
      <c r="AU4" s="18"/>
      <c r="AV4" s="110"/>
      <c r="AW4" s="110"/>
      <c r="AX4" s="110"/>
      <c r="AY4" s="110"/>
      <c r="AZ4" s="110"/>
      <c r="BA4" s="110"/>
      <c r="BB4" s="110"/>
      <c r="BC4" s="110"/>
      <c r="BD4" s="109"/>
      <c r="BE4" s="109"/>
      <c r="BF4" s="109"/>
      <c r="BG4" s="109"/>
      <c r="BH4" s="109"/>
      <c r="BI4" s="109"/>
      <c r="BJ4" s="109"/>
    </row>
    <row r="5" spans="1:62">
      <c r="A5" s="156" t="str">
        <f>_xlfn.TEXTJOIN(",",TRUE,_xlfn._xlws.SORT(_xlfn.TEXTSPLIT(_xlfn.TEXTJOIN(",",TRUE,_xlfn._xlws.SORT($B5:$F5, 1, -1, FALSE)),"WWWWW",",")))</f>
        <v>Chromius.TAMU,Glonk.MB,Viests.</v>
      </c>
      <c r="B5" s="153" t="s">
        <v>77</v>
      </c>
      <c r="C5" s="153" t="s">
        <v>162</v>
      </c>
      <c r="D5" s="153" t="s">
        <v>185</v>
      </c>
      <c r="E5" s="153"/>
      <c r="F5" s="159"/>
      <c r="G5" s="154" t="str">
        <f>IFERROR(VLOOKUP(Y9S1[[#This Row],[Player 1]],YEar9Table[],2,FALSE),0)</f>
        <v>TIER 1</v>
      </c>
      <c r="H5" s="153" t="str">
        <f>IFERROR(VLOOKUP(Y9S1[[#This Row],[Player 2]],YEar9Table[],2,FALSE),"")</f>
        <v>TIER 2</v>
      </c>
      <c r="I5" s="153" t="str">
        <f>IFERROR(VLOOKUP(Y9S1[[#This Row],[Player 3]],YEar9Table[],2,FALSE),"")</f>
        <v>TIER 7</v>
      </c>
      <c r="J5" s="153" t="str">
        <f>IFERROR(VLOOKUP(Y9S1[[#This Row],[Player 4]],YEar9Table[],2,FALSE),"")</f>
        <v/>
      </c>
      <c r="K5" s="159" t="str">
        <f>IFERROR(VLOOKUP(Y9S1[[#This Row],[Player 5]],YEar9Table[],2,FALSE),"")</f>
        <v/>
      </c>
      <c r="L5" s="40">
        <v>2</v>
      </c>
      <c r="M5" s="40">
        <v>0</v>
      </c>
      <c r="N5" s="40">
        <f>$L5+$M5</f>
        <v>2</v>
      </c>
      <c r="O5" s="51">
        <f>IFERROR(L5/(M5+L5),0)</f>
        <v>1</v>
      </c>
      <c r="P5" s="103">
        <f>(((Y9S1[[#This Row],[Wins]]*1.3)-Y9S1[[#This Row],[Losses]])/SUM(Y9S1[Games Played]))*10</f>
        <v>9.9616858237547901E-2</v>
      </c>
      <c r="Q5" s="182"/>
      <c r="R5" t="s">
        <v>77</v>
      </c>
      <c r="S5" s="9">
        <v>45386</v>
      </c>
      <c r="T5" s="10">
        <v>0.6118055555555556</v>
      </c>
      <c r="U5" s="1" t="str">
        <f>YEar9Table[[#This Row],[Player]]</f>
        <v>Galahad21588</v>
      </c>
      <c r="V5" s="1" t="str">
        <f>IF(AT5&gt;7.5, "TIER 1",
IF(AT5&gt;6.5, "TIER 2",
IF(AT5&gt;5.5, "TIER 3",
IF(AT5&gt;4.5, "TIER 4",
IF(AT5&gt;3.5, "TIER 5",
IF(AT5&gt;2,  "TIER 6",
IF(AT5&gt;0,  "TIER 7",
"TIER 8")))))))</f>
        <v>TIER 3</v>
      </c>
      <c r="W5" s="1" t="s">
        <v>95</v>
      </c>
      <c r="X5" s="8" t="s">
        <v>96</v>
      </c>
      <c r="Y5" s="8">
        <f>VLOOKUP(YEar9Table[[#This Row],[Player]],ImportTable15[],2,FALSE)</f>
        <v>0.72641500000000003</v>
      </c>
      <c r="Z5" s="8">
        <f>VLOOKUP(YEar9Table[[#This Row],[Player]],ImportTable15[],3,FALSE)</f>
        <v>1.2765960000000001</v>
      </c>
      <c r="AA5" s="8">
        <f>VLOOKUP(YEar9Table[[#This Row],[Player]],ImportTable15[],4,FALSE)</f>
        <v>68</v>
      </c>
      <c r="AB5" s="8">
        <f>VLOOKUP(YEar9Table[[#This Row],[Player]],ImportTable15[],5,FALSE)</f>
        <v>87</v>
      </c>
      <c r="AC5" s="8">
        <f>VLOOKUP(YEar9Table[[#This Row],[Player]],ImportTable15[],6,FALSE)</f>
        <v>105</v>
      </c>
      <c r="AD5" s="8">
        <f>VLOOKUP(YEar9Table[[#This Row],[Player]],ImportTable15[],7,FALSE)</f>
        <v>49</v>
      </c>
      <c r="AE5" s="77">
        <f>VLOOKUP(YEar9Table[[#This Row],[Player]],ImportTable15[],8,FALSE)</f>
        <v>45.047780000000003</v>
      </c>
      <c r="AF5" s="77">
        <f>VLOOKUP(YEar9Table[[#This Row],[Player]],ImportTable15[],9,FALSE)</f>
        <v>55.70364</v>
      </c>
      <c r="AG5" s="8">
        <f>VLOOKUP(YEar9Table[[#This Row],[Player]],ImportTable15[],10,FALSE)</f>
        <v>36</v>
      </c>
      <c r="AH5" s="8">
        <f>VLOOKUP(YEar9Table[[#This Row],[Player]],ImportTable15[],11,FALSE)</f>
        <v>18</v>
      </c>
      <c r="AI5" s="8" t="str">
        <f>IF(YEar9Table[[#This Row],[Ranked Wins]]=YEar9Table[[#This Row],[Wins in Stacks]],"Y","N")</f>
        <v>N</v>
      </c>
      <c r="AJ5" s="8" t="str">
        <f>IF(YEar9Table[[#This Row],[Ranked Losses]]=YEar9Table[[#This Row],[Losses in Stacks]],"Y","N")</f>
        <v>Y</v>
      </c>
      <c r="AK5" s="3">
        <f>IFERROR(YEar9Table[[#This Row],[Ranked Wins]]/(YEar9Table[[#This Row],[Ranked Wins]]+YEar9Table[[#This Row],[Ranked Losses]]),0)</f>
        <v>0.66666666666666663</v>
      </c>
      <c r="AL5" s="3">
        <f>IFERROR(YEar9Table[[#This Row],[Attack Wins]]/(YEar9Table[[#This Row],[Attack Wins]]+YEar9Table[[#This Row],[Attack Losses]]),0)</f>
        <v>0.43870967741935485</v>
      </c>
      <c r="AM5" s="3">
        <f>IFERROR(YEar9Table[[#This Row],[Defense Wins]]/(YEar9Table[[#This Row],[Defense Wins]]+YEar9Table[[#This Row],[Defense Losses]]),0)</f>
        <v>0.68181818181818177</v>
      </c>
      <c r="AN5" s="1" cm="1">
        <f t="array" ref="AN5">IFERROR(SUMPRODUCT(($B$2:$B$131=YEar9Table[[#This Row],[Player]])*$L$2:$L$131),0)+IFERROR(SUMPRODUCT(($C$2:$C$131=YEar9Table[[#This Row],[Player]])*$L$2:$L$131),0)+IFERROR(SUMPRODUCT(($E$2:$E$131=YEar9Table[[#This Row],[Player]])*$L$2:$L$131),0)+IFERROR(SUMPRODUCT(($D$2:$D$131=YEar9Table[[#This Row],[Player]])*$L$2:$L$131),0)+IFERROR(SUMPRODUCT(($F$2:$F$131=YEar9Table[[#This Row],[Player]])*$L$2:$L$131),0)</f>
        <v>34</v>
      </c>
      <c r="AO5" s="1" cm="1">
        <f t="array" ref="AO5">IFERROR(SUMPRODUCT(($B$2:$B$131=YEar9Table[[#This Row],[Player]])*$M$2:$M$131),0)+IFERROR(SUMPRODUCT(($C$2:$C$131=YEar9Table[[#This Row],[Player]])*$M$2:$M$131),0)+IFERROR(SUMPRODUCT(($D$2:$D$131=YEar9Table[[#This Row],[Player]])*$M$2:$M$131),0)+IFERROR(SUMPRODUCT(($E$2:$E$131=YEar9Table[[#This Row],[Player]])*$M$2:$M$131),0)+IFERROR(SUMPRODUCT(($F$2:$F$131=YEar9Table[[#This Row],[Player]])*$M$2:$M$131),0)</f>
        <v>18</v>
      </c>
      <c r="AP5" s="1">
        <f>YEar9Table[[#This Row],[Wins in Stacks]]+YEar9Table[[#This Row],[Losses in Stacks]]</f>
        <v>52</v>
      </c>
      <c r="AQ5" s="3">
        <f>IFERROR(YEar9Table[[#This Row],[Wins in Stacks]]/YEar9Table[[#This Row],[Total Games In Stacks]],0)</f>
        <v>0.65384615384615385</v>
      </c>
      <c r="AR5" s="75">
        <v>0.6</v>
      </c>
      <c r="AS5" s="21">
        <v>3</v>
      </c>
      <c r="AT5" s="20" cm="1">
        <f t="array" ref="AT5">(YEar9Table[[#This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5.7696514895205189</v>
      </c>
      <c r="AU5" s="17" t="s">
        <v>82</v>
      </c>
      <c r="AV5" s="205" t="s">
        <v>83</v>
      </c>
      <c r="AW5" s="205"/>
      <c r="AX5" s="205"/>
      <c r="AY5" s="205"/>
      <c r="AZ5" s="205"/>
      <c r="BA5" s="205"/>
      <c r="BB5" s="205"/>
      <c r="BC5" s="205"/>
      <c r="BD5" s="203" t="s">
        <v>84</v>
      </c>
      <c r="BE5" s="203"/>
      <c r="BF5" s="203"/>
      <c r="BG5" s="203"/>
      <c r="BH5" s="203"/>
      <c r="BI5" s="203"/>
      <c r="BJ5" s="203"/>
    </row>
    <row r="6" spans="1:62">
      <c r="A6" s="156" t="str">
        <f>_xlfn.TEXTJOIN(",",TRUE,_xlfn._xlws.SORT(_xlfn.TEXTSPLIT(_xlfn.TEXTJOIN(",",TRUE,_xlfn._xlws.SORT($B6:$F6, 1, -1, FALSE)),"WWWWW",",")))</f>
        <v>Chromius.TAMU,Coolrocket.TAMU,Dlehard.,Galahad21588,Kermitt.MB</v>
      </c>
      <c r="B6" s="153" t="s">
        <v>77</v>
      </c>
      <c r="C6" s="153" t="s">
        <v>96</v>
      </c>
      <c r="D6" s="153" t="s">
        <v>118</v>
      </c>
      <c r="E6" s="153" t="s">
        <v>138</v>
      </c>
      <c r="F6" s="171" t="s">
        <v>121</v>
      </c>
      <c r="G6" s="154" t="str">
        <f>IFERROR(VLOOKUP(Y9S1[[#This Row],[Player 1]],YEar9Table[],2,FALSE),0)</f>
        <v>TIER 1</v>
      </c>
      <c r="H6" s="153" t="str">
        <f>IFERROR(VLOOKUP(Y9S1[[#This Row],[Player 2]],YEar9Table[],2,FALSE),"")</f>
        <v>TIER 3</v>
      </c>
      <c r="I6" s="153" t="str">
        <f>IFERROR(VLOOKUP(Y9S1[[#This Row],[Player 3]],YEar9Table[],2,FALSE),"")</f>
        <v>TIER 4</v>
      </c>
      <c r="J6" s="153" t="str">
        <f>IFERROR(VLOOKUP(Y9S1[[#This Row],[Player 4]],YEar9Table[],2,FALSE),"")</f>
        <v>TIER 7</v>
      </c>
      <c r="K6" s="159" t="str">
        <f>IFERROR(VLOOKUP(Y9S1[[#This Row],[Player 5]],YEar9Table[],2,FALSE),"")</f>
        <v>TIER 7</v>
      </c>
      <c r="L6" s="40">
        <v>2</v>
      </c>
      <c r="M6" s="40">
        <v>0</v>
      </c>
      <c r="N6" s="40">
        <f>$L6+$M6</f>
        <v>2</v>
      </c>
      <c r="O6" s="51">
        <f>IFERROR(L6/(M6+L6),0)</f>
        <v>1</v>
      </c>
      <c r="P6" s="104">
        <f>(((Y9S1[[#This Row],[Wins]]*1.3)-Y9S1[[#This Row],[Losses]])/SUM(Y9S1[Games Played]))*10</f>
        <v>9.9616858237547901E-2</v>
      </c>
      <c r="Q6" s="182"/>
      <c r="R6" t="s">
        <v>182</v>
      </c>
      <c r="S6" s="9">
        <v>45372</v>
      </c>
      <c r="T6" s="26" t="s">
        <v>183</v>
      </c>
      <c r="U6" s="1" t="str">
        <f>YEar9Table[[#This Row],[Player]]</f>
        <v>PincheConcha</v>
      </c>
      <c r="V6" s="1" t="str">
        <f>IF(AT6&gt;7.5, "TIER 1",
IF(AT6&gt;6.5, "TIER 2",
IF(AT6&gt;5.5, "TIER 3",
IF(AT6&gt;4.5, "TIER 4",
IF(AT6&gt;3.5, "TIER 5",
IF(AT6&gt;2,  "TIER 6",
IF(AT6&gt;0,  "TIER 7",
"TIER 8")))))))</f>
        <v>TIER 3</v>
      </c>
      <c r="W6" s="1" t="s">
        <v>90</v>
      </c>
      <c r="X6" s="8" t="s">
        <v>91</v>
      </c>
      <c r="Y6" s="8">
        <f>VLOOKUP(YEar9Table[[#This Row],[Player]],ImportTable15[],2,FALSE)</f>
        <v>1.117057</v>
      </c>
      <c r="Z6" s="8">
        <f>VLOOKUP(YEar9Table[[#This Row],[Player]],ImportTable15[],3,FALSE)</f>
        <v>1.331915</v>
      </c>
      <c r="AA6" s="8">
        <f>VLOOKUP(YEar9Table[[#This Row],[Player]],ImportTable15[],4,FALSE)</f>
        <v>165</v>
      </c>
      <c r="AB6" s="8">
        <f>VLOOKUP(YEar9Table[[#This Row],[Player]],ImportTable15[],5,FALSE)</f>
        <v>207</v>
      </c>
      <c r="AC6" s="8">
        <f>VLOOKUP(YEar9Table[[#This Row],[Player]],ImportTable15[],6,FALSE)</f>
        <v>210</v>
      </c>
      <c r="AD6" s="8">
        <f>VLOOKUP(YEar9Table[[#This Row],[Player]],ImportTable15[],7,FALSE)</f>
        <v>147</v>
      </c>
      <c r="AE6" s="77">
        <f>VLOOKUP(YEar9Table[[#This Row],[Player]],ImportTable15[],8,FALSE)</f>
        <v>57.050330000000002</v>
      </c>
      <c r="AF6" s="77">
        <f>VLOOKUP(YEar9Table[[#This Row],[Player]],ImportTable15[],9,FALSE)</f>
        <v>63.475630000000002</v>
      </c>
      <c r="AG6" s="8">
        <f>VLOOKUP(YEar9Table[[#This Row],[Player]],ImportTable15[],10,FALSE)</f>
        <v>62</v>
      </c>
      <c r="AH6" s="8">
        <f>VLOOKUP(YEar9Table[[#This Row],[Player]],ImportTable15[],11,FALSE)</f>
        <v>68</v>
      </c>
      <c r="AI6" s="8" t="str">
        <f>IF(YEar9Table[[#This Row],[Ranked Wins]]=YEar9Table[[#This Row],[Wins in Stacks]],"Y","N")</f>
        <v>N</v>
      </c>
      <c r="AJ6" s="8" t="str">
        <f>IF(YEar9Table[[#This Row],[Ranked Losses]]=YEar9Table[[#This Row],[Losses in Stacks]],"Y","N")</f>
        <v>N</v>
      </c>
      <c r="AK6" s="3">
        <f>IFERROR(YEar9Table[[#This Row],[Ranked Wins]]/(YEar9Table[[#This Row],[Ranked Wins]]+YEar9Table[[#This Row],[Ranked Losses]]),0)</f>
        <v>0.47692307692307695</v>
      </c>
      <c r="AL6" s="3">
        <f>IFERROR(YEar9Table[[#This Row],[Attack Wins]]/(YEar9Table[[#This Row],[Attack Wins]]+YEar9Table[[#This Row],[Attack Losses]]),0)</f>
        <v>0.44354838709677419</v>
      </c>
      <c r="AM6" s="3">
        <f>IFERROR(YEar9Table[[#This Row],[Defense Wins]]/(YEar9Table[[#This Row],[Defense Wins]]+YEar9Table[[#This Row],[Defense Losses]]),0)</f>
        <v>0.58823529411764708</v>
      </c>
      <c r="AN6" s="1" cm="1">
        <f t="array" ref="AN6">IFERROR(SUMPRODUCT(($B$2:$B$131=YEar9Table[[#This Row],[Player]])*$L$2:$L$131),0)+IFERROR(SUMPRODUCT(($C$2:$C$131=YEar9Table[[#This Row],[Player]])*$L$2:$L$131),0)+IFERROR(SUMPRODUCT(($E$2:$E$131=YEar9Table[[#This Row],[Player]])*$L$2:$L$131),0)+IFERROR(SUMPRODUCT(($D$2:$D$131=YEar9Table[[#This Row],[Player]])*$L$2:$L$131),0)+IFERROR(SUMPRODUCT(($F$2:$F$131=YEar9Table[[#This Row],[Player]])*$L$2:$L$131),0)</f>
        <v>25</v>
      </c>
      <c r="AO6" s="1" cm="1">
        <f t="array" ref="AO6">IFERROR(SUMPRODUCT(($B$2:$B$131=YEar9Table[[#This Row],[Player]])*$M$2:$M$131),0)+IFERROR(SUMPRODUCT(($C$2:$C$131=YEar9Table[[#This Row],[Player]])*$M$2:$M$131),0)+IFERROR(SUMPRODUCT(($D$2:$D$131=YEar9Table[[#This Row],[Player]])*$M$2:$M$131),0)+IFERROR(SUMPRODUCT(($E$2:$E$131=YEar9Table[[#This Row],[Player]])*$M$2:$M$131),0)+IFERROR(SUMPRODUCT(($F$2:$F$131=YEar9Table[[#This Row],[Player]])*$M$2:$M$131),0)</f>
        <v>22</v>
      </c>
      <c r="AP6" s="1">
        <f>YEar9Table[[#This Row],[Wins in Stacks]]+YEar9Table[[#This Row],[Losses in Stacks]]</f>
        <v>47</v>
      </c>
      <c r="AQ6" s="3">
        <f>IFERROR(YEar9Table[[#This Row],[Wins in Stacks]]/YEar9Table[[#This Row],[Total Games In Stacks]],0)</f>
        <v>0.53191489361702127</v>
      </c>
      <c r="AR6" s="75">
        <v>0.8</v>
      </c>
      <c r="AS6" s="74">
        <v>2</v>
      </c>
      <c r="AT6" s="20" cm="1">
        <f t="array" ref="AT6">(YEar9Table[[#This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5.9695636072708176</v>
      </c>
      <c r="AU6" s="13" t="s">
        <v>87</v>
      </c>
      <c r="AV6" s="206" t="s">
        <v>88</v>
      </c>
      <c r="AW6" s="206"/>
      <c r="AX6" s="206"/>
      <c r="AY6" s="206"/>
      <c r="AZ6" s="206"/>
      <c r="BA6" s="206"/>
      <c r="BB6" s="206"/>
      <c r="BC6" s="206"/>
      <c r="BD6" s="203" t="s">
        <v>89</v>
      </c>
      <c r="BE6" s="203"/>
      <c r="BF6" s="203"/>
      <c r="BG6" s="203"/>
      <c r="BH6" s="203"/>
      <c r="BI6" s="203"/>
      <c r="BJ6" s="203"/>
    </row>
    <row r="7" spans="1:62" ht="16.5" customHeight="1">
      <c r="A7" s="156" t="str">
        <f>_xlfn.TEXTJOIN(",",TRUE,_xlfn._xlws.SORT(_xlfn.TEXTSPLIT(_xlfn.TEXTJOIN(",",TRUE,_xlfn._xlws.SORT($B7:$F7, 1, -1, FALSE)),"WWWWW",",")))</f>
        <v>Chromius.TAMU,Glonk.MB,Kermitt.MB,PincheConcha,TexAg21</v>
      </c>
      <c r="B7" s="153" t="s">
        <v>77</v>
      </c>
      <c r="C7" s="153" t="s">
        <v>91</v>
      </c>
      <c r="D7" s="153" t="s">
        <v>188</v>
      </c>
      <c r="E7" s="153" t="s">
        <v>118</v>
      </c>
      <c r="F7" s="159" t="s">
        <v>162</v>
      </c>
      <c r="G7" s="154" t="str">
        <f>IFERROR(VLOOKUP(Y9S1[[#This Row],[Player 1]],YEar9Table[],2,FALSE),0)</f>
        <v>TIER 1</v>
      </c>
      <c r="H7" s="153" t="str">
        <f>IFERROR(VLOOKUP(Y9S1[[#This Row],[Player 2]],YEar9Table[],2,FALSE),"")</f>
        <v>TIER 3</v>
      </c>
      <c r="I7" s="153" t="str">
        <f>IFERROR(VLOOKUP(Y9S1[[#This Row],[Player 3]],YEar9Table[],2,FALSE),"")</f>
        <v>TIER 8</v>
      </c>
      <c r="J7" s="153" t="str">
        <f>IFERROR(VLOOKUP(Y9S1[[#This Row],[Player 4]],YEar9Table[],2,FALSE),"")</f>
        <v>TIER 4</v>
      </c>
      <c r="K7" s="159" t="str">
        <f>IFERROR(VLOOKUP(Y9S1[[#This Row],[Player 5]],YEar9Table[],2,FALSE),"")</f>
        <v>TIER 2</v>
      </c>
      <c r="L7" s="40">
        <v>2</v>
      </c>
      <c r="M7" s="40">
        <v>0</v>
      </c>
      <c r="N7" s="40">
        <f>$L7+$M7</f>
        <v>2</v>
      </c>
      <c r="O7" s="51">
        <f>IFERROR(L7/(M7+L7),0)</f>
        <v>1</v>
      </c>
      <c r="P7" s="103">
        <f>(((Y9S1[[#This Row],[Wins]]*1.3)-Y9S1[[#This Row],[Losses]])/SUM(Y9S1[Games Played]))*10</f>
        <v>9.9616858237547901E-2</v>
      </c>
      <c r="Q7" s="182"/>
      <c r="R7"/>
      <c r="T7"/>
      <c r="U7" s="1" t="str">
        <f>YEar9Table[[#This Row],[Player]]</f>
        <v>Kermitt.MB</v>
      </c>
      <c r="V7" s="1" t="str">
        <f>IF(AT7&gt;7.5, "TIER 1",
IF(AT7&gt;6.5, "TIER 2",
IF(AT7&gt;5.5, "TIER 3",
IF(AT7&gt;4.5, "TIER 4",
IF(AT7&gt;3.5, "TIER 5",
IF(AT7&gt;2,  "TIER 6",
IF(AT7&gt;0,  "TIER 7",
"TIER 8")))))))</f>
        <v>TIER 4</v>
      </c>
      <c r="W7" s="1" t="s">
        <v>117</v>
      </c>
      <c r="X7" s="8" t="s">
        <v>118</v>
      </c>
      <c r="Y7" s="8">
        <f>VLOOKUP(YEar9Table[[#This Row],[Player]],ImportTable15[],2,FALSE)</f>
        <v>0.76881699999999997</v>
      </c>
      <c r="Z7" s="8">
        <f>VLOOKUP(YEar9Table[[#This Row],[Player]],ImportTable15[],3,FALSE)</f>
        <v>0.94285699999999995</v>
      </c>
      <c r="AA7" s="8">
        <f>VLOOKUP(YEar9Table[[#This Row],[Player]],ImportTable15[],4,FALSE)</f>
        <v>110</v>
      </c>
      <c r="AB7" s="8">
        <f>VLOOKUP(YEar9Table[[#This Row],[Player]],ImportTable15[],5,FALSE)</f>
        <v>138</v>
      </c>
      <c r="AC7" s="8">
        <f>VLOOKUP(YEar9Table[[#This Row],[Player]],ImportTable15[],6,FALSE)</f>
        <v>150</v>
      </c>
      <c r="AD7" s="8">
        <f>VLOOKUP(YEar9Table[[#This Row],[Player]],ImportTable15[],7,FALSE)</f>
        <v>99</v>
      </c>
      <c r="AE7" s="77">
        <f>VLOOKUP(YEar9Table[[#This Row],[Player]],ImportTable15[],8,FALSE)</f>
        <v>55.413179999999997</v>
      </c>
      <c r="AF7" s="77">
        <f>VLOOKUP(YEar9Table[[#This Row],[Player]],ImportTable15[],9,FALSE)</f>
        <v>70.367890000000003</v>
      </c>
      <c r="AG7" s="8">
        <f>VLOOKUP(YEar9Table[[#This Row],[Player]],ImportTable15[],10,FALSE)</f>
        <v>42</v>
      </c>
      <c r="AH7" s="8">
        <f>VLOOKUP(YEar9Table[[#This Row],[Player]],ImportTable15[],11,FALSE)</f>
        <v>37</v>
      </c>
      <c r="AI7" s="8" t="str">
        <f>IF(YEar9Table[[#This Row],[Ranked Wins]]=YEar9Table[[#This Row],[Wins in Stacks]],"Y","N")</f>
        <v>N</v>
      </c>
      <c r="AJ7" s="8" t="str">
        <f>IF(YEar9Table[[#This Row],[Ranked Losses]]=YEar9Table[[#This Row],[Losses in Stacks]],"Y","N")</f>
        <v>N</v>
      </c>
      <c r="AK7" s="3">
        <f>IFERROR(YEar9Table[[#This Row],[Ranked Wins]]/(YEar9Table[[#This Row],[Ranked Wins]]+YEar9Table[[#This Row],[Ranked Losses]]),0)</f>
        <v>0.53164556962025311</v>
      </c>
      <c r="AL7" s="3">
        <f>IFERROR(YEar9Table[[#This Row],[Attack Wins]]/(YEar9Table[[#This Row],[Attack Wins]]+YEar9Table[[#This Row],[Attack Losses]]),0)</f>
        <v>0.44354838709677419</v>
      </c>
      <c r="AM7" s="3">
        <f>IFERROR(YEar9Table[[#This Row],[Defense Wins]]/(YEar9Table[[#This Row],[Defense Wins]]+YEar9Table[[#This Row],[Defense Losses]]),0)</f>
        <v>0.60240963855421692</v>
      </c>
      <c r="AN7" s="1" cm="1">
        <f t="array" ref="AN7">IFERROR(SUMPRODUCT(($B$2:$B$131=YEar9Table[[#This Row],[Player]])*$L$2:$L$131),0)+IFERROR(SUMPRODUCT(($C$2:$C$131=YEar9Table[[#This Row],[Player]])*$L$2:$L$131),0)+IFERROR(SUMPRODUCT(($E$2:$E$131=YEar9Table[[#This Row],[Player]])*$L$2:$L$131),0)+IFERROR(SUMPRODUCT(($D$2:$D$131=YEar9Table[[#This Row],[Player]])*$L$2:$L$131),0)+IFERROR(SUMPRODUCT(($F$2:$F$131=YEar9Table[[#This Row],[Player]])*$L$2:$L$131),0)</f>
        <v>45</v>
      </c>
      <c r="AO7" s="1" cm="1">
        <f t="array" ref="AO7">IFERROR(SUMPRODUCT(($B$2:$B$131=YEar9Table[[#This Row],[Player]])*$M$2:$M$131),0)+IFERROR(SUMPRODUCT(($C$2:$C$131=YEar9Table[[#This Row],[Player]])*$M$2:$M$131),0)+IFERROR(SUMPRODUCT(($D$2:$D$131=YEar9Table[[#This Row],[Player]])*$M$2:$M$131),0)+IFERROR(SUMPRODUCT(($E$2:$E$131=YEar9Table[[#This Row],[Player]])*$M$2:$M$131),0)+IFERROR(SUMPRODUCT(($F$2:$F$131=YEar9Table[[#This Row],[Player]])*$M$2:$M$131),0)</f>
        <v>33</v>
      </c>
      <c r="AP7" s="1">
        <f>YEar9Table[[#This Row],[Wins in Stacks]]+YEar9Table[[#This Row],[Losses in Stacks]]</f>
        <v>78</v>
      </c>
      <c r="AQ7" s="3">
        <f>IFERROR(YEar9Table[[#This Row],[Wins in Stacks]]/YEar9Table[[#This Row],[Total Games In Stacks]],0)</f>
        <v>0.57692307692307687</v>
      </c>
      <c r="AR7" s="75">
        <v>0.6</v>
      </c>
      <c r="AS7" s="21">
        <v>2</v>
      </c>
      <c r="AT7" s="20" cm="1">
        <f t="array" ref="AT7">(YEar9Table[[#This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5.346908644729389</v>
      </c>
      <c r="AU7" s="14" t="s">
        <v>92</v>
      </c>
      <c r="AV7" s="207" t="s">
        <v>93</v>
      </c>
      <c r="AW7" s="207"/>
      <c r="AX7" s="207"/>
      <c r="AY7" s="207"/>
      <c r="AZ7" s="207"/>
      <c r="BA7" s="207"/>
      <c r="BB7" s="207"/>
      <c r="BC7" s="207"/>
      <c r="BD7" s="203" t="s">
        <v>94</v>
      </c>
      <c r="BE7" s="203"/>
      <c r="BF7" s="203"/>
      <c r="BG7" s="203"/>
      <c r="BH7" s="203"/>
      <c r="BI7" s="203"/>
      <c r="BJ7" s="203"/>
    </row>
    <row r="8" spans="1:62">
      <c r="A8" s="156" t="str">
        <f>_xlfn.TEXTJOIN(",",TRUE,_xlfn._xlws.SORT(_xlfn.TEXTSPLIT(_xlfn.TEXTJOIN(",",TRUE,_xlfn._xlws.SORT($B8:$F8, 1, -1, FALSE)),"WWWWW",",")))</f>
        <v>Chromius.TAMU,Colonizer.BU,Glonk.MB,Kermitt.MB</v>
      </c>
      <c r="B8" s="153" t="s">
        <v>77</v>
      </c>
      <c r="C8" s="153" t="s">
        <v>162</v>
      </c>
      <c r="D8" s="153" t="s">
        <v>118</v>
      </c>
      <c r="E8" s="153" t="s">
        <v>154</v>
      </c>
      <c r="F8" s="159"/>
      <c r="G8" s="153" t="str">
        <f>IFERROR(VLOOKUP(Y9S1[[#This Row],[Player 1]],YEar9Table[],2,FALSE),0)</f>
        <v>TIER 1</v>
      </c>
      <c r="H8" s="153" t="str">
        <f>IFERROR(VLOOKUP(Y9S1[[#This Row],[Player 2]],YEar9Table[],2,FALSE),"")</f>
        <v>TIER 2</v>
      </c>
      <c r="I8" s="153" t="str">
        <f>IFERROR(VLOOKUP(Y9S1[[#This Row],[Player 3]],YEar9Table[],2,FALSE),"")</f>
        <v>TIER 4</v>
      </c>
      <c r="J8" s="153" t="str">
        <f>IFERROR(VLOOKUP(Y9S1[[#This Row],[Player 4]],YEar9Table[],2,FALSE),"")</f>
        <v>TIER 8</v>
      </c>
      <c r="K8" s="159" t="str">
        <f>IFERROR(VLOOKUP(Y9S1[[#This Row],[Player 5]],YEar9Table[],2,FALSE),"")</f>
        <v/>
      </c>
      <c r="L8" s="40">
        <v>1</v>
      </c>
      <c r="M8" s="40">
        <v>0</v>
      </c>
      <c r="N8" s="40">
        <f>$L8+$M8</f>
        <v>1</v>
      </c>
      <c r="O8" s="51">
        <f>IFERROR(L8/(M8+L8),0)</f>
        <v>1</v>
      </c>
      <c r="P8" s="103">
        <f>(((Y9S1[[#This Row],[Wins]]*1.3)-Y9S1[[#This Row],[Losses]])/SUM(Y9S1[Games Played]))*10</f>
        <v>4.980842911877395E-2</v>
      </c>
      <c r="Q8" s="183"/>
      <c r="R8"/>
      <c r="T8"/>
      <c r="U8" s="1" t="str">
        <f>YEar9Table[[#This Row],[Player]]</f>
        <v>Jamato33</v>
      </c>
      <c r="V8" s="1" t="str">
        <f>IF(AT8&gt;7.5, "TIER 1",
IF(AT8&gt;6.5, "TIER 2",
IF(AT8&gt;5.5, "TIER 3",
IF(AT8&gt;4.5, "TIER 4",
IF(AT8&gt;3.5, "TIER 5",
IF(AT8&gt;2,  "TIER 6",
IF(AT8&gt;0,  "TIER 7",
"TIER 8")))))))</f>
        <v>TIER 5</v>
      </c>
      <c r="W8" s="163" t="s">
        <v>236</v>
      </c>
      <c r="X8" s="163" t="s">
        <v>233</v>
      </c>
      <c r="Y8" s="8">
        <f>VLOOKUP(YEar9Table[[#This Row],[Player]],ImportTable15[],2,FALSE)</f>
        <v>0.65217400000000003</v>
      </c>
      <c r="Z8" s="8">
        <f>VLOOKUP(YEar9Table[[#This Row],[Player]],ImportTable15[],3,FALSE)</f>
        <v>0.96590900000000002</v>
      </c>
      <c r="AA8" s="8">
        <f>VLOOKUP(YEar9Table[[#This Row],[Player]],ImportTable15[],4,FALSE)</f>
        <v>58</v>
      </c>
      <c r="AB8" s="8">
        <f>VLOOKUP(YEar9Table[[#This Row],[Player]],ImportTable15[],5,FALSE)</f>
        <v>71</v>
      </c>
      <c r="AC8" s="8">
        <f>VLOOKUP(YEar9Table[[#This Row],[Player]],ImportTable15[],6,FALSE)</f>
        <v>86</v>
      </c>
      <c r="AD8" s="8">
        <f>VLOOKUP(YEar9Table[[#This Row],[Player]],ImportTable15[],7,FALSE)</f>
        <v>50</v>
      </c>
      <c r="AE8" s="77">
        <f>VLOOKUP(YEar9Table[[#This Row],[Player]],ImportTable15[],8,FALSE)</f>
        <v>44.790669999999999</v>
      </c>
      <c r="AF8" s="77">
        <f>VLOOKUP(YEar9Table[[#This Row],[Player]],ImportTable15[],9,FALSE)</f>
        <v>65.98733</v>
      </c>
      <c r="AG8" s="8">
        <f>VLOOKUP(YEar9Table[[#This Row],[Player]],ImportTable15[],10,FALSE)</f>
        <v>29</v>
      </c>
      <c r="AH8" s="8">
        <f>VLOOKUP(YEar9Table[[#This Row],[Player]],ImportTable15[],11,FALSE)</f>
        <v>17</v>
      </c>
      <c r="AI8" s="8" t="str">
        <f>IF(YEar9Table[[#This Row],[Ranked Wins]]=YEar9Table[[#This Row],[Wins in Stacks]],"Y","N")</f>
        <v>N</v>
      </c>
      <c r="AJ8" s="8" t="str">
        <f>IF(YEar9Table[[#This Row],[Ranked Losses]]=YEar9Table[[#This Row],[Losses in Stacks]],"Y","N")</f>
        <v>N</v>
      </c>
      <c r="AK8" s="3">
        <f>IFERROR(YEar9Table[[#This Row],[Ranked Wins]]/(YEar9Table[[#This Row],[Ranked Wins]]+YEar9Table[[#This Row],[Ranked Losses]]),0)</f>
        <v>0.63043478260869568</v>
      </c>
      <c r="AL8" s="3">
        <f>IFERROR(YEar9Table[[#This Row],[Attack Wins]]/(YEar9Table[[#This Row],[Attack Wins]]+YEar9Table[[#This Row],[Attack Losses]]),0)</f>
        <v>0.44961240310077522</v>
      </c>
      <c r="AM8" s="3">
        <f>IFERROR(YEar9Table[[#This Row],[Defense Wins]]/(YEar9Table[[#This Row],[Defense Wins]]+YEar9Table[[#This Row],[Defense Losses]]),0)</f>
        <v>0.63235294117647056</v>
      </c>
      <c r="AN8" s="1" cm="1">
        <f t="array" ref="AN8">IFERROR(SUMPRODUCT(($B$2:$B$131=YEar9Table[[#This Row],[Player]])*$L$2:$L$131),0)+IFERROR(SUMPRODUCT(($C$2:$C$131=YEar9Table[[#This Row],[Player]])*$L$2:$L$131),0)+IFERROR(SUMPRODUCT(($E$2:$E$131=YEar9Table[[#This Row],[Player]])*$L$2:$L$131),0)+IFERROR(SUMPRODUCT(($D$2:$D$131=YEar9Table[[#This Row],[Player]])*$L$2:$L$131),0)+IFERROR(SUMPRODUCT(($F$2:$F$131=YEar9Table[[#This Row],[Player]])*$L$2:$L$131),0)</f>
        <v>11</v>
      </c>
      <c r="AO8" s="1" cm="1">
        <f t="array" ref="AO8">IFERROR(SUMPRODUCT(($B$2:$B$131=YEar9Table[[#This Row],[Player]])*$M$2:$M$131),0)+IFERROR(SUMPRODUCT(($C$2:$C$131=YEar9Table[[#This Row],[Player]])*$M$2:$M$131),0)+IFERROR(SUMPRODUCT(($D$2:$D$131=YEar9Table[[#This Row],[Player]])*$M$2:$M$131),0)+IFERROR(SUMPRODUCT(($E$2:$E$131=YEar9Table[[#This Row],[Player]])*$M$2:$M$131),0)+IFERROR(SUMPRODUCT(($F$2:$F$131=YEar9Table[[#This Row],[Player]])*$M$2:$M$131),0)</f>
        <v>7</v>
      </c>
      <c r="AP8" s="1">
        <f>YEar9Table[[#This Row],[Wins in Stacks]]+YEar9Table[[#This Row],[Losses in Stacks]]</f>
        <v>18</v>
      </c>
      <c r="AQ8" s="3">
        <f>IFERROR(YEar9Table[[#This Row],[Wins in Stacks]]/YEar9Table[[#This Row],[Total Games In Stacks]],0)</f>
        <v>0.61111111111111116</v>
      </c>
      <c r="AR8" s="75">
        <v>0.4</v>
      </c>
      <c r="AS8" s="21">
        <v>2</v>
      </c>
      <c r="AT8" s="20" cm="1">
        <f t="array" ref="AT8">(YEar9Table[[#This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3.7847366446370474</v>
      </c>
      <c r="AU8" s="15" t="s">
        <v>97</v>
      </c>
      <c r="AV8" s="208" t="s">
        <v>98</v>
      </c>
      <c r="AW8" s="208"/>
      <c r="AX8" s="208"/>
      <c r="AY8" s="208"/>
      <c r="AZ8" s="208"/>
      <c r="BA8" s="208"/>
      <c r="BB8" s="208"/>
      <c r="BC8" s="208"/>
      <c r="BD8" s="203" t="s">
        <v>99</v>
      </c>
      <c r="BE8" s="203"/>
      <c r="BF8" s="203"/>
      <c r="BG8" s="203"/>
      <c r="BH8" s="203"/>
      <c r="BI8" s="203"/>
      <c r="BJ8" s="203"/>
    </row>
    <row r="9" spans="1:62">
      <c r="A9" s="156" t="str">
        <f>_xlfn.TEXTJOIN(",",TRUE,_xlfn._xlws.SORT(_xlfn.TEXTSPLIT(_xlfn.TEXTJOIN(",",TRUE,_xlfn._xlws.SORT($B9:$F9, 1, -1, FALSE)),"WWWWW",",")))</f>
        <v>Boomerjet123,Chromius.TAMU,Galahad21588</v>
      </c>
      <c r="B9" s="153" t="s">
        <v>77</v>
      </c>
      <c r="C9" s="153" t="s">
        <v>96</v>
      </c>
      <c r="D9" s="153" t="s">
        <v>109</v>
      </c>
      <c r="E9" s="153"/>
      <c r="F9" s="159"/>
      <c r="G9" s="153" t="str">
        <f>IFERROR(VLOOKUP(Y9S1[[#This Row],[Player 1]],YEar9Table[],2,FALSE),0)</f>
        <v>TIER 1</v>
      </c>
      <c r="H9" s="153" t="str">
        <f>IFERROR(VLOOKUP(Y9S1[[#This Row],[Player 2]],YEar9Table[],2,FALSE),"")</f>
        <v>TIER 3</v>
      </c>
      <c r="I9" s="153" t="str">
        <f>IFERROR(VLOOKUP(Y9S1[[#This Row],[Player 3]],YEar9Table[],2,FALSE),"")</f>
        <v>TIER 8</v>
      </c>
      <c r="J9" s="153" t="str">
        <f>IFERROR(VLOOKUP(Y9S1[[#This Row],[Player 4]],YEar9Table[],2,FALSE),"")</f>
        <v/>
      </c>
      <c r="K9" s="159" t="str">
        <f>IFERROR(VLOOKUP(Y9S1[[#This Row],[Player 5]],YEar9Table[],2,FALSE),"")</f>
        <v/>
      </c>
      <c r="L9" s="40">
        <v>1</v>
      </c>
      <c r="M9" s="40">
        <v>0</v>
      </c>
      <c r="N9" s="40">
        <f>$L9+$M9</f>
        <v>1</v>
      </c>
      <c r="O9" s="51">
        <f>IFERROR(L9/(M9+L9),0)</f>
        <v>1</v>
      </c>
      <c r="P9" s="104">
        <f>(((Y9S1[[#This Row],[Wins]]*1.3)-Y9S1[[#This Row],[Losses]])/SUM(Y9S1[Games Played]))*10</f>
        <v>4.980842911877395E-2</v>
      </c>
      <c r="Q9" s="182" t="s">
        <v>237</v>
      </c>
      <c r="R9"/>
      <c r="T9"/>
      <c r="U9" s="1" t="str">
        <f>YEar9Table[[#This Row],[Player]]</f>
        <v>Blade2420</v>
      </c>
      <c r="V9" s="1" t="str">
        <f>IF(AT9&gt;7.5, "TIER 1",
IF(AT9&gt;6.5, "TIER 2",
IF(AT9&gt;5.5, "TIER 3",
IF(AT9&gt;4.5, "TIER 4",
IF(AT9&gt;3.5, "TIER 5",
IF(AT9&gt;2,  "TIER 6",
IF(AT9&gt;0,  "TIER 7",
"TIER 8")))))))</f>
        <v>TIER 6</v>
      </c>
      <c r="W9" s="1" t="s">
        <v>112</v>
      </c>
      <c r="X9" s="8" t="s">
        <v>113</v>
      </c>
      <c r="Y9" s="8">
        <f>VLOOKUP(YEar9Table[[#This Row],[Player]],ImportTable15[],2,FALSE)</f>
        <v>1.1333329999999999</v>
      </c>
      <c r="Z9" s="8">
        <f>VLOOKUP(YEar9Table[[#This Row],[Player]],ImportTable15[],3,FALSE)</f>
        <v>0.9375</v>
      </c>
      <c r="AA9" s="8">
        <f>VLOOKUP(YEar9Table[[#This Row],[Player]],ImportTable15[],4,FALSE)</f>
        <v>12</v>
      </c>
      <c r="AB9" s="8">
        <f>VLOOKUP(YEar9Table[[#This Row],[Player]],ImportTable15[],5,FALSE)</f>
        <v>12</v>
      </c>
      <c r="AC9" s="8">
        <f>VLOOKUP(YEar9Table[[#This Row],[Player]],ImportTable15[],6,FALSE)</f>
        <v>11</v>
      </c>
      <c r="AD9" s="8">
        <f>VLOOKUP(YEar9Table[[#This Row],[Player]],ImportTable15[],7,FALSE)</f>
        <v>10</v>
      </c>
      <c r="AE9" s="77">
        <f>VLOOKUP(YEar9Table[[#This Row],[Player]],ImportTable15[],8,FALSE)</f>
        <v>52.38</v>
      </c>
      <c r="AF9" s="77">
        <f>VLOOKUP(YEar9Table[[#This Row],[Player]],ImportTable15[],9,FALSE)</f>
        <v>36.11</v>
      </c>
      <c r="AG9" s="8">
        <f>VLOOKUP(YEar9Table[[#This Row],[Player]],ImportTable15[],10,FALSE)</f>
        <v>5</v>
      </c>
      <c r="AH9" s="8">
        <f>VLOOKUP(YEar9Table[[#This Row],[Player]],ImportTable15[],11,FALSE)</f>
        <v>3</v>
      </c>
      <c r="AI9" s="8" t="str">
        <f>IF(YEar9Table[[#This Row],[Ranked Wins]]=YEar9Table[[#This Row],[Wins in Stacks]],"Y","N")</f>
        <v>Y</v>
      </c>
      <c r="AJ9" s="8" t="str">
        <f>IF(YEar9Table[[#This Row],[Ranked Losses]]=YEar9Table[[#This Row],[Losses in Stacks]],"Y","N")</f>
        <v>Y</v>
      </c>
      <c r="AK9" s="3">
        <f>IFERROR(YEar9Table[[#This Row],[Ranked Wins]]/(YEar9Table[[#This Row],[Ranked Wins]]+YEar9Table[[#This Row],[Ranked Losses]]),0)</f>
        <v>0.625</v>
      </c>
      <c r="AL9" s="3">
        <f>IFERROR(YEar9Table[[#This Row],[Attack Wins]]/(YEar9Table[[#This Row],[Attack Wins]]+YEar9Table[[#This Row],[Attack Losses]]),0)</f>
        <v>0.5</v>
      </c>
      <c r="AM9" s="3">
        <f>IFERROR(YEar9Table[[#This Row],[Defense Wins]]/(YEar9Table[[#This Row],[Defense Wins]]+YEar9Table[[#This Row],[Defense Losses]]),0)</f>
        <v>0.52380952380952384</v>
      </c>
      <c r="AN9" s="1" cm="1">
        <f t="array" ref="AN9">IFERROR(SUMPRODUCT(($B$2:$B$131=YEar9Table[[#This Row],[Player]])*$L$2:$L$131),0)+IFERROR(SUMPRODUCT(($C$2:$C$131=YEar9Table[[#This Row],[Player]])*$L$2:$L$131),0)+IFERROR(SUMPRODUCT(($E$2:$E$131=YEar9Table[[#This Row],[Player]])*$L$2:$L$131),0)+IFERROR(SUMPRODUCT(($D$2:$D$131=YEar9Table[[#This Row],[Player]])*$L$2:$L$131),0)+IFERROR(SUMPRODUCT(($F$2:$F$131=YEar9Table[[#This Row],[Player]])*$L$2:$L$131),0)</f>
        <v>5</v>
      </c>
      <c r="AO9" s="1" cm="1">
        <f t="array" ref="AO9">IFERROR(SUMPRODUCT(($B$2:$B$131=YEar9Table[[#This Row],[Player]])*$M$2:$M$131),0)+IFERROR(SUMPRODUCT(($C$2:$C$131=YEar9Table[[#This Row],[Player]])*$M$2:$M$131),0)+IFERROR(SUMPRODUCT(($D$2:$D$131=YEar9Table[[#This Row],[Player]])*$M$2:$M$131),0)+IFERROR(SUMPRODUCT(($E$2:$E$131=YEar9Table[[#This Row],[Player]])*$M$2:$M$131),0)+IFERROR(SUMPRODUCT(($F$2:$F$131=YEar9Table[[#This Row],[Player]])*$M$2:$M$131),0)</f>
        <v>3</v>
      </c>
      <c r="AP9" s="1">
        <f>YEar9Table[[#This Row],[Wins in Stacks]]+YEar9Table[[#This Row],[Losses in Stacks]]</f>
        <v>8</v>
      </c>
      <c r="AQ9" s="3">
        <f>IFERROR(YEar9Table[[#This Row],[Wins in Stacks]]/YEar9Table[[#This Row],[Total Games In Stacks]],0)</f>
        <v>0.625</v>
      </c>
      <c r="AR9" s="75">
        <v>0.4</v>
      </c>
      <c r="AS9" s="21">
        <v>1</v>
      </c>
      <c r="AT9" s="20" cm="1">
        <f t="array" ref="AT9">(YEar9Table[[#This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2.6505583916506477</v>
      </c>
      <c r="AU9" s="2" t="s">
        <v>101</v>
      </c>
      <c r="AV9" s="211" t="s">
        <v>102</v>
      </c>
      <c r="AW9" s="211"/>
      <c r="AX9" s="211"/>
      <c r="AY9" s="211"/>
      <c r="AZ9" s="211"/>
      <c r="BA9" s="211"/>
      <c r="BB9" s="211"/>
      <c r="BC9" s="211"/>
      <c r="BD9" s="203" t="s">
        <v>103</v>
      </c>
      <c r="BE9" s="203"/>
      <c r="BF9" s="203"/>
      <c r="BG9" s="203"/>
      <c r="BH9" s="203"/>
      <c r="BI9" s="203"/>
      <c r="BJ9" s="203"/>
    </row>
    <row r="10" spans="1:62" ht="14.25" customHeight="1">
      <c r="A10" s="156" t="str">
        <f>_xlfn.TEXTJOIN(",",TRUE,_xlfn._xlws.SORT(_xlfn.TEXTSPLIT(_xlfn.TEXTJOIN(",",TRUE,_xlfn._xlws.SORT($B10:$F10, 1, -1, FALSE)),"WWWWW",",")))</f>
        <v>Chromius.TAMU,Glonk.MB,Kermitt.MB,Koyeetchi</v>
      </c>
      <c r="B10" s="153" t="s">
        <v>77</v>
      </c>
      <c r="C10" s="153" t="s">
        <v>162</v>
      </c>
      <c r="D10" s="153" t="s">
        <v>118</v>
      </c>
      <c r="E10" s="153" t="s">
        <v>144</v>
      </c>
      <c r="F10" s="153"/>
      <c r="G10" s="154" t="str">
        <f>IFERROR(VLOOKUP(Y9S1[[#This Row],[Player 1]],YEar9Table[],2,FALSE),0)</f>
        <v>TIER 1</v>
      </c>
      <c r="H10" s="162" t="str">
        <f>IFERROR(VLOOKUP(Y9S1[[#This Row],[Player 2]],YEar9Table[],2,FALSE),"")</f>
        <v>TIER 2</v>
      </c>
      <c r="I10" s="153" t="str">
        <f>IFERROR(VLOOKUP(Y9S1[[#This Row],[Player 3]],YEar9Table[],2,FALSE),"")</f>
        <v>TIER 4</v>
      </c>
      <c r="J10" s="153" t="str">
        <f>IFERROR(VLOOKUP(Y9S1[[#This Row],[Player 4]],YEar9Table[],2,FALSE),"")</f>
        <v>TIER 8</v>
      </c>
      <c r="K10" s="159" t="str">
        <f>IFERROR(VLOOKUP(Y9S1[[#This Row],[Player 5]],YEar9Table[],2,FALSE),"")</f>
        <v/>
      </c>
      <c r="L10" s="40">
        <v>3</v>
      </c>
      <c r="M10" s="40">
        <v>0</v>
      </c>
      <c r="N10" s="40">
        <f>$L10+$M10</f>
        <v>3</v>
      </c>
      <c r="O10" s="50">
        <f>IFERROR(L10/(M10+L10),0)</f>
        <v>1</v>
      </c>
      <c r="P10" s="104">
        <f>(((Y9S1[[#This Row],[Wins]]*1.3)-Y9S1[[#This Row],[Losses]])/SUM(Y9S1[Games Played]))*10</f>
        <v>0.14942528735632185</v>
      </c>
      <c r="Q10" s="182"/>
      <c r="R10"/>
      <c r="T10"/>
      <c r="U10" s="1" t="str">
        <f>YEar9Table[[#This Row],[Player]]</f>
        <v>Ronc.-</v>
      </c>
      <c r="V10" s="1" t="str">
        <f>IF(AT10&gt;7.5, "TIER 1",
IF(AT10&gt;6.5, "TIER 2",
IF(AT10&gt;5.5, "TIER 3",
IF(AT10&gt;4.5, "TIER 4",
IF(AT10&gt;3.5, "TIER 5",
IF(AT10&gt;2,  "TIER 6",
IF(AT10&gt;0,  "TIER 7",
"TIER 8")))))))</f>
        <v>TIER 7</v>
      </c>
      <c r="W10" s="111" t="s">
        <v>186</v>
      </c>
      <c r="X10" s="111" t="s">
        <v>186</v>
      </c>
      <c r="Y10" s="8">
        <f>VLOOKUP(YEar9Table[[#This Row],[Player]],ImportTable15[],2,FALSE)</f>
        <v>0.43478299999999998</v>
      </c>
      <c r="Z10" s="8">
        <f>VLOOKUP(YEar9Table[[#This Row],[Player]],ImportTable15[],3,FALSE)</f>
        <v>0.88</v>
      </c>
      <c r="AA10" s="8">
        <f>VLOOKUP(YEar9Table[[#This Row],[Player]],ImportTable15[],4,FALSE)</f>
        <v>32</v>
      </c>
      <c r="AB10" s="8">
        <f>VLOOKUP(YEar9Table[[#This Row],[Player]],ImportTable15[],5,FALSE)</f>
        <v>38</v>
      </c>
      <c r="AC10" s="8">
        <f>VLOOKUP(YEar9Table[[#This Row],[Player]],ImportTable15[],6,FALSE)</f>
        <v>38</v>
      </c>
      <c r="AD10" s="8">
        <f>VLOOKUP(YEar9Table[[#This Row],[Player]],ImportTable15[],7,FALSE)</f>
        <v>32</v>
      </c>
      <c r="AE10" s="77">
        <f>VLOOKUP(YEar9Table[[#This Row],[Player]],ImportTable15[],8,FALSE)</f>
        <v>60.592500000000001</v>
      </c>
      <c r="AF10" s="77">
        <f>VLOOKUP(YEar9Table[[#This Row],[Player]],ImportTable15[],9,FALSE)</f>
        <v>64.92</v>
      </c>
      <c r="AG10" s="8">
        <f>VLOOKUP(YEar9Table[[#This Row],[Player]],ImportTable15[],10,FALSE)</f>
        <v>14</v>
      </c>
      <c r="AH10" s="8">
        <f>VLOOKUP(YEar9Table[[#This Row],[Player]],ImportTable15[],11,FALSE)</f>
        <v>13</v>
      </c>
      <c r="AI10" s="8" t="str">
        <f>IF(YEar9Table[[#This Row],[Ranked Wins]]=YEar9Table[[#This Row],[Wins in Stacks]],"Y","N")</f>
        <v>N</v>
      </c>
      <c r="AJ10" s="8" t="str">
        <f>IF(YEar9Table[[#This Row],[Ranked Losses]]=YEar9Table[[#This Row],[Losses in Stacks]],"Y","N")</f>
        <v>N</v>
      </c>
      <c r="AK10" s="3">
        <f>IFERROR(YEar9Table[[#This Row],[Ranked Wins]]/(YEar9Table[[#This Row],[Ranked Wins]]+YEar9Table[[#This Row],[Ranked Losses]]),0)</f>
        <v>0.51851851851851849</v>
      </c>
      <c r="AL10" s="3">
        <f>IFERROR(YEar9Table[[#This Row],[Attack Wins]]/(YEar9Table[[#This Row],[Attack Wins]]+YEar9Table[[#This Row],[Attack Losses]]),0)</f>
        <v>0.45714285714285713</v>
      </c>
      <c r="AM10" s="3">
        <f>IFERROR(YEar9Table[[#This Row],[Defense Wins]]/(YEar9Table[[#This Row],[Defense Wins]]+YEar9Table[[#This Row],[Defense Losses]]),0)</f>
        <v>0.54285714285714282</v>
      </c>
      <c r="AN10" s="1" cm="1">
        <f t="array" ref="AN10">IFERROR(SUMPRODUCT(($B$2:$B$131=YEar9Table[[#This Row],[Player]])*$L$2:$L$131),0)+IFERROR(SUMPRODUCT(($C$2:$C$131=YEar9Table[[#This Row],[Player]])*$L$2:$L$131),0)+IFERROR(SUMPRODUCT(($E$2:$E$131=YEar9Table[[#This Row],[Player]])*$L$2:$L$131),0)+IFERROR(SUMPRODUCT(($D$2:$D$131=YEar9Table[[#This Row],[Player]])*$L$2:$L$131),0)+IFERROR(SUMPRODUCT(($F$2:$F$131=YEar9Table[[#This Row],[Player]])*$L$2:$L$131),0)</f>
        <v>2</v>
      </c>
      <c r="AO10" s="1" cm="1">
        <f t="array" ref="AO10">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10" s="1">
        <f>YEar9Table[[#This Row],[Wins in Stacks]]+YEar9Table[[#This Row],[Losses in Stacks]]</f>
        <v>2</v>
      </c>
      <c r="AQ10" s="3">
        <f>IFERROR(YEar9Table[[#This Row],[Wins in Stacks]]/YEar9Table[[#This Row],[Total Games In Stacks]],0)</f>
        <v>1</v>
      </c>
      <c r="AR10" s="75">
        <v>0.01</v>
      </c>
      <c r="AS10" s="21">
        <v>7</v>
      </c>
      <c r="AT10" s="20" cm="1">
        <f t="array" ref="AT10">(YEar9Table[[#This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1.8938483387405949</v>
      </c>
      <c r="AU10" s="19" t="s">
        <v>105</v>
      </c>
      <c r="AV10" s="212" t="s">
        <v>106</v>
      </c>
      <c r="AW10" s="212"/>
      <c r="AX10" s="212"/>
      <c r="AY10" s="212"/>
      <c r="AZ10" s="212"/>
      <c r="BA10" s="212"/>
      <c r="BB10" s="212"/>
      <c r="BC10" s="212"/>
      <c r="BD10" s="213" t="s">
        <v>238</v>
      </c>
      <c r="BE10" s="213"/>
      <c r="BF10" s="213"/>
      <c r="BG10" s="213"/>
      <c r="BH10" s="213"/>
      <c r="BI10" s="213"/>
      <c r="BJ10" s="213"/>
    </row>
    <row r="11" spans="1:62">
      <c r="A11" s="156" t="str">
        <f>_xlfn.TEXTJOIN(",",TRUE,_xlfn._xlws.SORT(_xlfn.TEXTSPLIT(_xlfn.TEXTJOIN(",",TRUE,_xlfn._xlws.SORT($B11:$F11, 1, -1, FALSE)),"WWWWW",",")))</f>
        <v>Chromius.TAMU,Glonk.MB,Kermitt.MB</v>
      </c>
      <c r="B11" s="153" t="s">
        <v>77</v>
      </c>
      <c r="C11" s="153" t="s">
        <v>162</v>
      </c>
      <c r="D11" s="153" t="s">
        <v>118</v>
      </c>
      <c r="E11" s="153"/>
      <c r="F11" s="159"/>
      <c r="G11" s="153" t="str">
        <f>IFERROR(VLOOKUP(Y9S1[[#This Row],[Player 1]],YEar9Table[],2,FALSE),0)</f>
        <v>TIER 1</v>
      </c>
      <c r="H11" s="153" t="str">
        <f>IFERROR(VLOOKUP(Y9S1[[#This Row],[Player 2]],YEar9Table[],2,FALSE),"")</f>
        <v>TIER 2</v>
      </c>
      <c r="I11" s="153" t="str">
        <f>IFERROR(VLOOKUP(Y9S1[[#This Row],[Player 3]],YEar9Table[],2,FALSE),"")</f>
        <v>TIER 4</v>
      </c>
      <c r="J11" s="153" t="str">
        <f>IFERROR(VLOOKUP(Y9S1[[#This Row],[Player 4]],YEar9Table[],2,FALSE),"")</f>
        <v/>
      </c>
      <c r="K11" s="159" t="str">
        <f>IFERROR(VLOOKUP(Y9S1[[#This Row],[Player 5]],YEar9Table[],2,FALSE),"")</f>
        <v/>
      </c>
      <c r="L11" s="40">
        <v>1</v>
      </c>
      <c r="M11" s="40">
        <v>0</v>
      </c>
      <c r="N11" s="40">
        <f>$L11+$M11</f>
        <v>1</v>
      </c>
      <c r="O11" s="51">
        <f>IFERROR(L11/(M11+L11),0)</f>
        <v>1</v>
      </c>
      <c r="P11" s="104">
        <f>(((Y9S1[[#This Row],[Wins]]*1.3)-Y9S1[[#This Row],[Losses]])/SUM(Y9S1[Games Played]))*10</f>
        <v>4.980842911877395E-2</v>
      </c>
      <c r="Q11" s="182"/>
      <c r="R11"/>
      <c r="T11"/>
      <c r="U11" s="1" t="str">
        <f>YEar9Table[[#This Row],[Player]]</f>
        <v>NotLappland</v>
      </c>
      <c r="V11" s="1" t="str">
        <f>IF(AT11&gt;7.5, "TIER 1",
IF(AT11&gt;6.5, "TIER 2",
IF(AT11&gt;5.5, "TIER 3",
IF(AT11&gt;4.5, "TIER 4",
IF(AT11&gt;3.5, "TIER 5",
IF(AT11&gt;2,  "TIER 6",
IF(AT11&gt;0,  "TIER 7",
"TIER 8")))))))</f>
        <v>TIER 8</v>
      </c>
      <c r="W11" s="1" t="s">
        <v>141</v>
      </c>
      <c r="X11" s="8" t="s">
        <v>142</v>
      </c>
      <c r="Y11" s="8">
        <f>VLOOKUP(YEar9Table[[#This Row],[Player]],ImportTable15[],2,FALSE)</f>
        <v>1.338462</v>
      </c>
      <c r="Z11" s="8">
        <f>VLOOKUP(YEar9Table[[#This Row],[Player]],ImportTable15[],3,FALSE)</f>
        <v>1.721311</v>
      </c>
      <c r="AA11" s="8">
        <f>VLOOKUP(YEar9Table[[#This Row],[Player]],ImportTable15[],4,FALSE)</f>
        <v>41</v>
      </c>
      <c r="AB11" s="8">
        <f>VLOOKUP(YEar9Table[[#This Row],[Player]],ImportTable15[],5,FALSE)</f>
        <v>51</v>
      </c>
      <c r="AC11" s="8">
        <f>VLOOKUP(YEar9Table[[#This Row],[Player]],ImportTable15[],6,FALSE)</f>
        <v>55</v>
      </c>
      <c r="AD11" s="8">
        <f>VLOOKUP(YEar9Table[[#This Row],[Player]],ImportTable15[],7,FALSE)</f>
        <v>37</v>
      </c>
      <c r="AE11" s="77">
        <f>VLOOKUP(YEar9Table[[#This Row],[Player]],ImportTable15[],8,FALSE)</f>
        <v>62.818800000000003</v>
      </c>
      <c r="AF11" s="77">
        <f>VLOOKUP(YEar9Table[[#This Row],[Player]],ImportTable15[],9,FALSE)</f>
        <v>70.013329999999996</v>
      </c>
      <c r="AG11" s="8">
        <f>VLOOKUP(YEar9Table[[#This Row],[Player]],ImportTable15[],10,FALSE)</f>
        <v>16</v>
      </c>
      <c r="AH11" s="8">
        <f>VLOOKUP(YEar9Table[[#This Row],[Player]],ImportTable15[],11,FALSE)</f>
        <v>12</v>
      </c>
      <c r="AI11" s="8" t="str">
        <f>IF(YEar9Table[[#This Row],[Ranked Wins]]=YEar9Table[[#This Row],[Wins in Stacks]],"Y","N")</f>
        <v>N</v>
      </c>
      <c r="AJ11" s="8" t="str">
        <f>IF(YEar9Table[[#This Row],[Ranked Losses]]=YEar9Table[[#This Row],[Losses in Stacks]],"Y","N")</f>
        <v>N</v>
      </c>
      <c r="AK11" s="3">
        <f>IFERROR(YEar9Table[[#This Row],[Ranked Wins]]/(YEar9Table[[#This Row],[Ranked Wins]]+YEar9Table[[#This Row],[Ranked Losses]]),0)</f>
        <v>0.5714285714285714</v>
      </c>
      <c r="AL11" s="3">
        <f>IFERROR(YEar9Table[[#This Row],[Attack Wins]]/(YEar9Table[[#This Row],[Attack Wins]]+YEar9Table[[#This Row],[Attack Losses]]),0)</f>
        <v>0.44565217391304346</v>
      </c>
      <c r="AM11" s="3">
        <f>IFERROR(YEar9Table[[#This Row],[Defense Wins]]/(YEar9Table[[#This Row],[Defense Wins]]+YEar9Table[[#This Row],[Defense Losses]]),0)</f>
        <v>0.59782608695652173</v>
      </c>
      <c r="AN11" s="1" cm="1">
        <f t="array" ref="AN11">IFERROR(SUMPRODUCT(($B$2:$B$131=YEar9Table[[#This Row],[Player]])*$L$2:$L$131),0)+IFERROR(SUMPRODUCT(($C$2:$C$131=YEar9Table[[#This Row],[Player]])*$L$2:$L$131),0)+IFERROR(SUMPRODUCT(($E$2:$E$131=YEar9Table[[#This Row],[Player]])*$L$2:$L$131),0)+IFERROR(SUMPRODUCT(($D$2:$D$131=YEar9Table[[#This Row],[Player]])*$L$2:$L$131),0)+IFERROR(SUMPRODUCT(($F$2:$F$131=YEar9Table[[#This Row],[Player]])*$L$2:$L$131),0)</f>
        <v>7</v>
      </c>
      <c r="AO11" s="1" cm="1">
        <f t="array" ref="AO11">IFERROR(SUMPRODUCT(($B$2:$B$131=YEar9Table[[#This Row],[Player]])*$M$2:$M$131),0)+IFERROR(SUMPRODUCT(($C$2:$C$131=YEar9Table[[#This Row],[Player]])*$M$2:$M$131),0)+IFERROR(SUMPRODUCT(($D$2:$D$131=YEar9Table[[#This Row],[Player]])*$M$2:$M$131),0)+IFERROR(SUMPRODUCT(($E$2:$E$131=YEar9Table[[#This Row],[Player]])*$M$2:$M$131),0)+IFERROR(SUMPRODUCT(($F$2:$F$131=YEar9Table[[#This Row],[Player]])*$M$2:$M$131),0)</f>
        <v>7</v>
      </c>
      <c r="AP11" s="1">
        <f>YEar9Table[[#This Row],[Wins in Stacks]]+YEar9Table[[#This Row],[Losses in Stacks]]</f>
        <v>14</v>
      </c>
      <c r="AQ11" s="3">
        <f>IFERROR(YEar9Table[[#This Row],[Wins in Stacks]]/YEar9Table[[#This Row],[Total Games In Stacks]],0)</f>
        <v>0.5</v>
      </c>
      <c r="AR11" s="75">
        <v>0.2</v>
      </c>
      <c r="AS11" s="21">
        <v>5</v>
      </c>
      <c r="AT11" s="20" cm="1">
        <f t="array" ref="AT11">(YEar9Table[[#This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-0.7653155234632254</v>
      </c>
    </row>
    <row r="12" spans="1:62">
      <c r="A12" s="156" t="str">
        <f>_xlfn.TEXTJOIN(",",TRUE,_xlfn._xlws.SORT(_xlfn.TEXTSPLIT(_xlfn.TEXTJOIN(",",TRUE,_xlfn._xlws.SORT($B12:$F12, 1, -1, FALSE)),"WWWWW",",")))</f>
        <v>catsanddog123,Chromius.TAMU,Glonk.MB,Ronc.-,Viests.</v>
      </c>
      <c r="B12" s="153" t="s">
        <v>77</v>
      </c>
      <c r="C12" s="153" t="s">
        <v>162</v>
      </c>
      <c r="D12" s="153" t="s">
        <v>185</v>
      </c>
      <c r="E12" s="153" t="s">
        <v>157</v>
      </c>
      <c r="F12" s="153" t="s">
        <v>186</v>
      </c>
      <c r="G12" s="153" t="str">
        <f>IFERROR(VLOOKUP(Y9S1[[#This Row],[Player 1]],YEar9Table[],2,FALSE),0)</f>
        <v>TIER 1</v>
      </c>
      <c r="H12" s="162" t="str">
        <f>IFERROR(VLOOKUP(Y9S1[[#This Row],[Player 2]],YEar9Table[],2,FALSE),"")</f>
        <v>TIER 2</v>
      </c>
      <c r="I12" s="153" t="str">
        <f>IFERROR(VLOOKUP(Y9S1[[#This Row],[Player 3]],YEar9Table[],2,FALSE),"")</f>
        <v>TIER 7</v>
      </c>
      <c r="J12" s="153" t="str">
        <f>IFERROR(VLOOKUP(Y9S1[[#This Row],[Player 4]],YEar9Table[],2,FALSE),"")</f>
        <v>TIER 8</v>
      </c>
      <c r="K12" s="159" t="str">
        <f>IFERROR(VLOOKUP(Y9S1[[#This Row],[Player 5]],YEar9Table[],2,FALSE),"")</f>
        <v>TIER 7</v>
      </c>
      <c r="L12" s="40">
        <v>1</v>
      </c>
      <c r="M12" s="40">
        <v>0</v>
      </c>
      <c r="N12" s="40">
        <f>$L12+$M12</f>
        <v>1</v>
      </c>
      <c r="O12" s="50">
        <f>IFERROR(L12/(M12+L12),0)</f>
        <v>1</v>
      </c>
      <c r="P12" s="104">
        <f>(((Y9S1[[#This Row],[Wins]]*1.3)-Y9S1[[#This Row],[Losses]])/SUM(Y9S1[Games Played]))*10</f>
        <v>4.980842911877395E-2</v>
      </c>
      <c r="Q12" s="182"/>
      <c r="R12"/>
      <c r="T12"/>
      <c r="U12" s="1" t="str">
        <f>YEar9Table[[#This Row],[Player]]</f>
        <v>Fallen.Rqnger</v>
      </c>
      <c r="V12" s="1" t="str">
        <f>IF(AT12&gt;7.5, "TIER 1",
IF(AT12&gt;6.5, "TIER 2",
IF(AT12&gt;5.5, "TIER 3",
IF(AT12&gt;4.5, "TIER 4",
IF(AT12&gt;3.5, "TIER 5",
IF(AT12&gt;2,  "TIER 6",
IF(AT12&gt;0,  "TIER 7",
"TIER 8")))))))</f>
        <v>TIER 7</v>
      </c>
      <c r="W12" s="1" t="s">
        <v>85</v>
      </c>
      <c r="X12" s="8" t="s">
        <v>86</v>
      </c>
      <c r="Y12" s="8">
        <f>VLOOKUP(YEar9Table[[#This Row],[Player]],ImportTable15[],2,FALSE)</f>
        <v>1.105634</v>
      </c>
      <c r="Z12" s="8">
        <f>VLOOKUP(YEar9Table[[#This Row],[Player]],ImportTable15[],3,FALSE)</f>
        <v>1.2096769999999999</v>
      </c>
      <c r="AA12" s="8">
        <f>VLOOKUP(YEar9Table[[#This Row],[Player]],ImportTable15[],4,FALSE)</f>
        <v>89</v>
      </c>
      <c r="AB12" s="8">
        <f>VLOOKUP(YEar9Table[[#This Row],[Player]],ImportTable15[],5,FALSE)</f>
        <v>117</v>
      </c>
      <c r="AC12" s="8">
        <f>VLOOKUP(YEar9Table[[#This Row],[Player]],ImportTable15[],6,FALSE)</f>
        <v>117</v>
      </c>
      <c r="AD12" s="8">
        <f>VLOOKUP(YEar9Table[[#This Row],[Player]],ImportTable15[],7,FALSE)</f>
        <v>85</v>
      </c>
      <c r="AE12" s="77">
        <f>VLOOKUP(YEar9Table[[#This Row],[Player]],ImportTable15[],8,FALSE)</f>
        <v>57.552500000000002</v>
      </c>
      <c r="AF12" s="77">
        <f>VLOOKUP(YEar9Table[[#This Row],[Player]],ImportTable15[],9,FALSE)</f>
        <v>59.543999999999997</v>
      </c>
      <c r="AG12" s="8">
        <f>VLOOKUP(YEar9Table[[#This Row],[Player]],ImportTable15[],10,FALSE)</f>
        <v>32</v>
      </c>
      <c r="AH12" s="8">
        <f>VLOOKUP(YEar9Table[[#This Row],[Player]],ImportTable15[],11,FALSE)</f>
        <v>37</v>
      </c>
      <c r="AI12" s="8" t="str">
        <f>IF(YEar9Table[[#This Row],[Ranked Wins]]=YEar9Table[[#This Row],[Wins in Stacks]],"Y","N")</f>
        <v>N</v>
      </c>
      <c r="AJ12" s="8" t="str">
        <f>IF(YEar9Table[[#This Row],[Ranked Losses]]=YEar9Table[[#This Row],[Losses in Stacks]],"Y","N")</f>
        <v>N</v>
      </c>
      <c r="AK12" s="3">
        <f>IFERROR(YEar9Table[[#This Row],[Ranked Wins]]/(YEar9Table[[#This Row],[Ranked Wins]]+YEar9Table[[#This Row],[Ranked Losses]]),0)</f>
        <v>0.46376811594202899</v>
      </c>
      <c r="AL12" s="3">
        <f>IFERROR(YEar9Table[[#This Row],[Attack Wins]]/(YEar9Table[[#This Row],[Attack Wins]]+YEar9Table[[#This Row],[Attack Losses]]),0)</f>
        <v>0.43203883495145629</v>
      </c>
      <c r="AM12" s="3">
        <f>IFERROR(YEar9Table[[#This Row],[Defense Wins]]/(YEar9Table[[#This Row],[Defense Wins]]+YEar9Table[[#This Row],[Defense Losses]]),0)</f>
        <v>0.57920792079207917</v>
      </c>
      <c r="AN12" s="1" cm="1">
        <f t="array" ref="AN12">IFERROR(SUMPRODUCT(($B$2:$B$131=YEar9Table[[#This Row],[Player]])*$L$2:$L$131),0)+IFERROR(SUMPRODUCT(($C$2:$C$131=YEar9Table[[#This Row],[Player]])*$L$2:$L$131),0)+IFERROR(SUMPRODUCT(($E$2:$E$131=YEar9Table[[#This Row],[Player]])*$L$2:$L$131),0)+IFERROR(SUMPRODUCT(($D$2:$D$131=YEar9Table[[#This Row],[Player]])*$L$2:$L$131),0)+IFERROR(SUMPRODUCT(($F$2:$F$131=YEar9Table[[#This Row],[Player]])*$L$2:$L$131),0)</f>
        <v>17</v>
      </c>
      <c r="AO12" s="1" cm="1">
        <f t="array" ref="AO12">IFERROR(SUMPRODUCT(($B$2:$B$131=YEar9Table[[#This Row],[Player]])*$M$2:$M$131),0)+IFERROR(SUMPRODUCT(($C$2:$C$131=YEar9Table[[#This Row],[Player]])*$M$2:$M$131),0)+IFERROR(SUMPRODUCT(($D$2:$D$131=YEar9Table[[#This Row],[Player]])*$M$2:$M$131),0)+IFERROR(SUMPRODUCT(($E$2:$E$131=YEar9Table[[#This Row],[Player]])*$M$2:$M$131),0)+IFERROR(SUMPRODUCT(($F$2:$F$131=YEar9Table[[#This Row],[Player]])*$M$2:$M$131),0)</f>
        <v>16</v>
      </c>
      <c r="AP12" s="1">
        <f>YEar9Table[[#This Row],[Wins in Stacks]]+YEar9Table[[#This Row],[Losses in Stacks]]</f>
        <v>33</v>
      </c>
      <c r="AQ12" s="3">
        <f>IFERROR(YEar9Table[[#This Row],[Wins in Stacks]]/YEar9Table[[#This Row],[Total Games In Stacks]],0)</f>
        <v>0.51515151515151514</v>
      </c>
      <c r="AR12" s="75">
        <v>0.5</v>
      </c>
      <c r="AS12" s="21">
        <v>3</v>
      </c>
      <c r="AT12" s="20" cm="1">
        <f t="array" ref="AT12">(YEar9Table[[#This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0.82077017344135617</v>
      </c>
    </row>
    <row r="13" spans="1:62">
      <c r="A13" s="156" t="str">
        <f>_xlfn.TEXTJOIN(",",TRUE,_xlfn._xlws.SORT(_xlfn.TEXTSPLIT(_xlfn.TEXTJOIN(",",TRUE,_xlfn._xlws.SORT($B13:$F13, 1, -1, FALSE)),"WWWWW",",")))</f>
        <v>Galahad21588,Glonk.MB,TheFifthSuit</v>
      </c>
      <c r="B13" s="153" t="s">
        <v>162</v>
      </c>
      <c r="C13" s="153" t="s">
        <v>96</v>
      </c>
      <c r="D13" s="165" t="s">
        <v>190</v>
      </c>
      <c r="E13" s="165"/>
      <c r="F13" s="159"/>
      <c r="G13" s="153" t="str">
        <f>IFERROR(VLOOKUP(Y9S1[[#This Row],[Player 1]],YEar9Table[],2,FALSE),0)</f>
        <v>TIER 2</v>
      </c>
      <c r="H13" s="153" t="str">
        <f>IFERROR(VLOOKUP(Y9S1[[#This Row],[Player 2]],YEar9Table[],2,FALSE),"")</f>
        <v>TIER 3</v>
      </c>
      <c r="I13" s="153" t="str">
        <f>IFERROR(VLOOKUP(Y9S1[[#This Row],[Player 3]],YEar9Table[],2,FALSE),"")</f>
        <v>TIER 8</v>
      </c>
      <c r="J13" s="153" t="str">
        <f>IFERROR(VLOOKUP(Y9S1[[#This Row],[Player 4]],YEar9Table[],2,FALSE),"")</f>
        <v/>
      </c>
      <c r="K13" s="159" t="str">
        <f>IFERROR(VLOOKUP(Y9S1[[#This Row],[Player 5]],YEar9Table[],2,FALSE),"")</f>
        <v/>
      </c>
      <c r="L13" s="40">
        <v>1</v>
      </c>
      <c r="M13" s="40">
        <v>0</v>
      </c>
      <c r="N13" s="40">
        <f>$L13+$M13</f>
        <v>1</v>
      </c>
      <c r="O13" s="51">
        <f>IFERROR(L13/(M13+L13),0)</f>
        <v>1</v>
      </c>
      <c r="P13" s="104">
        <f>(((Y9S1[[#This Row],[Wins]]*1.3)-Y9S1[[#This Row],[Losses]])/SUM(Y9S1[Games Played]))*10</f>
        <v>4.980842911877395E-2</v>
      </c>
      <c r="Q13" s="182" t="s">
        <v>239</v>
      </c>
      <c r="R13"/>
      <c r="T13"/>
      <c r="U13" s="1" t="str">
        <f>YEar9Table[[#This Row],[Player]]</f>
        <v>Viests.</v>
      </c>
      <c r="V13" s="1" t="str">
        <f>IF(AT13&gt;7.5, "TIER 1",
IF(AT13&gt;6.5, "TIER 2",
IF(AT13&gt;5.5, "TIER 3",
IF(AT13&gt;4.5, "TIER 4",
IF(AT13&gt;3.5, "TIER 5",
IF(AT13&gt;2,  "TIER 6",
IF(AT13&gt;0,  "TIER 7",
"TIER 8")))))))</f>
        <v>TIER 7</v>
      </c>
      <c r="W13" s="1" t="s">
        <v>145</v>
      </c>
      <c r="X13" s="1" t="s">
        <v>185</v>
      </c>
      <c r="Y13" s="8">
        <f>(VLOOKUP("LostArkWhale",ImportTable15[],2,FALSE) + VLOOKUP("Veists.",ImportTable15[],2,FALSE))/2</f>
        <v>1.2425090000000001</v>
      </c>
      <c r="Z13" s="8">
        <f>(VLOOKUP("lostarkwhale",ImportTable15[],3,FALSE) + VLOOKUP("Veists.",ImportTable15[],3,FALSE))/2</f>
        <v>1.5567095</v>
      </c>
      <c r="AA13" s="8">
        <f>(VLOOKUP("lostarkwhale",ImportTable15[],4,FALSE) + VLOOKUP("veists.",ImportTable15[],4,FALSE))</f>
        <v>73</v>
      </c>
      <c r="AB13" s="8">
        <f>(VLOOKUP("lostarkwhale",ImportTable15[],5,FALSE) + VLOOKUP("veists.",ImportTable15[],5,FALSE))</f>
        <v>87</v>
      </c>
      <c r="AC13" s="8">
        <f>(VLOOKUP("lostarkwhale",ImportTable15[],6,FALSE) + VLOOKUP("veists.",ImportTable15[],6,FALSE))</f>
        <v>102</v>
      </c>
      <c r="AD13" s="8">
        <f>(VLOOKUP("lostarkwhale",ImportTable15[],7,FALSE) + VLOOKUP("veists.",ImportTable15[],7,FALSE))</f>
        <v>61</v>
      </c>
      <c r="AE13" s="77">
        <f>(VLOOKUP("veists.",ImportTable15[],8,FALSE) + VLOOKUP("lostarkwhale",ImportTable15[],8,FALSE))/2</f>
        <v>62.859049999999996</v>
      </c>
      <c r="AF13" s="77">
        <f>(VLOOKUP("lostarkwhale",ImportTable15[],9,FALSE) + VLOOKUP("veists.",ImportTable15[],9,FALSE))/2</f>
        <v>66.191079999999999</v>
      </c>
      <c r="AG13" s="8">
        <f>(VLOOKUP("lostarkwhale",ImportTable15[],11,FALSE) + VLOOKUP("Veists.",ImportTable15[],11,FALSE))</f>
        <v>26</v>
      </c>
      <c r="AH13" s="8">
        <f>(VLOOKUP("lostarkwhale",ImportTable15[],10,FALSE) + VLOOKUP("veists.",ImportTable15[],10,FALSE))</f>
        <v>33</v>
      </c>
      <c r="AI13" s="8" t="str">
        <f>IF(YEar9Table[[#This Row],[Ranked Wins]]=YEar9Table[[#This Row],[Wins in Stacks]],"Y","N")</f>
        <v>N</v>
      </c>
      <c r="AJ13" s="8" t="str">
        <f>IF(YEar9Table[[#This Row],[Ranked Losses]]=YEar9Table[[#This Row],[Losses in Stacks]],"Y","N")</f>
        <v>N</v>
      </c>
      <c r="AK13" s="3">
        <f>IFERROR(YEar9Table[[#This Row],[Ranked Wins]]/(YEar9Table[[#This Row],[Ranked Wins]]+YEar9Table[[#This Row],[Ranked Losses]]),0)</f>
        <v>0.44067796610169491</v>
      </c>
      <c r="AL13" s="3">
        <f>IFERROR(YEar9Table[[#This Row],[Attack Wins]]/(YEar9Table[[#This Row],[Attack Wins]]+YEar9Table[[#This Row],[Attack Losses]]),0)</f>
        <v>0.45624999999999999</v>
      </c>
      <c r="AM13" s="3">
        <f>IFERROR(YEar9Table[[#This Row],[Defense Wins]]/(YEar9Table[[#This Row],[Defense Wins]]+YEar9Table[[#This Row],[Defense Losses]]),0)</f>
        <v>0.62576687116564422</v>
      </c>
      <c r="AN13" s="1" cm="1">
        <f t="array" ref="AN13">IFERROR(SUMPRODUCT(($B$2:$B$131=YEar9Table[[#This Row],[Player]])*$L$2:$L$131),0)+IFERROR(SUMPRODUCT(($C$2:$C$131=YEar9Table[[#This Row],[Player]])*$L$2:$L$131),0)+IFERROR(SUMPRODUCT(($E$2:$E$131=YEar9Table[[#This Row],[Player]])*$L$2:$L$131),0)+IFERROR(SUMPRODUCT(($D$2:$D$131=YEar9Table[[#This Row],[Player]])*$L$2:$L$131),0)+IFERROR(SUMPRODUCT(($F$2:$F$131=YEar9Table[[#This Row],[Player]])*$L$2:$L$131),0)</f>
        <v>19</v>
      </c>
      <c r="AO13" s="1" cm="1">
        <f t="array" ref="AO13">IFERROR(SUMPRODUCT(($B$2:$B$131=YEar9Table[[#This Row],[Player]])*$M$2:$M$131),0)+IFERROR(SUMPRODUCT(($C$2:$C$131=YEar9Table[[#This Row],[Player]])*$M$2:$M$131),0)+IFERROR(SUMPRODUCT(($D$2:$D$131=YEar9Table[[#This Row],[Player]])*$M$2:$M$131),0)+IFERROR(SUMPRODUCT(($E$2:$E$131=YEar9Table[[#This Row],[Player]])*$M$2:$M$131),0)+IFERROR(SUMPRODUCT(($F$2:$F$131=YEar9Table[[#This Row],[Player]])*$M$2:$M$131),0)</f>
        <v>9</v>
      </c>
      <c r="AP13" s="1">
        <f>YEar9Table[[#This Row],[Wins in Stacks]]+YEar9Table[[#This Row],[Losses in Stacks]]</f>
        <v>28</v>
      </c>
      <c r="AQ13" s="3">
        <f>IFERROR(YEar9Table[[#This Row],[Wins in Stacks]]/YEar9Table[[#This Row],[Total Games In Stacks]],0)</f>
        <v>0.6785714285714286</v>
      </c>
      <c r="AR13" s="75">
        <v>0.2</v>
      </c>
      <c r="AS13" s="74">
        <v>5</v>
      </c>
      <c r="AT13" s="20" cm="1">
        <f t="array" ref="AT13">(YEar9Table[[#This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1.2452385976573721</v>
      </c>
      <c r="AU13" s="1"/>
      <c r="AV13" s="1"/>
      <c r="AW13" s="1"/>
      <c r="AX13" s="1"/>
      <c r="AY13" s="1"/>
      <c r="AZ13" s="1"/>
      <c r="BA13" s="1"/>
      <c r="BB13" s="1"/>
    </row>
    <row r="14" spans="1:62">
      <c r="A14" s="156" t="str">
        <f>_xlfn.TEXTJOIN(",",TRUE,_xlfn._xlws.SORT(_xlfn.TEXTSPLIT(_xlfn.TEXTJOIN(",",TRUE,_xlfn._xlws.SORT($B14:$F14, 1, -1, FALSE)),"WWWWW",",")))</f>
        <v>Glonk.MB,Kermitt.MB</v>
      </c>
      <c r="B14" s="153" t="s">
        <v>162</v>
      </c>
      <c r="C14" s="153" t="s">
        <v>118</v>
      </c>
      <c r="D14" s="165"/>
      <c r="E14" s="165"/>
      <c r="F14" s="159"/>
      <c r="G14" s="154" t="str">
        <f>IFERROR(VLOOKUP(Y9S1[[#This Row],[Player 1]],YEar9Table[],2,FALSE),0)</f>
        <v>TIER 2</v>
      </c>
      <c r="H14" s="153" t="str">
        <f>IFERROR(VLOOKUP(Y9S1[[#This Row],[Player 2]],YEar9Table[],2,FALSE),"")</f>
        <v>TIER 4</v>
      </c>
      <c r="I14" s="153" t="str">
        <f>IFERROR(VLOOKUP(Y9S1[[#This Row],[Player 3]],YEar9Table[],2,FALSE),"")</f>
        <v/>
      </c>
      <c r="J14" s="153" t="str">
        <f>IFERROR(VLOOKUP(Y9S1[[#This Row],[Player 4]],YEar9Table[],2,FALSE),"")</f>
        <v/>
      </c>
      <c r="K14" s="159" t="str">
        <f>IFERROR(VLOOKUP(Y9S1[[#This Row],[Player 5]],YEar9Table[],2,FALSE),"")</f>
        <v/>
      </c>
      <c r="L14" s="40">
        <v>3</v>
      </c>
      <c r="M14" s="40">
        <v>0</v>
      </c>
      <c r="N14" s="40">
        <f>$L14+$M14</f>
        <v>3</v>
      </c>
      <c r="O14" s="51">
        <f>IFERROR(L14/(M14+L14),0)</f>
        <v>1</v>
      </c>
      <c r="P14" s="104">
        <f>(((Y9S1[[#This Row],[Wins]]*1.3)-Y9S1[[#This Row],[Losses]])/SUM(Y9S1[Games Played]))*10</f>
        <v>0.14942528735632185</v>
      </c>
      <c r="Q14" s="182"/>
      <c r="R14"/>
      <c r="T14"/>
      <c r="U14" s="1" t="str">
        <f>YEar9Table[[#This Row],[Player]]</f>
        <v>Dlehard.</v>
      </c>
      <c r="V14" s="1" t="str">
        <f>IF(AT14&gt;7.5, "TIER 1",
IF(AT14&gt;6.5, "TIER 2",
IF(AT14&gt;5.5, "TIER 3",
IF(AT14&gt;4.5, "TIER 4",
IF(AT14&gt;3.5, "TIER 5",
IF(AT14&gt;2,  "TIER 6",
IF(AT14&gt;0,  "TIER 7",
"TIER 8")))))))</f>
        <v>TIER 7</v>
      </c>
      <c r="W14" s="1" t="s">
        <v>120</v>
      </c>
      <c r="X14" s="8" t="s">
        <v>121</v>
      </c>
      <c r="Y14" s="8">
        <f>VLOOKUP(YEar9Table[[#This Row],[Player]],ImportTable15[],2,FALSE)</f>
        <v>1.011236</v>
      </c>
      <c r="Z14" s="8">
        <f>VLOOKUP(YEar9Table[[#This Row],[Player]],ImportTable15[],3,FALSE)</f>
        <v>1.1052630000000001</v>
      </c>
      <c r="AA14" s="8">
        <f>VLOOKUP(YEar9Table[[#This Row],[Player]],ImportTable15[],4,FALSE)</f>
        <v>177</v>
      </c>
      <c r="AB14" s="8">
        <f>VLOOKUP(YEar9Table[[#This Row],[Player]],ImportTable15[],5,FALSE)</f>
        <v>229</v>
      </c>
      <c r="AC14" s="8">
        <f>VLOOKUP(YEar9Table[[#This Row],[Player]],ImportTable15[],6,FALSE)</f>
        <v>235</v>
      </c>
      <c r="AD14" s="8">
        <f>VLOOKUP(YEar9Table[[#This Row],[Player]],ImportTable15[],7,FALSE)</f>
        <v>153</v>
      </c>
      <c r="AE14" s="77">
        <f>VLOOKUP(YEar9Table[[#This Row],[Player]],ImportTable15[],8,FALSE)</f>
        <v>57.849330000000002</v>
      </c>
      <c r="AF14" s="77">
        <f>VLOOKUP(YEar9Table[[#This Row],[Player]],ImportTable15[],9,FALSE)</f>
        <v>63.81935</v>
      </c>
      <c r="AG14" s="8">
        <f>VLOOKUP(YEar9Table[[#This Row],[Player]],ImportTable15[],10,FALSE)</f>
        <v>67</v>
      </c>
      <c r="AH14" s="8">
        <f>VLOOKUP(YEar9Table[[#This Row],[Player]],ImportTable15[],11,FALSE)</f>
        <v>61</v>
      </c>
      <c r="AI14" s="8" t="str">
        <f>IF(YEar9Table[[#This Row],[Ranked Wins]]=YEar9Table[[#This Row],[Wins in Stacks]],"Y","N")</f>
        <v>N</v>
      </c>
      <c r="AJ14" s="8" t="str">
        <f>IF(YEar9Table[[#This Row],[Ranked Losses]]=YEar9Table[[#This Row],[Losses in Stacks]],"Y","N")</f>
        <v>N</v>
      </c>
      <c r="AK14" s="3">
        <f>IFERROR(YEar9Table[[#This Row],[Ranked Wins]]/(YEar9Table[[#This Row],[Ranked Wins]]+YEar9Table[[#This Row],[Ranked Losses]]),0)</f>
        <v>0.5234375</v>
      </c>
      <c r="AL14" s="3">
        <f>IFERROR(YEar9Table[[#This Row],[Attack Wins]]/(YEar9Table[[#This Row],[Attack Wins]]+YEar9Table[[#This Row],[Attack Losses]]),0)</f>
        <v>0.43596059113300495</v>
      </c>
      <c r="AM14" s="3">
        <f>IFERROR(YEar9Table[[#This Row],[Defense Wins]]/(YEar9Table[[#This Row],[Defense Wins]]+YEar9Table[[#This Row],[Defense Losses]]),0)</f>
        <v>0.60567010309278346</v>
      </c>
      <c r="AN14" s="1" cm="1">
        <f t="array" ref="AN14">IFERROR(SUMPRODUCT(($B$2:$B$131=YEar9Table[[#This Row],[Player]])*$L$2:$L$131),0)+IFERROR(SUMPRODUCT(($C$2:$C$131=YEar9Table[[#This Row],[Player]])*$L$2:$L$131),0)+IFERROR(SUMPRODUCT(($E$2:$E$131=YEar9Table[[#This Row],[Player]])*$L$2:$L$131),0)+IFERROR(SUMPRODUCT(($D$2:$D$131=YEar9Table[[#This Row],[Player]])*$L$2:$L$131),0)+IFERROR(SUMPRODUCT(($F$2:$F$131=YEar9Table[[#This Row],[Player]])*$L$2:$L$131),0)</f>
        <v>3</v>
      </c>
      <c r="AO14" s="1" cm="1">
        <f t="array" ref="AO14">IFERROR(SUMPRODUCT(($B$2:$B$131=YEar9Table[[#This Row],[Player]])*$M$2:$M$131),0)+IFERROR(SUMPRODUCT(($C$2:$C$131=YEar9Table[[#This Row],[Player]])*$M$2:$M$131),0)+IFERROR(SUMPRODUCT(($D$2:$D$131=YEar9Table[[#This Row],[Player]])*$M$2:$M$131),0)+IFERROR(SUMPRODUCT(($E$2:$E$131=YEar9Table[[#This Row],[Player]])*$M$2:$M$131),0)+IFERROR(SUMPRODUCT(($F$2:$F$131=YEar9Table[[#This Row],[Player]])*$M$2:$M$131),0)</f>
        <v>2</v>
      </c>
      <c r="AP14" s="1">
        <f>YEar9Table[[#This Row],[Wins in Stacks]]+YEar9Table[[#This Row],[Losses in Stacks]]</f>
        <v>5</v>
      </c>
      <c r="AQ14" s="3">
        <f>IFERROR(YEar9Table[[#This Row],[Wins in Stacks]]/YEar9Table[[#This Row],[Total Games In Stacks]],0)</f>
        <v>0.6</v>
      </c>
      <c r="AR14" s="75">
        <v>0.4</v>
      </c>
      <c r="AS14" s="21">
        <v>5</v>
      </c>
      <c r="AT14" s="20" cm="1">
        <f t="array" ref="AT14">(YEar9Table[[#This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0.67667909581329377</v>
      </c>
      <c r="AU14" s="209" t="s">
        <v>116</v>
      </c>
      <c r="AV14" s="209"/>
      <c r="AW14" s="209"/>
      <c r="AX14" s="209"/>
      <c r="AY14" s="209"/>
      <c r="AZ14" s="71"/>
      <c r="BA14" s="71"/>
      <c r="BB14" s="71"/>
    </row>
    <row r="15" spans="1:62">
      <c r="A15" s="156" t="str">
        <f>_xlfn.TEXTJOIN(",",TRUE,_xlfn._xlws.SORT(_xlfn.TEXTSPLIT(_xlfn.TEXTJOIN(",",TRUE,_xlfn._xlws.SORT($B15:$F15, 1, -1, FALSE)),"WWWWW",",")))</f>
        <v>Chromius.TAMU,Glonk.MB,Jamato33</v>
      </c>
      <c r="B15" s="153" t="s">
        <v>77</v>
      </c>
      <c r="C15" s="153" t="s">
        <v>162</v>
      </c>
      <c r="D15" s="186" t="s">
        <v>233</v>
      </c>
      <c r="E15" s="165"/>
      <c r="F15" s="159"/>
      <c r="G15" s="154" t="str">
        <f>IFERROR(VLOOKUP(Y9S1[[#This Row],[Player 1]],YEar9Table[],2,FALSE),0)</f>
        <v>TIER 1</v>
      </c>
      <c r="H15" s="153" t="str">
        <f>IFERROR(VLOOKUP(Y9S1[[#This Row],[Player 2]],YEar9Table[],2,FALSE),"")</f>
        <v>TIER 2</v>
      </c>
      <c r="I15" s="153" t="str">
        <f>IFERROR(VLOOKUP(Y9S1[[#This Row],[Player 3]],YEar9Table[],2,FALSE),"")</f>
        <v>TIER 5</v>
      </c>
      <c r="J15" s="153" t="str">
        <f>IFERROR(VLOOKUP(Y9S1[[#This Row],[Player 4]],YEar9Table[],2,FALSE),"")</f>
        <v/>
      </c>
      <c r="K15" s="159" t="str">
        <f>IFERROR(VLOOKUP(Y9S1[[#This Row],[Player 5]],YEar9Table[],2,FALSE),"")</f>
        <v/>
      </c>
      <c r="L15" s="40">
        <v>1</v>
      </c>
      <c r="M15" s="40">
        <v>0</v>
      </c>
      <c r="N15" s="40">
        <f>$L15+$M15</f>
        <v>1</v>
      </c>
      <c r="O15" s="51">
        <f>IFERROR(L15/(M15+L15),0)</f>
        <v>1</v>
      </c>
      <c r="P15" s="103">
        <f>(((Y9S1[[#This Row],[Wins]]*1.3)-Y9S1[[#This Row],[Losses]])/SUM(Y9S1[Games Played]))*10</f>
        <v>4.980842911877395E-2</v>
      </c>
      <c r="Q15" s="182"/>
      <c r="R15"/>
      <c r="T15"/>
      <c r="U15" s="1" t="str">
        <f>YEar9Table[[#This Row],[Player]]</f>
        <v>Timythiccums.MB</v>
      </c>
      <c r="V15" s="1" t="str">
        <f>IF(AT15&gt;7.5, "TIER 1",
IF(AT15&gt;6.5, "TIER 2",
IF(AT15&gt;5.5, "TIER 3",
IF(AT15&gt;4.5, "TIER 4",
IF(AT15&gt;3.5, "TIER 5",
IF(AT15&gt;2,  "TIER 6",
IF(AT15&gt;0,  "TIER 7",
"TIER 8")))))))</f>
        <v>TIER 6</v>
      </c>
      <c r="W15" s="1" t="s">
        <v>8</v>
      </c>
      <c r="X15" s="8" t="s">
        <v>81</v>
      </c>
      <c r="Y15" s="8">
        <f>VLOOKUP(YEar9Table[[#This Row],[Player]],ImportTable15[],2,FALSE)</f>
        <v>0.75</v>
      </c>
      <c r="Z15" s="8">
        <f>VLOOKUP(YEar9Table[[#This Row],[Player]],ImportTable15[],3,FALSE)</f>
        <v>1.108333</v>
      </c>
      <c r="AA15" s="8">
        <f>VLOOKUP(YEar9Table[[#This Row],[Player]],ImportTable15[],4,FALSE)</f>
        <v>72</v>
      </c>
      <c r="AB15" s="8">
        <f>VLOOKUP(YEar9Table[[#This Row],[Player]],ImportTable15[],5,FALSE)</f>
        <v>116</v>
      </c>
      <c r="AC15" s="8">
        <f>VLOOKUP(YEar9Table[[#This Row],[Player]],ImportTable15[],6,FALSE)</f>
        <v>105</v>
      </c>
      <c r="AD15" s="8">
        <f>VLOOKUP(YEar9Table[[#This Row],[Player]],ImportTable15[],7,FALSE)</f>
        <v>83</v>
      </c>
      <c r="AE15" s="77">
        <f>VLOOKUP(YEar9Table[[#This Row],[Player]],ImportTable15[],8,FALSE)</f>
        <v>51.889229999999998</v>
      </c>
      <c r="AF15" s="77">
        <f>VLOOKUP(YEar9Table[[#This Row],[Player]],ImportTable15[],9,FALSE)</f>
        <v>69.180000000000007</v>
      </c>
      <c r="AG15" s="8">
        <f>VLOOKUP(YEar9Table[[#This Row],[Player]],ImportTable15[],10,FALSE)</f>
        <v>26</v>
      </c>
      <c r="AH15" s="8">
        <f>VLOOKUP(YEar9Table[[#This Row],[Player]],ImportTable15[],11,FALSE)</f>
        <v>35</v>
      </c>
      <c r="AI15" s="8" t="str">
        <f>IF(YEar9Table[[#This Row],[Ranked Wins]]=YEar9Table[[#This Row],[Wins in Stacks]],"Y","N")</f>
        <v>N</v>
      </c>
      <c r="AJ15" s="8" t="str">
        <f>IF(YEar9Table[[#This Row],[Ranked Losses]]=YEar9Table[[#This Row],[Losses in Stacks]],"Y","N")</f>
        <v>N</v>
      </c>
      <c r="AK15" s="3">
        <f>IFERROR(YEar9Table[[#This Row],[Ranked Wins]]/(YEar9Table[[#This Row],[Ranked Wins]]+YEar9Table[[#This Row],[Ranked Losses]]),0)</f>
        <v>0.42622950819672129</v>
      </c>
      <c r="AL15" s="3">
        <f>IFERROR(YEar9Table[[#This Row],[Attack Wins]]/(YEar9Table[[#This Row],[Attack Wins]]+YEar9Table[[#This Row],[Attack Losses]]),0)</f>
        <v>0.38297872340425532</v>
      </c>
      <c r="AM15" s="3">
        <f>IFERROR(YEar9Table[[#This Row],[Defense Wins]]/(YEar9Table[[#This Row],[Defense Wins]]+YEar9Table[[#This Row],[Defense Losses]]),0)</f>
        <v>0.55851063829787229</v>
      </c>
      <c r="AN15" s="1" cm="1">
        <f t="array" ref="AN15">IFERROR(SUMPRODUCT(($B$2:$B$131=YEar9Table[[#This Row],[Player]])*$L$2:$L$131),0)+IFERROR(SUMPRODUCT(($C$2:$C$131=YEar9Table[[#This Row],[Player]])*$L$2:$L$131),0)+IFERROR(SUMPRODUCT(($E$2:$E$131=YEar9Table[[#This Row],[Player]])*$L$2:$L$131),0)+IFERROR(SUMPRODUCT(($D$2:$D$131=YEar9Table[[#This Row],[Player]])*$L$2:$L$131),0)+IFERROR(SUMPRODUCT(($F$2:$F$131=YEar9Table[[#This Row],[Player]])*$L$2:$L$131),0)</f>
        <v>27</v>
      </c>
      <c r="AO15" s="1" cm="1">
        <f t="array" ref="AO15">IFERROR(SUMPRODUCT(($B$2:$B$131=YEar9Table[[#This Row],[Player]])*$M$2:$M$131),0)+IFERROR(SUMPRODUCT(($C$2:$C$131=YEar9Table[[#This Row],[Player]])*$M$2:$M$131),0)+IFERROR(SUMPRODUCT(($D$2:$D$131=YEar9Table[[#This Row],[Player]])*$M$2:$M$131),0)+IFERROR(SUMPRODUCT(($E$2:$E$131=YEar9Table[[#This Row],[Player]])*$M$2:$M$131),0)+IFERROR(SUMPRODUCT(($F$2:$F$131=YEar9Table[[#This Row],[Player]])*$M$2:$M$131),0)</f>
        <v>32</v>
      </c>
      <c r="AP15" s="1">
        <f>YEar9Table[[#This Row],[Wins in Stacks]]+YEar9Table[[#This Row],[Losses in Stacks]]</f>
        <v>59</v>
      </c>
      <c r="AQ15" s="3">
        <f>IFERROR(YEar9Table[[#This Row],[Wins in Stacks]]/YEar9Table[[#This Row],[Total Games In Stacks]],0)</f>
        <v>0.4576271186440678</v>
      </c>
      <c r="AR15" s="75">
        <v>0.75</v>
      </c>
      <c r="AS15" s="21">
        <v>2</v>
      </c>
      <c r="AT15" s="20" cm="1">
        <f t="array" ref="AT15">(YEar9Table[[#This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2.0376172254252545</v>
      </c>
      <c r="AU15" s="209" t="s">
        <v>119</v>
      </c>
      <c r="AV15" s="209"/>
      <c r="AW15" s="209"/>
      <c r="AX15" s="209"/>
      <c r="AY15" s="209"/>
      <c r="AZ15" s="71"/>
      <c r="BA15" s="71"/>
      <c r="BB15" s="71"/>
    </row>
    <row r="16" spans="1:62">
      <c r="A16" s="156" t="str">
        <f>_xlfn.TEXTJOIN(",",TRUE,_xlfn._xlws.SORT(_xlfn.TEXTSPLIT(_xlfn.TEXTJOIN(",",TRUE,_xlfn._xlws.SORT($B16:$F16, 1, -1, FALSE)),"WWWWW",",")))</f>
        <v>Chromius.TAMU,Timythiccums.MB</v>
      </c>
      <c r="B16" s="153" t="s">
        <v>77</v>
      </c>
      <c r="C16" s="153" t="s">
        <v>81</v>
      </c>
      <c r="D16" s="165"/>
      <c r="E16" s="165"/>
      <c r="F16" s="159"/>
      <c r="G16" s="154" t="str">
        <f>IFERROR(VLOOKUP(Y9S1[[#This Row],[Player 1]],YEar9Table[],2,FALSE),0)</f>
        <v>TIER 1</v>
      </c>
      <c r="H16" s="153" t="str">
        <f>IFERROR(VLOOKUP(Y9S1[[#This Row],[Player 2]],YEar9Table[],2,FALSE),"")</f>
        <v>TIER 6</v>
      </c>
      <c r="I16" s="153" t="str">
        <f>IFERROR(VLOOKUP(Y9S1[[#This Row],[Player 3]],YEar9Table[],2,FALSE),"")</f>
        <v/>
      </c>
      <c r="J16" s="153" t="str">
        <f>IFERROR(VLOOKUP(Y9S1[[#This Row],[Player 4]],YEar9Table[],2,FALSE),"")</f>
        <v/>
      </c>
      <c r="K16" s="159" t="str">
        <f>IFERROR(VLOOKUP(Y9S1[[#This Row],[Player 5]],YEar9Table[],2,FALSE),"")</f>
        <v/>
      </c>
      <c r="L16" s="40">
        <v>1</v>
      </c>
      <c r="M16" s="40">
        <v>0</v>
      </c>
      <c r="N16" s="40">
        <f>$L16+$M16</f>
        <v>1</v>
      </c>
      <c r="O16" s="51">
        <f>IFERROR(L16/(M16+L16),0)</f>
        <v>1</v>
      </c>
      <c r="P16" s="103">
        <f>(((Y9S1[[#This Row],[Wins]]*1.3)-Y9S1[[#This Row],[Losses]])/SUM(Y9S1[Games Played]))*10</f>
        <v>4.980842911877395E-2</v>
      </c>
      <c r="Q16" s="182"/>
      <c r="R16"/>
      <c r="T16"/>
      <c r="U16" s="1" t="str">
        <f>YEar9Table[[#This Row],[Player]]</f>
        <v>AkusNightmare</v>
      </c>
      <c r="V16" s="1" t="str">
        <f>IF(AT16&gt;7.5, "TIER 1",
IF(AT16&gt;6.5, "TIER 2",
IF(AT16&gt;5.5, "TIER 3",
IF(AT16&gt;4.5, "TIER 4",
IF(AT16&gt;3.5, "TIER 5",
IF(AT16&gt;2,  "TIER 6",
IF(AT16&gt;0,  "TIER 7",
"TIER 8")))))))</f>
        <v>TIER 7</v>
      </c>
      <c r="W16" s="163" t="s">
        <v>240</v>
      </c>
      <c r="X16" s="8" t="s">
        <v>232</v>
      </c>
      <c r="Y16" s="8">
        <f>VLOOKUP(YEar9Table[[#This Row],[Player]],ImportTable15[],2,FALSE)</f>
        <v>1.043668</v>
      </c>
      <c r="Z16" s="8">
        <f>VLOOKUP(YEar9Table[[#This Row],[Player]],ImportTable15[],3,FALSE)</f>
        <v>0.95121999999999995</v>
      </c>
      <c r="AA16" s="8">
        <f>VLOOKUP(YEar9Table[[#This Row],[Player]],ImportTable15[],4,FALSE)</f>
        <v>118</v>
      </c>
      <c r="AB16" s="8">
        <f>VLOOKUP(YEar9Table[[#This Row],[Player]],ImportTable15[],5,FALSE)</f>
        <v>180</v>
      </c>
      <c r="AC16" s="8">
        <f>VLOOKUP(YEar9Table[[#This Row],[Player]],ImportTable15[],6,FALSE)</f>
        <v>157</v>
      </c>
      <c r="AD16" s="8">
        <f>VLOOKUP(YEar9Table[[#This Row],[Player]],ImportTable15[],7,FALSE)</f>
        <v>152</v>
      </c>
      <c r="AE16" s="77">
        <f>VLOOKUP(YEar9Table[[#This Row],[Player]],ImportTable15[],8,FALSE)</f>
        <v>66.14067</v>
      </c>
      <c r="AF16" s="77">
        <f>VLOOKUP(YEar9Table[[#This Row],[Player]],ImportTable15[],9,FALSE)</f>
        <v>50.819290000000002</v>
      </c>
      <c r="AG16" s="8">
        <f>VLOOKUP(YEar9Table[[#This Row],[Player]],ImportTable15[],10,FALSE)</f>
        <v>49</v>
      </c>
      <c r="AH16" s="8">
        <f>VLOOKUP(YEar9Table[[#This Row],[Player]],ImportTable15[],11,FALSE)</f>
        <v>61</v>
      </c>
      <c r="AI16" s="8" t="str">
        <f>IF(YEar9Table[[#This Row],[Ranked Wins]]=YEar9Table[[#This Row],[Wins in Stacks]],"Y","N")</f>
        <v>N</v>
      </c>
      <c r="AJ16" s="8" t="str">
        <f>IF(YEar9Table[[#This Row],[Ranked Losses]]=YEar9Table[[#This Row],[Losses in Stacks]],"Y","N")</f>
        <v>N</v>
      </c>
      <c r="AK16" s="3">
        <f>IFERROR(YEar9Table[[#This Row],[Ranked Wins]]/(YEar9Table[[#This Row],[Ranked Wins]]+YEar9Table[[#This Row],[Ranked Losses]]),0)</f>
        <v>0.44545454545454544</v>
      </c>
      <c r="AL16" s="3">
        <f>IFERROR(YEar9Table[[#This Row],[Attack Wins]]/(YEar9Table[[#This Row],[Attack Wins]]+YEar9Table[[#This Row],[Attack Losses]]),0)</f>
        <v>0.39597315436241609</v>
      </c>
      <c r="AM16" s="3">
        <f>IFERROR(YEar9Table[[#This Row],[Defense Wins]]/(YEar9Table[[#This Row],[Defense Wins]]+YEar9Table[[#This Row],[Defense Losses]]),0)</f>
        <v>0.50809061488673135</v>
      </c>
      <c r="AN16" s="1" cm="1">
        <f t="array" ref="AN16">IFERROR(SUMPRODUCT(($B$2:$B$131=YEar9Table[[#This Row],[Player]])*$L$2:$L$131),0)+IFERROR(SUMPRODUCT(($C$2:$C$131=YEar9Table[[#This Row],[Player]])*$L$2:$L$131),0)+IFERROR(SUMPRODUCT(($E$2:$E$131=YEar9Table[[#This Row],[Player]])*$L$2:$L$131),0)+IFERROR(SUMPRODUCT(($D$2:$D$131=YEar9Table[[#This Row],[Player]])*$L$2:$L$131),0)+IFERROR(SUMPRODUCT(($F$2:$F$131=YEar9Table[[#This Row],[Player]])*$L$2:$L$131),0)</f>
        <v>7</v>
      </c>
      <c r="AO16" s="1" cm="1">
        <f t="array" ref="AO16">IFERROR(SUMPRODUCT(($B$2:$B$131=YEar9Table[[#This Row],[Player]])*$M$2:$M$131),0)+IFERROR(SUMPRODUCT(($C$2:$C$131=YEar9Table[[#This Row],[Player]])*$M$2:$M$131),0)+IFERROR(SUMPRODUCT(($D$2:$D$131=YEar9Table[[#This Row],[Player]])*$M$2:$M$131),0)+IFERROR(SUMPRODUCT(($E$2:$E$131=YEar9Table[[#This Row],[Player]])*$M$2:$M$131),0)+IFERROR(SUMPRODUCT(($F$2:$F$131=YEar9Table[[#This Row],[Player]])*$M$2:$M$131),0)</f>
        <v>3</v>
      </c>
      <c r="AP16" s="1">
        <f>YEar9Table[[#This Row],[Wins in Stacks]]+YEar9Table[[#This Row],[Losses in Stacks]]</f>
        <v>10</v>
      </c>
      <c r="AQ16" s="3">
        <f>IFERROR(YEar9Table[[#This Row],[Wins in Stacks]]/YEar9Table[[#This Row],[Total Games In Stacks]],0)</f>
        <v>0.7</v>
      </c>
      <c r="AR16" s="75">
        <v>0.4</v>
      </c>
      <c r="AS16" s="21">
        <v>4</v>
      </c>
      <c r="AT16" s="20" cm="1">
        <f t="array" ref="AT16">(YEar9Table[[#This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0.92869730059233779</v>
      </c>
      <c r="AU16" s="209" t="s">
        <v>122</v>
      </c>
      <c r="AV16" s="209"/>
      <c r="AW16" s="209"/>
      <c r="AX16" s="209"/>
      <c r="AY16" s="209"/>
      <c r="AZ16" s="71"/>
      <c r="BA16" s="71"/>
      <c r="BB16" s="71"/>
    </row>
    <row r="17" spans="1:63">
      <c r="A17" s="156" t="str">
        <f>_xlfn.TEXTJOIN(",",TRUE,_xlfn._xlws.SORT(_xlfn.TEXTSPLIT(_xlfn.TEXTJOIN(",",TRUE,_xlfn._xlws.SORT($B17:$F17, 1, -1, FALSE)),"WWWWW",",")))</f>
        <v>Chromius.TAMU,Viests.</v>
      </c>
      <c r="B17" s="153" t="s">
        <v>77</v>
      </c>
      <c r="C17" s="153" t="s">
        <v>185</v>
      </c>
      <c r="D17" s="165"/>
      <c r="E17" s="165"/>
      <c r="F17" s="153"/>
      <c r="G17" s="154" t="str">
        <f>IFERROR(VLOOKUP(Y9S1[[#This Row],[Player 1]],YEar9Table[],2,FALSE),0)</f>
        <v>TIER 1</v>
      </c>
      <c r="H17" s="153" t="str">
        <f>IFERROR(VLOOKUP(Y9S1[[#This Row],[Player 2]],YEar9Table[],2,FALSE),"")</f>
        <v>TIER 7</v>
      </c>
      <c r="I17" s="153" t="str">
        <f>IFERROR(VLOOKUP(Y9S1[[#This Row],[Player 3]],YEar9Table[],2,FALSE),"")</f>
        <v/>
      </c>
      <c r="J17" s="153" t="str">
        <f>IFERROR(VLOOKUP(Y9S1[[#This Row],[Player 4]],YEar9Table[],2,FALSE),"")</f>
        <v/>
      </c>
      <c r="K17" s="159" t="str">
        <f>IFERROR(VLOOKUP(Y9S1[[#This Row],[Player 5]],YEar9Table[],2,FALSE),"")</f>
        <v/>
      </c>
      <c r="L17" s="40">
        <v>1</v>
      </c>
      <c r="M17" s="40">
        <v>0</v>
      </c>
      <c r="N17" s="40">
        <f>$L17+$M17</f>
        <v>1</v>
      </c>
      <c r="O17" s="51">
        <f>IFERROR(L17/(M17+L17),0)</f>
        <v>1</v>
      </c>
      <c r="P17" s="104">
        <f>(((Y9S1[[#This Row],[Wins]]*1.3)-Y9S1[[#This Row],[Losses]])/SUM(Y9S1[Games Played]))*10</f>
        <v>4.980842911877395E-2</v>
      </c>
      <c r="Q17" s="182"/>
      <c r="R17"/>
      <c r="T17"/>
      <c r="U17" s="1" t="str">
        <f>YEar9Table[[#This Row],[Player]]</f>
        <v>Coolrocket.TAMU</v>
      </c>
      <c r="V17" s="1" t="str">
        <f>IF(AT17&gt;7.5, "TIER 1",
IF(AT17&gt;6.5, "TIER 2",
IF(AT17&gt;5.5, "TIER 3",
IF(AT17&gt;4.5, "TIER 4",
IF(AT17&gt;3.5, "TIER 5",
IF(AT17&gt;2,  "TIER 6",
IF(AT17&gt;0,  "TIER 7",
"TIER 8")))))))</f>
        <v>TIER 7</v>
      </c>
      <c r="W17" s="1" t="s">
        <v>137</v>
      </c>
      <c r="X17" s="8" t="s">
        <v>138</v>
      </c>
      <c r="Y17" s="8">
        <f>VLOOKUP(YEar9Table[[#This Row],[Player]],ImportTable15[],2,FALSE)</f>
        <v>1.3577980000000001</v>
      </c>
      <c r="Z17" s="8">
        <f>VLOOKUP(YEar9Table[[#This Row],[Player]],ImportTable15[],3,FALSE)</f>
        <v>1.183486</v>
      </c>
      <c r="AA17" s="8">
        <f>VLOOKUP(YEar9Table[[#This Row],[Player]],ImportTable15[],4,FALSE)</f>
        <v>72</v>
      </c>
      <c r="AB17" s="8">
        <f>VLOOKUP(YEar9Table[[#This Row],[Player]],ImportTable15[],5,FALSE)</f>
        <v>80</v>
      </c>
      <c r="AC17" s="8">
        <f>VLOOKUP(YEar9Table[[#This Row],[Player]],ImportTable15[],6,FALSE)</f>
        <v>89</v>
      </c>
      <c r="AD17" s="8">
        <f>VLOOKUP(YEar9Table[[#This Row],[Player]],ImportTable15[],7,FALSE)</f>
        <v>59</v>
      </c>
      <c r="AE17" s="77">
        <f>VLOOKUP(YEar9Table[[#This Row],[Player]],ImportTable15[],8,FALSE)</f>
        <v>60.985790000000001</v>
      </c>
      <c r="AF17" s="77">
        <f>VLOOKUP(YEar9Table[[#This Row],[Player]],ImportTable15[],9,FALSE)</f>
        <v>61.638399999999997</v>
      </c>
      <c r="AG17" s="8">
        <f>VLOOKUP(YEar9Table[[#This Row],[Player]],ImportTable15[],10,FALSE)</f>
        <v>35</v>
      </c>
      <c r="AH17" s="8">
        <f>VLOOKUP(YEar9Table[[#This Row],[Player]],ImportTable15[],11,FALSE)</f>
        <v>34</v>
      </c>
      <c r="AI17" s="8" t="str">
        <f>IF(YEar9Table[[#This Row],[Ranked Wins]]=YEar9Table[[#This Row],[Wins in Stacks]],"Y","N")</f>
        <v>N</v>
      </c>
      <c r="AJ17" s="8" t="str">
        <f>IF(YEar9Table[[#This Row],[Ranked Losses]]=YEar9Table[[#This Row],[Losses in Stacks]],"Y","N")</f>
        <v>N</v>
      </c>
      <c r="AK17" s="3">
        <f>IFERROR(YEar9Table[[#This Row],[Ranked Wins]]/(YEar9Table[[#This Row],[Ranked Wins]]+YEar9Table[[#This Row],[Ranked Losses]]),0)</f>
        <v>0.50724637681159424</v>
      </c>
      <c r="AL17" s="3">
        <f>IFERROR(YEar9Table[[#This Row],[Attack Wins]]/(YEar9Table[[#This Row],[Attack Wins]]+YEar9Table[[#This Row],[Attack Losses]]),0)</f>
        <v>0.47368421052631576</v>
      </c>
      <c r="AM17" s="3">
        <f>IFERROR(YEar9Table[[#This Row],[Defense Wins]]/(YEar9Table[[#This Row],[Defense Wins]]+YEar9Table[[#This Row],[Defense Losses]]),0)</f>
        <v>0.60135135135135132</v>
      </c>
      <c r="AN17" s="1" cm="1">
        <f t="array" ref="AN17">IFERROR(SUMPRODUCT(($B$2:$B$131=YEar9Table[[#This Row],[Player]])*$L$2:$L$131),0)+IFERROR(SUMPRODUCT(($C$2:$C$131=YEar9Table[[#This Row],[Player]])*$L$2:$L$131),0)+IFERROR(SUMPRODUCT(($E$2:$E$131=YEar9Table[[#This Row],[Player]])*$L$2:$L$131),0)+IFERROR(SUMPRODUCT(($D$2:$D$131=YEar9Table[[#This Row],[Player]])*$L$2:$L$131),0)+IFERROR(SUMPRODUCT(($F$2:$F$131=YEar9Table[[#This Row],[Player]])*$L$2:$L$131),0)</f>
        <v>7</v>
      </c>
      <c r="AO17" s="1" cm="1">
        <f t="array" ref="AO17">IFERROR(SUMPRODUCT(($B$2:$B$131=YEar9Table[[#This Row],[Player]])*$M$2:$M$131),0)+IFERROR(SUMPRODUCT(($C$2:$C$131=YEar9Table[[#This Row],[Player]])*$M$2:$M$131),0)+IFERROR(SUMPRODUCT(($D$2:$D$131=YEar9Table[[#This Row],[Player]])*$M$2:$M$131),0)+IFERROR(SUMPRODUCT(($E$2:$E$131=YEar9Table[[#This Row],[Player]])*$M$2:$M$131),0)+IFERROR(SUMPRODUCT(($F$2:$F$131=YEar9Table[[#This Row],[Player]])*$M$2:$M$131),0)</f>
        <v>8</v>
      </c>
      <c r="AP17" s="1">
        <f>YEar9Table[[#This Row],[Wins in Stacks]]+YEar9Table[[#This Row],[Losses in Stacks]]</f>
        <v>15</v>
      </c>
      <c r="AQ17" s="3">
        <f>IFERROR(YEar9Table[[#This Row],[Wins in Stacks]]/YEar9Table[[#This Row],[Total Games In Stacks]],0)</f>
        <v>0.46666666666666667</v>
      </c>
      <c r="AR17" s="75">
        <v>0.35</v>
      </c>
      <c r="AS17" s="21">
        <v>3</v>
      </c>
      <c r="AT17" s="20" cm="1">
        <f t="array" ref="AT17">(YEar9Table[[#This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0.20248587378135585</v>
      </c>
      <c r="AU17" s="1"/>
      <c r="AV17" s="1"/>
      <c r="AW17" s="1"/>
      <c r="AX17" s="1"/>
      <c r="AY17" s="1"/>
      <c r="AZ17" s="1"/>
      <c r="BA17" s="1"/>
      <c r="BB17" s="1"/>
    </row>
    <row r="18" spans="1:63" ht="29.25" customHeight="1">
      <c r="A18" s="156" t="str">
        <f>_xlfn.TEXTJOIN(",",TRUE,_xlfn._xlws.SORT(_xlfn.TEXTSPLIT(_xlfn.TEXTJOIN(",",TRUE,_xlfn._xlws.SORT($B18:$F18, 1, -1, FALSE)),"WWWWW",",")))</f>
        <v>Chromius.TAMU,Glonk.MB,Kermitt.MB,TexAg21</v>
      </c>
      <c r="B18" s="153" t="s">
        <v>77</v>
      </c>
      <c r="C18" s="153" t="s">
        <v>162</v>
      </c>
      <c r="D18" s="153" t="s">
        <v>118</v>
      </c>
      <c r="E18" s="153" t="s">
        <v>188</v>
      </c>
      <c r="F18" s="165"/>
      <c r="G18" s="154" t="str">
        <f>IFERROR(VLOOKUP(Y9S1[[#This Row],[Player 1]],YEar9Table[],2,FALSE),0)</f>
        <v>TIER 1</v>
      </c>
      <c r="H18" s="162" t="str">
        <f>IFERROR(VLOOKUP(Y9S1[[#This Row],[Player 2]],YEar9Table[],2,FALSE),"")</f>
        <v>TIER 2</v>
      </c>
      <c r="I18" s="153" t="str">
        <f>IFERROR(VLOOKUP(Y9S1[[#This Row],[Player 3]],YEar9Table[],2,FALSE),"")</f>
        <v>TIER 4</v>
      </c>
      <c r="J18" s="153" t="str">
        <f>IFERROR(VLOOKUP(Y9S1[[#This Row],[Player 4]],YEar9Table[],2,FALSE),"")</f>
        <v>TIER 8</v>
      </c>
      <c r="K18" s="159" t="str">
        <f>IFERROR(VLOOKUP(Y9S1[[#This Row],[Player 5]],YEar9Table[],2,FALSE),"")</f>
        <v/>
      </c>
      <c r="L18" s="40">
        <v>1</v>
      </c>
      <c r="M18" s="40">
        <v>0</v>
      </c>
      <c r="N18" s="40">
        <f>$L18+$M18</f>
        <v>1</v>
      </c>
      <c r="O18" s="50">
        <f>IFERROR(L18/(M18+L18),0)</f>
        <v>1</v>
      </c>
      <c r="P18" s="104">
        <f>(((Y9S1[[#This Row],[Wins]]*1.3)-Y9S1[[#This Row],[Losses]])/SUM(Y9S1[Games Played]))*10</f>
        <v>4.980842911877395E-2</v>
      </c>
      <c r="Q18" s="182"/>
      <c r="R18"/>
      <c r="T18"/>
      <c r="U18" s="1" t="str">
        <f>YEar9Table[[#This Row],[Player]]</f>
        <v>TexAg21</v>
      </c>
      <c r="V18" s="1" t="str">
        <f>IF(AT18&gt;7.5, "TIER 1",
IF(AT18&gt;6.5, "TIER 2",
IF(AT18&gt;5.5, "TIER 3",
IF(AT18&gt;4.5, "TIER 4",
IF(AT18&gt;3.5, "TIER 5",
IF(AT18&gt;2,  "TIER 6",
IF(AT18&gt;0,  "TIER 7",
"TIER 8")))))))</f>
        <v>TIER 8</v>
      </c>
      <c r="W18" s="1" t="s">
        <v>241</v>
      </c>
      <c r="X18" s="1" t="s">
        <v>188</v>
      </c>
      <c r="Y18" s="8">
        <f>VLOOKUP(YEar9Table[[#This Row],[Player]],ImportTable15[],2,FALSE)</f>
        <v>0.46710499999999999</v>
      </c>
      <c r="Z18" s="8">
        <f>VLOOKUP(YEar9Table[[#This Row],[Player]],ImportTable15[],3,FALSE)</f>
        <v>0.504</v>
      </c>
      <c r="AA18" s="8">
        <f>VLOOKUP(YEar9Table[[#This Row],[Player]],ImportTable15[],4,FALSE)</f>
        <v>79</v>
      </c>
      <c r="AB18" s="8">
        <f>VLOOKUP(YEar9Table[[#This Row],[Player]],ImportTable15[],5,FALSE)</f>
        <v>111</v>
      </c>
      <c r="AC18" s="8">
        <f>VLOOKUP(YEar9Table[[#This Row],[Player]],ImportTable15[],6,FALSE)</f>
        <v>97</v>
      </c>
      <c r="AD18" s="8">
        <f>VLOOKUP(YEar9Table[[#This Row],[Player]],ImportTable15[],7,FALSE)</f>
        <v>85</v>
      </c>
      <c r="AE18" s="77">
        <f>VLOOKUP(YEar9Table[[#This Row],[Player]],ImportTable15[],8,FALSE)</f>
        <v>30.664290000000001</v>
      </c>
      <c r="AF18" s="77">
        <f>VLOOKUP(YEar9Table[[#This Row],[Player]],ImportTable15[],9,FALSE)</f>
        <v>46.242730000000002</v>
      </c>
      <c r="AG18" s="8">
        <f>VLOOKUP(YEar9Table[[#This Row],[Player]],ImportTable15[],10,FALSE)</f>
        <v>33</v>
      </c>
      <c r="AH18" s="8">
        <f>VLOOKUP(YEar9Table[[#This Row],[Player]],ImportTable15[],11,FALSE)</f>
        <v>37</v>
      </c>
      <c r="AI18" s="8" t="str">
        <f>IF(YEar9Table[[#This Row],[Ranked Wins]]=YEar9Table[[#This Row],[Wins in Stacks]],"Y","N")</f>
        <v>N</v>
      </c>
      <c r="AJ18" s="8" t="str">
        <f>IF(YEar9Table[[#This Row],[Ranked Losses]]=YEar9Table[[#This Row],[Losses in Stacks]],"Y","N")</f>
        <v>N</v>
      </c>
      <c r="AK18" s="3">
        <f>IFERROR(YEar9Table[[#This Row],[Ranked Wins]]/(YEar9Table[[#This Row],[Ranked Wins]]+YEar9Table[[#This Row],[Ranked Losses]]),0)</f>
        <v>0.47142857142857142</v>
      </c>
      <c r="AL18" s="3">
        <f>IFERROR(YEar9Table[[#This Row],[Attack Wins]]/(YEar9Table[[#This Row],[Attack Wins]]+YEar9Table[[#This Row],[Attack Losses]]),0)</f>
        <v>0.41578947368421054</v>
      </c>
      <c r="AM18" s="3">
        <f>IFERROR(YEar9Table[[#This Row],[Defense Wins]]/(YEar9Table[[#This Row],[Defense Wins]]+YEar9Table[[#This Row],[Defense Losses]]),0)</f>
        <v>0.53296703296703296</v>
      </c>
      <c r="AN18" s="1" cm="1">
        <f t="array" ref="AN18">IFERROR(SUMPRODUCT(($B$2:$B$131=YEar9Table[[#This Row],[Player]])*$L$2:$L$131),0)+IFERROR(SUMPRODUCT(($C$2:$C$131=YEar9Table[[#This Row],[Player]])*$L$2:$L$131),0)+IFERROR(SUMPRODUCT(($E$2:$E$131=YEar9Table[[#This Row],[Player]])*$L$2:$L$131),0)+IFERROR(SUMPRODUCT(($D$2:$D$131=YEar9Table[[#This Row],[Player]])*$L$2:$L$131),0)+IFERROR(SUMPRODUCT(($F$2:$F$131=YEar9Table[[#This Row],[Player]])*$L$2:$L$131),0)</f>
        <v>38</v>
      </c>
      <c r="AO18" s="1" cm="1">
        <f t="array" ref="AO18">IFERROR(SUMPRODUCT(($B$2:$B$131=YEar9Table[[#This Row],[Player]])*$M$2:$M$131),0)+IFERROR(SUMPRODUCT(($C$2:$C$131=YEar9Table[[#This Row],[Player]])*$M$2:$M$131),0)+IFERROR(SUMPRODUCT(($D$2:$D$131=YEar9Table[[#This Row],[Player]])*$M$2:$M$131),0)+IFERROR(SUMPRODUCT(($E$2:$E$131=YEar9Table[[#This Row],[Player]])*$M$2:$M$131),0)+IFERROR(SUMPRODUCT(($F$2:$F$131=YEar9Table[[#This Row],[Player]])*$M$2:$M$131),0)</f>
        <v>41</v>
      </c>
      <c r="AP18" s="1">
        <f>YEar9Table[[#This Row],[Wins in Stacks]]+YEar9Table[[#This Row],[Losses in Stacks]]</f>
        <v>79</v>
      </c>
      <c r="AQ18" s="3">
        <f>IFERROR(YEar9Table[[#This Row],[Wins in Stacks]]/YEar9Table[[#This Row],[Total Games In Stacks]],0)</f>
        <v>0.48101265822784811</v>
      </c>
      <c r="AR18" s="75">
        <v>0.8</v>
      </c>
      <c r="AS18" s="21">
        <v>2</v>
      </c>
      <c r="AT18" s="20" cm="1">
        <f t="array" ref="AT18">(YEar9Table[[#This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-1.7734589010894788</v>
      </c>
      <c r="AU18" s="1"/>
      <c r="AV18" s="12"/>
      <c r="AW18" s="12"/>
      <c r="AY18" s="23" t="s">
        <v>126</v>
      </c>
      <c r="AZ18" s="23" t="s">
        <v>127</v>
      </c>
      <c r="BA18" s="23" t="s">
        <v>128</v>
      </c>
      <c r="BB18" s="23" t="s">
        <v>129</v>
      </c>
      <c r="BC18" s="23" t="s">
        <v>130</v>
      </c>
      <c r="BD18" s="23" t="s">
        <v>131</v>
      </c>
      <c r="BE18" s="23" t="s">
        <v>132</v>
      </c>
      <c r="BF18" s="23" t="s">
        <v>133</v>
      </c>
      <c r="BG18" s="23" t="s">
        <v>134</v>
      </c>
      <c r="BH18" s="23" t="s">
        <v>135</v>
      </c>
      <c r="BI18" s="24" t="s">
        <v>136</v>
      </c>
      <c r="BJ18" s="23" t="s">
        <v>242</v>
      </c>
      <c r="BK18" s="23" t="s">
        <v>243</v>
      </c>
    </row>
    <row r="19" spans="1:63">
      <c r="A19" s="156" t="str">
        <f>_xlfn.TEXTJOIN(",",TRUE,_xlfn._xlws.SORT(_xlfn.TEXTSPLIT(_xlfn.TEXTJOIN(",",TRUE,_xlfn._xlws.SORT($B19:$F19, 1, -1, FALSE)),"WWWWW",",")))</f>
        <v>Chromius.TAMU,Glonk.MB,NotLappland,TexAg21</v>
      </c>
      <c r="B19" s="153" t="s">
        <v>77</v>
      </c>
      <c r="C19" s="153" t="s">
        <v>162</v>
      </c>
      <c r="D19" s="153" t="s">
        <v>142</v>
      </c>
      <c r="E19" s="153" t="s">
        <v>188</v>
      </c>
      <c r="F19" s="159"/>
      <c r="G19" s="154" t="str">
        <f>IFERROR(VLOOKUP(Y9S1[[#This Row],[Player 1]],YEar9Table[],2,FALSE),0)</f>
        <v>TIER 1</v>
      </c>
      <c r="H19" s="153" t="str">
        <f>IFERROR(VLOOKUP(Y9S1[[#This Row],[Player 2]],YEar9Table[],2,FALSE),"")</f>
        <v>TIER 2</v>
      </c>
      <c r="I19" s="153" t="str">
        <f>IFERROR(VLOOKUP(Y9S1[[#This Row],[Player 3]],YEar9Table[],2,FALSE),"")</f>
        <v>TIER 8</v>
      </c>
      <c r="J19" s="153" t="str">
        <f>IFERROR(VLOOKUP(Y9S1[[#This Row],[Player 4]],YEar9Table[],2,FALSE),"")</f>
        <v>TIER 8</v>
      </c>
      <c r="K19" s="159" t="str">
        <f>IFERROR(VLOOKUP(Y9S1[[#This Row],[Player 5]],YEar9Table[],2,FALSE),"")</f>
        <v/>
      </c>
      <c r="L19" s="40">
        <v>1</v>
      </c>
      <c r="M19" s="40">
        <v>2</v>
      </c>
      <c r="N19" s="40">
        <f>$L19+$M19</f>
        <v>3</v>
      </c>
      <c r="O19" s="51">
        <f>IFERROR(L19/(M19+L19),0)</f>
        <v>0.33333333333333331</v>
      </c>
      <c r="P19" s="103">
        <f>(((Y9S1[[#This Row],[Wins]]*1.3)-Y9S1[[#This Row],[Losses]])/SUM(Y9S1[Games Played]))*10</f>
        <v>-2.6819923371647507E-2</v>
      </c>
      <c r="Q19" s="182"/>
      <c r="R19"/>
      <c r="T19"/>
      <c r="U19" s="1" t="str">
        <f>YEar9Table[[#This Row],[Player]]</f>
        <v>Elyidian</v>
      </c>
      <c r="V19" s="1" t="str">
        <f>IF(AT19&gt;7.5, "TIER 1",
IF(AT19&gt;6.5, "TIER 2",
IF(AT19&gt;5.5, "TIER 3",
IF(AT19&gt;4.5, "TIER 4",
IF(AT19&gt;3.5, "TIER 5",
IF(AT19&gt;2,  "TIER 6",
IF(AT19&gt;0,  "TIER 7",
"TIER 8")))))))</f>
        <v>TIER 8</v>
      </c>
      <c r="W19" s="1" t="s">
        <v>244</v>
      </c>
      <c r="X19" s="8" t="s">
        <v>234</v>
      </c>
      <c r="Y19" s="8">
        <f>VLOOKUP(YEar9Table[[#This Row],[Player]],ImportTable15[],2,FALSE)</f>
        <v>0.826816</v>
      </c>
      <c r="Z19" s="8">
        <f>VLOOKUP(YEar9Table[[#This Row],[Player]],ImportTable15[],3,FALSE)</f>
        <v>0.85014400000000001</v>
      </c>
      <c r="AA19" s="8">
        <f>VLOOKUP(YEar9Table[[#This Row],[Player]],ImportTable15[],4,FALSE)</f>
        <v>209</v>
      </c>
      <c r="AB19" s="8">
        <f>VLOOKUP(YEar9Table[[#This Row],[Player]],ImportTable15[],5,FALSE)</f>
        <v>288</v>
      </c>
      <c r="AC19" s="8">
        <f>VLOOKUP(YEar9Table[[#This Row],[Player]],ImportTable15[],6,FALSE)</f>
        <v>271</v>
      </c>
      <c r="AD19" s="8">
        <f>VLOOKUP(YEar9Table[[#This Row],[Player]],ImportTable15[],7,FALSE)</f>
        <v>211</v>
      </c>
      <c r="AE19" s="77">
        <f>VLOOKUP(YEar9Table[[#This Row],[Player]],ImportTable15[],8,FALSE)</f>
        <v>60.425559999999997</v>
      </c>
      <c r="AF19" s="77">
        <f>VLOOKUP(YEar9Table[[#This Row],[Player]],ImportTable15[],9,FALSE)</f>
        <v>36.022860000000001</v>
      </c>
      <c r="AG19" s="8">
        <f>VLOOKUP(YEar9Table[[#This Row],[Player]],ImportTable15[],10,FALSE)</f>
        <v>82</v>
      </c>
      <c r="AH19" s="8">
        <f>VLOOKUP(YEar9Table[[#This Row],[Player]],ImportTable15[],11,FALSE)</f>
        <v>86</v>
      </c>
      <c r="AI19" s="8" t="str">
        <f>IF(YEar9Table[[#This Row],[Ranked Wins]]=YEar9Table[[#This Row],[Wins in Stacks]],"Y","N")</f>
        <v>N</v>
      </c>
      <c r="AJ19" s="8" t="str">
        <f>IF(YEar9Table[[#This Row],[Ranked Losses]]=YEar9Table[[#This Row],[Losses in Stacks]],"Y","N")</f>
        <v>N</v>
      </c>
      <c r="AK19" s="3">
        <f>IFERROR(YEar9Table[[#This Row],[Ranked Wins]]/(YEar9Table[[#This Row],[Ranked Wins]]+YEar9Table[[#This Row],[Ranked Losses]]),0)</f>
        <v>0.48809523809523808</v>
      </c>
      <c r="AL19" s="3">
        <f>IFERROR(YEar9Table[[#This Row],[Attack Wins]]/(YEar9Table[[#This Row],[Attack Wins]]+YEar9Table[[#This Row],[Attack Losses]]),0)</f>
        <v>0.42052313883299797</v>
      </c>
      <c r="AM19" s="3">
        <f>IFERROR(YEar9Table[[#This Row],[Defense Wins]]/(YEar9Table[[#This Row],[Defense Wins]]+YEar9Table[[#This Row],[Defense Losses]]),0)</f>
        <v>0.56224066390041494</v>
      </c>
      <c r="AN19" s="1" cm="1">
        <f t="array" ref="AN19">IFERROR(SUMPRODUCT(($B$2:$B$131=YEar9Table[[#This Row],[Player]])*$L$2:$L$131),0)+IFERROR(SUMPRODUCT(($C$2:$C$131=YEar9Table[[#This Row],[Player]])*$L$2:$L$131),0)+IFERROR(SUMPRODUCT(($E$2:$E$131=YEar9Table[[#This Row],[Player]])*$L$2:$L$131),0)+IFERROR(SUMPRODUCT(($D$2:$D$131=YEar9Table[[#This Row],[Player]])*$L$2:$L$131),0)+IFERROR(SUMPRODUCT(($F$2:$F$131=YEar9Table[[#This Row],[Player]])*$L$2:$L$131),0)</f>
        <v>27</v>
      </c>
      <c r="AO19" s="1" cm="1">
        <f t="array" ref="AO19">IFERROR(SUMPRODUCT(($B$2:$B$131=YEar9Table[[#This Row],[Player]])*$M$2:$M$131),0)+IFERROR(SUMPRODUCT(($C$2:$C$131=YEar9Table[[#This Row],[Player]])*$M$2:$M$131),0)+IFERROR(SUMPRODUCT(($D$2:$D$131=YEar9Table[[#This Row],[Player]])*$M$2:$M$131),0)+IFERROR(SUMPRODUCT(($E$2:$E$131=YEar9Table[[#This Row],[Player]])*$M$2:$M$131),0)+IFERROR(SUMPRODUCT(($F$2:$F$131=YEar9Table[[#This Row],[Player]])*$M$2:$M$131),0)</f>
        <v>31</v>
      </c>
      <c r="AP19" s="1">
        <f>YEar9Table[[#This Row],[Wins in Stacks]]+YEar9Table[[#This Row],[Losses in Stacks]]</f>
        <v>58</v>
      </c>
      <c r="AQ19" s="3">
        <f>IFERROR(YEar9Table[[#This Row],[Wins in Stacks]]/YEar9Table[[#This Row],[Total Games In Stacks]],0)</f>
        <v>0.46551724137931033</v>
      </c>
      <c r="AR19" s="75">
        <v>0.65</v>
      </c>
      <c r="AS19" s="21">
        <v>3</v>
      </c>
      <c r="AT19" s="20" cm="1">
        <f t="array" ref="AT19">(YEar9Table[[#This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-1.4166326105718743</v>
      </c>
      <c r="AU19" s="1"/>
      <c r="AV19" s="12"/>
      <c r="AW19" s="12"/>
      <c r="AX19" s="1"/>
      <c r="AY19" s="25">
        <f>SUM(YEar9Table[Attack K/D])/COUNTIF(YEar9Table[Attack K/D],"&gt;0")</f>
        <v>0.90616425806451628</v>
      </c>
      <c r="AZ19" s="25">
        <f>SUM(YEar9Table[Defense K/D])/COUNTIF(YEar9Table[Defense K/D],"&gt;0")</f>
        <v>1.0341740161290323</v>
      </c>
      <c r="BA19" s="12">
        <f>SUM(YEar9Table[Attack KOST])/COUNTIF(YEar9Table[Attack KOST],"&gt;0")</f>
        <v>53.191951935483885</v>
      </c>
      <c r="BB19" s="12">
        <f>SUM(YEar9Table[Defense KOST])/COUNTIF(YEar9Table[Defense KOST],"&gt;0")</f>
        <v>58.578341935483877</v>
      </c>
      <c r="BC19" s="3">
        <f>SUM(YEar9Table[Attack Win%])/COUNTIF(YEar9Table[Attack Win%],"&gt;0")</f>
        <v>0.4252868188796497</v>
      </c>
      <c r="BD19" s="3">
        <f>SUM(YEar9Table[Defense Win%])/COUNTIF(YEar9Table[Defense Win%],"&gt;0")</f>
        <v>0.58555112891007044</v>
      </c>
      <c r="BE19" s="3">
        <f>SUM(YEar9Table[Ranked Win%])/COUNTIF(YEar9Table[Ranked Win%],"&gt;0")</f>
        <v>0.49563962584349508</v>
      </c>
      <c r="BF19" s="3">
        <f>SUM(YEar9Table[Win% in Stack])/COUNTIF(YEar9Table[Total Games In Stacks],"&gt;0")</f>
        <v>0.57653910021888344</v>
      </c>
      <c r="BG19" s="3">
        <f>AVERAGE(YEar9Table[Comm''s %])</f>
        <v>0.40555555555555561</v>
      </c>
      <c r="BH19" s="25">
        <f>AVERAGE(YEar9Table[Selfish  1-5])</f>
        <v>3.5111111111111111</v>
      </c>
      <c r="BI19" s="12">
        <f>AVERAGE(YEar9Table[+/- Average])</f>
        <v>-11.073934346802524</v>
      </c>
      <c r="BJ19" s="25">
        <f>SUM(YEar9Table[Total Games In Stacks])</f>
        <v>1047</v>
      </c>
      <c r="BK19" s="25">
        <f>AVERAGE(YEar9Table[Total Games In Stacks])</f>
        <v>23.266666666666666</v>
      </c>
    </row>
    <row r="20" spans="1:63">
      <c r="A20" s="156" t="str">
        <f>_xlfn.TEXTJOIN(",",TRUE,_xlfn._xlws.SORT(_xlfn.TEXTSPLIT(_xlfn.TEXTJOIN(",",TRUE,_xlfn._xlws.SORT($B20:$F20, 1, -1, FALSE)),"WWWWW",",")))</f>
        <v>Blade2420,Chromius.TAMU,Elyidian,Galahad21588,Glonk.MB</v>
      </c>
      <c r="B20" s="153" t="s">
        <v>77</v>
      </c>
      <c r="C20" s="153" t="s">
        <v>162</v>
      </c>
      <c r="D20" s="165" t="s">
        <v>96</v>
      </c>
      <c r="E20" s="165" t="s">
        <v>113</v>
      </c>
      <c r="F20" s="159" t="s">
        <v>234</v>
      </c>
      <c r="G20" s="154" t="str">
        <f>IFERROR(VLOOKUP(Y9S1[[#This Row],[Player 1]],YEar9Table[],2,FALSE),0)</f>
        <v>TIER 1</v>
      </c>
      <c r="H20" s="153" t="str">
        <f>IFERROR(VLOOKUP(Y9S1[[#This Row],[Player 2]],YEar9Table[],2,FALSE),"")</f>
        <v>TIER 2</v>
      </c>
      <c r="I20" s="153" t="str">
        <f>IFERROR(VLOOKUP(Y9S1[[#This Row],[Player 3]],YEar9Table[],2,FALSE),"")</f>
        <v>TIER 3</v>
      </c>
      <c r="J20" s="153" t="str">
        <f>IFERROR(VLOOKUP(Y9S1[[#This Row],[Player 4]],YEar9Table[],2,FALSE),"")</f>
        <v>TIER 6</v>
      </c>
      <c r="K20" s="159" t="str">
        <f>IFERROR(VLOOKUP(Y9S1[[#This Row],[Player 5]],YEar9Table[],2,FALSE),"")</f>
        <v>TIER 8</v>
      </c>
      <c r="L20" s="40">
        <v>1</v>
      </c>
      <c r="M20" s="40"/>
      <c r="N20" s="40">
        <f>$L20+$M20</f>
        <v>1</v>
      </c>
      <c r="O20" s="51">
        <f>IFERROR(L20/(M20+L20),0)</f>
        <v>1</v>
      </c>
      <c r="P20" s="103">
        <f>(((Y9S1[[#This Row],[Wins]]*1.3)-Y9S1[[#This Row],[Losses]])/SUM(Y9S1[Games Played]))*10</f>
        <v>4.980842911877395E-2</v>
      </c>
      <c r="Q20" s="182"/>
      <c r="R20"/>
      <c r="T20"/>
      <c r="U20" s="1" t="str">
        <f>YEar9Table[[#This Row],[Player]]</f>
        <v>Strugg1er.</v>
      </c>
      <c r="V20" s="1" t="str">
        <f>IF(AT20&gt;7.5, "TIER 1",
IF(AT20&gt;6.5, "TIER 2",
IF(AT20&gt;5.5, "TIER 3",
IF(AT20&gt;4.5, "TIER 4",
IF(AT20&gt;3.5, "TIER 5",
IF(AT20&gt;2,  "TIER 6",
IF(AT20&gt;0,  "TIER 7",
"TIER 8")))))))</f>
        <v>TIER 8</v>
      </c>
      <c r="W20" s="1" t="s">
        <v>110</v>
      </c>
      <c r="X20" s="8" t="s">
        <v>111</v>
      </c>
      <c r="Y20" s="8">
        <f>VLOOKUP(YEar9Table[[#This Row],[Player]],ImportTable15[],2,FALSE)</f>
        <v>1.035714</v>
      </c>
      <c r="Z20" s="8">
        <f>VLOOKUP(YEar9Table[[#This Row],[Player]],ImportTable15[],3,FALSE)</f>
        <v>1.357143</v>
      </c>
      <c r="AA20" s="8">
        <f>VLOOKUP(YEar9Table[[#This Row],[Player]],ImportTable15[],4,FALSE)</f>
        <v>125</v>
      </c>
      <c r="AB20" s="8">
        <f>VLOOKUP(YEar9Table[[#This Row],[Player]],ImportTable15[],5,FALSE)</f>
        <v>206</v>
      </c>
      <c r="AC20" s="8">
        <f>VLOOKUP(YEar9Table[[#This Row],[Player]],ImportTable15[],6,FALSE)</f>
        <v>196</v>
      </c>
      <c r="AD20" s="8">
        <f>VLOOKUP(YEar9Table[[#This Row],[Player]],ImportTable15[],7,FALSE)</f>
        <v>127</v>
      </c>
      <c r="AE20" s="77">
        <f>VLOOKUP(YEar9Table[[#This Row],[Player]],ImportTable15[],8,FALSE)</f>
        <v>60.464440000000003</v>
      </c>
      <c r="AF20" s="77">
        <f>VLOOKUP(YEar9Table[[#This Row],[Player]],ImportTable15[],9,FALSE)</f>
        <v>70.633750000000006</v>
      </c>
      <c r="AG20" s="8">
        <f>VLOOKUP(YEar9Table[[#This Row],[Player]],ImportTable15[],10,FALSE)</f>
        <v>54</v>
      </c>
      <c r="AH20" s="8">
        <f>VLOOKUP(YEar9Table[[#This Row],[Player]],ImportTable15[],11,FALSE)</f>
        <v>53</v>
      </c>
      <c r="AI20" s="8" t="str">
        <f>IF(YEar9Table[[#This Row],[Ranked Wins]]=YEar9Table[[#This Row],[Wins in Stacks]],"Y","N")</f>
        <v>N</v>
      </c>
      <c r="AJ20" s="8" t="str">
        <f>IF(YEar9Table[[#This Row],[Ranked Losses]]=YEar9Table[[#This Row],[Losses in Stacks]],"Y","N")</f>
        <v>N</v>
      </c>
      <c r="AK20" s="3">
        <f>IFERROR(YEar9Table[[#This Row],[Ranked Wins]]/(YEar9Table[[#This Row],[Ranked Wins]]+YEar9Table[[#This Row],[Ranked Losses]]),0)</f>
        <v>0.50467289719626163</v>
      </c>
      <c r="AL20" s="3">
        <f>IFERROR(YEar9Table[[#This Row],[Attack Wins]]/(YEar9Table[[#This Row],[Attack Wins]]+YEar9Table[[#This Row],[Attack Losses]]),0)</f>
        <v>0.37764350453172207</v>
      </c>
      <c r="AM20" s="3">
        <f>IFERROR(YEar9Table[[#This Row],[Defense Wins]]/(YEar9Table[[#This Row],[Defense Wins]]+YEar9Table[[#This Row],[Defense Losses]]),0)</f>
        <v>0.60681114551083593</v>
      </c>
      <c r="AN20" s="1" cm="1">
        <f t="array" ref="AN20">IFERROR(SUMPRODUCT(($B$2:$B$131=YEar9Table[[#This Row],[Player]])*$L$2:$L$131),0)+IFERROR(SUMPRODUCT(($C$2:$C$131=YEar9Table[[#This Row],[Player]])*$L$2:$L$131),0)+IFERROR(SUMPRODUCT(($E$2:$E$131=YEar9Table[[#This Row],[Player]])*$L$2:$L$131),0)+IFERROR(SUMPRODUCT(($D$2:$D$131=YEar9Table[[#This Row],[Player]])*$L$2:$L$131),0)+IFERROR(SUMPRODUCT(($F$2:$F$131=YEar9Table[[#This Row],[Player]])*$L$2:$L$131),0)</f>
        <v>9</v>
      </c>
      <c r="AO20" s="1" cm="1">
        <f t="array" ref="AO20">IFERROR(SUMPRODUCT(($B$2:$B$131=YEar9Table[[#This Row],[Player]])*$M$2:$M$131),0)+IFERROR(SUMPRODUCT(($C$2:$C$131=YEar9Table[[#This Row],[Player]])*$M$2:$M$131),0)+IFERROR(SUMPRODUCT(($D$2:$D$131=YEar9Table[[#This Row],[Player]])*$M$2:$M$131),0)+IFERROR(SUMPRODUCT(($E$2:$E$131=YEar9Table[[#This Row],[Player]])*$M$2:$M$131),0)+IFERROR(SUMPRODUCT(($F$2:$F$131=YEar9Table[[#This Row],[Player]])*$M$2:$M$131),0)</f>
        <v>10</v>
      </c>
      <c r="AP20" s="1">
        <f>YEar9Table[[#This Row],[Wins in Stacks]]+YEar9Table[[#This Row],[Losses in Stacks]]</f>
        <v>19</v>
      </c>
      <c r="AQ20" s="3">
        <f>IFERROR(YEar9Table[[#This Row],[Wins in Stacks]]/YEar9Table[[#This Row],[Total Games In Stacks]],0)</f>
        <v>0.47368421052631576</v>
      </c>
      <c r="AR20" s="75">
        <v>0.2</v>
      </c>
      <c r="AS20" s="21">
        <v>4</v>
      </c>
      <c r="AT20" s="20" cm="1">
        <f t="array" ref="AT20">(YEar9Table[[#This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-2.3897341635300777</v>
      </c>
      <c r="AU20" s="1"/>
      <c r="AV20" s="12"/>
      <c r="AW20" s="12"/>
      <c r="AX20" s="1"/>
      <c r="AY20" s="1"/>
      <c r="AZ20" s="1"/>
      <c r="BA20" s="1"/>
      <c r="BB20" s="1"/>
    </row>
    <row r="21" spans="1:63">
      <c r="A21" s="156" t="str">
        <f>_xlfn.TEXTJOIN(",",TRUE,_xlfn._xlws.SORT(_xlfn.TEXTSPLIT(_xlfn.TEXTJOIN(",",TRUE,_xlfn._xlws.SORT($B21:$F21, 1, -1, FALSE)),"WWWWW",",")))</f>
        <v>Chromius.TAMU,Fallen.Rqnger,Glonk.MB,PincheConcha,TexAg21</v>
      </c>
      <c r="B21" s="153" t="s">
        <v>77</v>
      </c>
      <c r="C21" s="153" t="s">
        <v>162</v>
      </c>
      <c r="D21" s="165" t="s">
        <v>188</v>
      </c>
      <c r="E21" s="165" t="s">
        <v>86</v>
      </c>
      <c r="F21" s="159" t="s">
        <v>91</v>
      </c>
      <c r="G21" s="154" t="str">
        <f>IFERROR(VLOOKUP(Y9S1[[#This Row],[Player 1]],YEar9Table[],2,FALSE),0)</f>
        <v>TIER 1</v>
      </c>
      <c r="H21" s="153" t="str">
        <f>IFERROR(VLOOKUP(Y9S1[[#This Row],[Player 2]],YEar9Table[],2,FALSE),"")</f>
        <v>TIER 2</v>
      </c>
      <c r="I21" s="153" t="str">
        <f>IFERROR(VLOOKUP(Y9S1[[#This Row],[Player 3]],YEar9Table[],2,FALSE),"")</f>
        <v>TIER 8</v>
      </c>
      <c r="J21" s="153" t="str">
        <f>IFERROR(VLOOKUP(Y9S1[[#This Row],[Player 4]],YEar9Table[],2,FALSE),"")</f>
        <v>TIER 7</v>
      </c>
      <c r="K21" s="159" t="str">
        <f>IFERROR(VLOOKUP(Y9S1[[#This Row],[Player 5]],YEar9Table[],2,FALSE),"")</f>
        <v>TIER 3</v>
      </c>
      <c r="L21" s="40">
        <v>1</v>
      </c>
      <c r="M21" s="40">
        <v>0</v>
      </c>
      <c r="N21" s="40">
        <f>$L21+$M21</f>
        <v>1</v>
      </c>
      <c r="O21" s="51">
        <f>IFERROR(L21/(M21+L21),0)</f>
        <v>1</v>
      </c>
      <c r="P21" s="103">
        <f>(((Y9S1[[#This Row],[Wins]]*1.3)-Y9S1[[#This Row],[Losses]])/SUM(Y9S1[Games Played]))*10</f>
        <v>4.980842911877395E-2</v>
      </c>
      <c r="Q21" s="182"/>
      <c r="R21"/>
      <c r="T21"/>
      <c r="U21" s="1" t="str">
        <f>YEar9Table[[#This Row],[Player]]</f>
        <v>Mason10_10</v>
      </c>
      <c r="V21" s="1" t="str">
        <f>IF(AT21&gt;7.5, "TIER 1",
IF(AT21&gt;6.5, "TIER 2",
IF(AT21&gt;5.5, "TIER 3",
IF(AT21&gt;4.5, "TIER 4",
IF(AT21&gt;3.5, "TIER 5",
IF(AT21&gt;2,  "TIER 6",
IF(AT21&gt;0,  "TIER 7",
"TIER 8")))))))</f>
        <v>TIER 8</v>
      </c>
      <c r="W21" s="1" t="s">
        <v>114</v>
      </c>
      <c r="X21" s="8" t="s">
        <v>115</v>
      </c>
      <c r="Y21" s="8">
        <f>VLOOKUP(YEar9Table[[#This Row],[Player]],ImportTable15[],2,FALSE)</f>
        <v>0.74026000000000003</v>
      </c>
      <c r="Z21" s="8">
        <f>VLOOKUP(YEar9Table[[#This Row],[Player]],ImportTable15[],3,FALSE)</f>
        <v>0.90476199999999996</v>
      </c>
      <c r="AA21" s="8">
        <f>VLOOKUP(YEar9Table[[#This Row],[Player]],ImportTable15[],4,FALSE)</f>
        <v>63</v>
      </c>
      <c r="AB21" s="8">
        <f>VLOOKUP(YEar9Table[[#This Row],[Player]],ImportTable15[],5,FALSE)</f>
        <v>53</v>
      </c>
      <c r="AC21" s="8">
        <f>VLOOKUP(YEar9Table[[#This Row],[Player]],ImportTable15[],6,FALSE)</f>
        <v>56</v>
      </c>
      <c r="AD21" s="8">
        <f>VLOOKUP(YEar9Table[[#This Row],[Player]],ImportTable15[],7,FALSE)</f>
        <v>47</v>
      </c>
      <c r="AE21" s="77">
        <f>VLOOKUP(YEar9Table[[#This Row],[Player]],ImportTable15[],8,FALSE)</f>
        <v>53.976669999999999</v>
      </c>
      <c r="AF21" s="77">
        <f>VLOOKUP(YEar9Table[[#This Row],[Player]],ImportTable15[],9,FALSE)</f>
        <v>66.67</v>
      </c>
      <c r="AG21" s="8">
        <f>VLOOKUP(YEar9Table[[#This Row],[Player]],ImportTable15[],10,FALSE)</f>
        <v>19</v>
      </c>
      <c r="AH21" s="8">
        <f>VLOOKUP(YEar9Table[[#This Row],[Player]],ImportTable15[],11,FALSE)</f>
        <v>25</v>
      </c>
      <c r="AI21" s="8" t="str">
        <f>IF(YEar9Table[[#This Row],[Ranked Wins]]=YEar9Table[[#This Row],[Wins in Stacks]],"Y","N")</f>
        <v>N</v>
      </c>
      <c r="AJ21" s="8" t="str">
        <f>IF(YEar9Table[[#This Row],[Ranked Losses]]=YEar9Table[[#This Row],[Losses in Stacks]],"Y","N")</f>
        <v>N</v>
      </c>
      <c r="AK21" s="3">
        <f>IFERROR(YEar9Table[[#This Row],[Ranked Wins]]/(YEar9Table[[#This Row],[Ranked Wins]]+YEar9Table[[#This Row],[Ranked Losses]]),0)</f>
        <v>0.43181818181818182</v>
      </c>
      <c r="AL21" s="3">
        <f>IFERROR(YEar9Table[[#This Row],[Attack Wins]]/(YEar9Table[[#This Row],[Attack Wins]]+YEar9Table[[#This Row],[Attack Losses]]),0)</f>
        <v>0.5431034482758621</v>
      </c>
      <c r="AM21" s="3">
        <f>IFERROR(YEar9Table[[#This Row],[Defense Wins]]/(YEar9Table[[#This Row],[Defense Wins]]+YEar9Table[[#This Row],[Defense Losses]]),0)</f>
        <v>0.5436893203883495</v>
      </c>
      <c r="AN21" s="1" cm="1">
        <f t="array" ref="AN21">IFERROR(SUMPRODUCT(($B$2:$B$131=YEar9Table[[#This Row],[Player]])*$L$2:$L$131),0)+IFERROR(SUMPRODUCT(($C$2:$C$131=YEar9Table[[#This Row],[Player]])*$L$2:$L$131),0)+IFERROR(SUMPRODUCT(($E$2:$E$131=YEar9Table[[#This Row],[Player]])*$L$2:$L$131),0)+IFERROR(SUMPRODUCT(($D$2:$D$131=YEar9Table[[#This Row],[Player]])*$L$2:$L$131),0)+IFERROR(SUMPRODUCT(($F$2:$F$131=YEar9Table[[#This Row],[Player]])*$L$2:$L$131),0)</f>
        <v>2</v>
      </c>
      <c r="AO21" s="1" cm="1">
        <f t="array" ref="AO21">IFERROR(SUMPRODUCT(($B$2:$B$131=YEar9Table[[#This Row],[Player]])*$M$2:$M$131),0)+IFERROR(SUMPRODUCT(($C$2:$C$131=YEar9Table[[#This Row],[Player]])*$M$2:$M$131),0)+IFERROR(SUMPRODUCT(($D$2:$D$131=YEar9Table[[#This Row],[Player]])*$M$2:$M$131),0)+IFERROR(SUMPRODUCT(($E$2:$E$131=YEar9Table[[#This Row],[Player]])*$M$2:$M$131),0)+IFERROR(SUMPRODUCT(($F$2:$F$131=YEar9Table[[#This Row],[Player]])*$M$2:$M$131),0)</f>
        <v>4</v>
      </c>
      <c r="AP21" s="1">
        <f>YEar9Table[[#This Row],[Wins in Stacks]]+YEar9Table[[#This Row],[Losses in Stacks]]</f>
        <v>6</v>
      </c>
      <c r="AQ21" s="3">
        <f>IFERROR(YEar9Table[[#This Row],[Wins in Stacks]]/YEar9Table[[#This Row],[Total Games In Stacks]],0)</f>
        <v>0.33333333333333331</v>
      </c>
      <c r="AR21" s="75">
        <v>0.3</v>
      </c>
      <c r="AS21" s="74">
        <v>1</v>
      </c>
      <c r="AT21" s="20" cm="1">
        <f t="array" ref="AT21">(YEar9Table[[#This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-2.6949046749539898</v>
      </c>
      <c r="AU21" s="1"/>
      <c r="AV21" s="12"/>
      <c r="AW21" s="12"/>
      <c r="AX21" s="1"/>
      <c r="AY21" s="1"/>
      <c r="AZ21" s="1"/>
      <c r="BA21" s="1"/>
      <c r="BB21" s="1"/>
    </row>
    <row r="22" spans="1:63">
      <c r="A22" s="156" t="str">
        <f>_xlfn.TEXTJOIN(",",TRUE,_xlfn._xlws.SORT(_xlfn.TEXTSPLIT(_xlfn.TEXTJOIN(",",TRUE,_xlfn._xlws.SORT($B22:$F22, 1, -1, FALSE)),"WWWWW",",")))</f>
        <v>Chromius.TAMU,Glonk.MB,Jamato33,PincheConcha,TexAg21</v>
      </c>
      <c r="B22" s="153" t="s">
        <v>77</v>
      </c>
      <c r="C22" s="153" t="s">
        <v>162</v>
      </c>
      <c r="D22" s="165" t="s">
        <v>188</v>
      </c>
      <c r="E22" s="186" t="s">
        <v>233</v>
      </c>
      <c r="F22" s="159" t="s">
        <v>91</v>
      </c>
      <c r="G22" s="154" t="str">
        <f>IFERROR(VLOOKUP(Y9S1[[#This Row],[Player 1]],YEar9Table[],2,FALSE),0)</f>
        <v>TIER 1</v>
      </c>
      <c r="H22" s="153" t="str">
        <f>IFERROR(VLOOKUP(Y9S1[[#This Row],[Player 2]],YEar9Table[],2,FALSE),"")</f>
        <v>TIER 2</v>
      </c>
      <c r="I22" s="153" t="str">
        <f>IFERROR(VLOOKUP(Y9S1[[#This Row],[Player 3]],YEar9Table[],2,FALSE),"")</f>
        <v>TIER 8</v>
      </c>
      <c r="J22" s="153" t="str">
        <f>IFERROR(VLOOKUP(Y9S1[[#This Row],[Player 4]],YEar9Table[],2,FALSE),"")</f>
        <v>TIER 5</v>
      </c>
      <c r="K22" s="159" t="str">
        <f>IFERROR(VLOOKUP(Y9S1[[#This Row],[Player 5]],YEar9Table[],2,FALSE),"")</f>
        <v>TIER 3</v>
      </c>
      <c r="L22" s="40">
        <v>1</v>
      </c>
      <c r="M22" s="40">
        <v>0</v>
      </c>
      <c r="N22" s="40">
        <f>$L22+$M22</f>
        <v>1</v>
      </c>
      <c r="O22" s="51">
        <f>IFERROR(L22/(M22+L22),0)</f>
        <v>1</v>
      </c>
      <c r="P22" s="103">
        <f>(((Y9S1[[#This Row],[Wins]]*1.3)-Y9S1[[#This Row],[Losses]])/SUM(Y9S1[Games Played]))*10</f>
        <v>4.980842911877395E-2</v>
      </c>
      <c r="Q22" s="182"/>
      <c r="R22"/>
      <c r="T22"/>
      <c r="U22" s="1" t="str">
        <f>YEar9Table[[#This Row],[Player]]</f>
        <v>Scamped.</v>
      </c>
      <c r="V22" s="1" t="str">
        <f>IF(AT22&gt;7.5, "TIER 1",
IF(AT22&gt;6.5, "TIER 2",
IF(AT22&gt;5.5, "TIER 3",
IF(AT22&gt;4.5, "TIER 4",
IF(AT22&gt;3.5, "TIER 5",
IF(AT22&gt;2,  "TIER 6",
IF(AT22&gt;0,  "TIER 7",
"TIER 8")))))))</f>
        <v>TIER 8</v>
      </c>
      <c r="W22" s="1" t="s">
        <v>245</v>
      </c>
      <c r="X22" s="1" t="s">
        <v>245</v>
      </c>
      <c r="Y22" s="8">
        <f>VLOOKUP(YEar9Table[[#This Row],[Player]],ImportTable15[],2,FALSE)</f>
        <v>1.121429</v>
      </c>
      <c r="Z22" s="8">
        <f>VLOOKUP(YEar9Table[[#This Row],[Player]],ImportTable15[],3,FALSE)</f>
        <v>1.3919999999999999</v>
      </c>
      <c r="AA22" s="8">
        <f>VLOOKUP(YEar9Table[[#This Row],[Player]],ImportTable15[],4,FALSE)</f>
        <v>169</v>
      </c>
      <c r="AB22" s="8">
        <f>VLOOKUP(YEar9Table[[#This Row],[Player]],ImportTable15[],5,FALSE)</f>
        <v>250</v>
      </c>
      <c r="AC22" s="8">
        <f>VLOOKUP(YEar9Table[[#This Row],[Player]],ImportTable15[],6,FALSE)</f>
        <v>251</v>
      </c>
      <c r="AD22" s="8">
        <f>VLOOKUP(YEar9Table[[#This Row],[Player]],ImportTable15[],7,FALSE)</f>
        <v>158</v>
      </c>
      <c r="AE22" s="77">
        <f>VLOOKUP(YEar9Table[[#This Row],[Player]],ImportTable15[],8,FALSE)</f>
        <v>50.12321</v>
      </c>
      <c r="AF22" s="77">
        <f>VLOOKUP(YEar9Table[[#This Row],[Player]],ImportTable15[],9,FALSE)</f>
        <v>65.539670000000001</v>
      </c>
      <c r="AG22" s="8">
        <f>VLOOKUP(YEar9Table[[#This Row],[Player]],ImportTable15[],10,FALSE)</f>
        <v>77</v>
      </c>
      <c r="AH22" s="8">
        <f>VLOOKUP(YEar9Table[[#This Row],[Player]],ImportTable15[],11,FALSE)</f>
        <v>80</v>
      </c>
      <c r="AI22" s="8" t="str">
        <f>IF(YEar9Table[[#This Row],[Ranked Wins]]=YEar9Table[[#This Row],[Wins in Stacks]],"Y","N")</f>
        <v>N</v>
      </c>
      <c r="AJ22" s="8" t="str">
        <f>IF(YEar9Table[[#This Row],[Ranked Losses]]=YEar9Table[[#This Row],[Losses in Stacks]],"Y","N")</f>
        <v>N</v>
      </c>
      <c r="AK22" s="3">
        <f>IFERROR(YEar9Table[[#This Row],[Ranked Wins]]/(YEar9Table[[#This Row],[Ranked Wins]]+YEar9Table[[#This Row],[Ranked Losses]]),0)</f>
        <v>0.49044585987261147</v>
      </c>
      <c r="AL22" s="3">
        <f>IFERROR(YEar9Table[[#This Row],[Attack Wins]]/(YEar9Table[[#This Row],[Attack Wins]]+YEar9Table[[#This Row],[Attack Losses]]),0)</f>
        <v>0.40334128878281622</v>
      </c>
      <c r="AM22" s="3">
        <f>IFERROR(YEar9Table[[#This Row],[Defense Wins]]/(YEar9Table[[#This Row],[Defense Wins]]+YEar9Table[[#This Row],[Defense Losses]]),0)</f>
        <v>0.61369193154034229</v>
      </c>
      <c r="AN22" s="1" cm="1">
        <f t="array" ref="AN22">IFERROR(SUMPRODUCT(($B$2:$B$131=YEar9Table[[#This Row],[Player]])*$L$2:$L$131),0)+IFERROR(SUMPRODUCT(($C$2:$C$131=YEar9Table[[#This Row],[Player]])*$L$2:$L$131),0)+IFERROR(SUMPRODUCT(($E$2:$E$131=YEar9Table[[#This Row],[Player]])*$L$2:$L$131),0)+IFERROR(SUMPRODUCT(($D$2:$D$131=YEar9Table[[#This Row],[Player]])*$L$2:$L$131),0)+IFERROR(SUMPRODUCT(($F$2:$F$131=YEar9Table[[#This Row],[Player]])*$L$2:$L$131),0)</f>
        <v>2</v>
      </c>
      <c r="AO22" s="1" cm="1">
        <f t="array" ref="AO22">IFERROR(SUMPRODUCT(($B$2:$B$131=YEar9Table[[#This Row],[Player]])*$M$2:$M$131),0)+IFERROR(SUMPRODUCT(($C$2:$C$131=YEar9Table[[#This Row],[Player]])*$M$2:$M$131),0)+IFERROR(SUMPRODUCT(($D$2:$D$131=YEar9Table[[#This Row],[Player]])*$M$2:$M$131),0)+IFERROR(SUMPRODUCT(($E$2:$E$131=YEar9Table[[#This Row],[Player]])*$M$2:$M$131),0)+IFERROR(SUMPRODUCT(($F$2:$F$131=YEar9Table[[#This Row],[Player]])*$M$2:$M$131),0)</f>
        <v>3</v>
      </c>
      <c r="AP22" s="1">
        <f>YEar9Table[[#This Row],[Wins in Stacks]]+YEar9Table[[#This Row],[Losses in Stacks]]</f>
        <v>5</v>
      </c>
      <c r="AQ22" s="3">
        <f>IFERROR(YEar9Table[[#This Row],[Wins in Stacks]]/YEar9Table[[#This Row],[Total Games In Stacks]],0)</f>
        <v>0.4</v>
      </c>
      <c r="AR22" s="75">
        <v>0.3</v>
      </c>
      <c r="AS22" s="21">
        <v>3</v>
      </c>
      <c r="AT22" s="20" cm="1">
        <f t="array" ref="AT22">(YEar9Table[[#This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-3.1028620444868906</v>
      </c>
      <c r="AU22" s="1"/>
      <c r="AV22" s="12"/>
      <c r="AW22" s="12"/>
      <c r="AX22" s="1"/>
      <c r="AY22" s="1"/>
      <c r="AZ22" s="1"/>
      <c r="BA22" s="1"/>
      <c r="BB22" s="1"/>
      <c r="BC22" s="1"/>
    </row>
    <row r="23" spans="1:63">
      <c r="A23" s="156" t="str">
        <f>_xlfn.TEXTJOIN(",",TRUE,_xlfn._xlws.SORT(_xlfn.TEXTSPLIT(_xlfn.TEXTJOIN(",",TRUE,_xlfn._xlws.SORT($B23:$F23, 1, -1, FALSE)),"WWWWW",",")))</f>
        <v>Chromius.TAMU,Galahad21588,Glonk.MB,Jamato33</v>
      </c>
      <c r="B23" s="153" t="s">
        <v>77</v>
      </c>
      <c r="C23" s="153" t="s">
        <v>162</v>
      </c>
      <c r="D23" s="165" t="s">
        <v>96</v>
      </c>
      <c r="E23" s="186" t="s">
        <v>233</v>
      </c>
      <c r="F23" s="159"/>
      <c r="G23" s="154" t="str">
        <f>IFERROR(VLOOKUP(Y9S1[[#This Row],[Player 1]],YEar9Table[],2,FALSE),0)</f>
        <v>TIER 1</v>
      </c>
      <c r="H23" s="153" t="str">
        <f>IFERROR(VLOOKUP(Y9S1[[#This Row],[Player 2]],YEar9Table[],2,FALSE),"")</f>
        <v>TIER 2</v>
      </c>
      <c r="I23" s="153" t="str">
        <f>IFERROR(VLOOKUP(Y9S1[[#This Row],[Player 3]],YEar9Table[],2,FALSE),"")</f>
        <v>TIER 3</v>
      </c>
      <c r="J23" s="153" t="str">
        <f>IFERROR(VLOOKUP(Y9S1[[#This Row],[Player 4]],YEar9Table[],2,FALSE),"")</f>
        <v>TIER 5</v>
      </c>
      <c r="K23" s="159" t="str">
        <f>IFERROR(VLOOKUP(Y9S1[[#This Row],[Player 5]],YEar9Table[],2,FALSE),"")</f>
        <v/>
      </c>
      <c r="L23" s="40">
        <v>1</v>
      </c>
      <c r="M23" s="40">
        <v>0</v>
      </c>
      <c r="N23" s="40">
        <f>$L23+$M23</f>
        <v>1</v>
      </c>
      <c r="O23" s="51">
        <f>IFERROR(L23/(M23+L23),0)</f>
        <v>1</v>
      </c>
      <c r="P23" s="103">
        <f>(((Y9S1[[#This Row],[Wins]]*1.3)-Y9S1[[#This Row],[Losses]])/SUM(Y9S1[Games Played]))*10</f>
        <v>4.980842911877395E-2</v>
      </c>
      <c r="Q23" s="182"/>
      <c r="R23"/>
      <c r="S23" s="1"/>
      <c r="T23" s="1"/>
      <c r="U23" s="1" t="str">
        <f>YEar9Table[[#This Row],[Player]]</f>
        <v>Boomerjet123</v>
      </c>
      <c r="V23" s="1" t="str">
        <f>IF(AT23&gt;7.5, "TIER 1",
IF(AT23&gt;6.5, "TIER 2",
IF(AT23&gt;5.5, "TIER 3",
IF(AT23&gt;4.5, "TIER 4",
IF(AT23&gt;3.5, "TIER 5",
IF(AT23&gt;2,  "TIER 6",
IF(AT23&gt;0,  "TIER 7",
"TIER 8")))))))</f>
        <v>TIER 8</v>
      </c>
      <c r="W23" s="1" t="s">
        <v>108</v>
      </c>
      <c r="X23" s="8" t="s">
        <v>109</v>
      </c>
      <c r="Y23" s="8">
        <f>VLOOKUP(YEar9Table[[#This Row],[Player]],ImportTable15[],2,FALSE)</f>
        <v>0.61538499999999996</v>
      </c>
      <c r="Z23" s="8">
        <f>VLOOKUP(YEar9Table[[#This Row],[Player]],ImportTable15[],3,FALSE)</f>
        <v>0.43055599999999999</v>
      </c>
      <c r="AA23" s="8">
        <f>VLOOKUP(YEar9Table[[#This Row],[Player]],ImportTable15[],4,FALSE)</f>
        <v>43</v>
      </c>
      <c r="AB23" s="8">
        <f>VLOOKUP(YEar9Table[[#This Row],[Player]],ImportTable15[],5,FALSE)</f>
        <v>57</v>
      </c>
      <c r="AC23" s="8">
        <f>VLOOKUP(YEar9Table[[#This Row],[Player]],ImportTable15[],6,FALSE)</f>
        <v>53</v>
      </c>
      <c r="AD23" s="8">
        <f>VLOOKUP(YEar9Table[[#This Row],[Player]],ImportTable15[],7,FALSE)</f>
        <v>39</v>
      </c>
      <c r="AE23" s="77">
        <f>VLOOKUP(YEar9Table[[#This Row],[Player]],ImportTable15[],8,FALSE)</f>
        <v>36.272219999999997</v>
      </c>
      <c r="AF23" s="77">
        <f>VLOOKUP(YEar9Table[[#This Row],[Player]],ImportTable15[],9,FALSE)</f>
        <v>46.745710000000003</v>
      </c>
      <c r="AG23" s="8">
        <f>VLOOKUP(YEar9Table[[#This Row],[Player]],ImportTable15[],10,FALSE)</f>
        <v>20</v>
      </c>
      <c r="AH23" s="8">
        <f>VLOOKUP(YEar9Table[[#This Row],[Player]],ImportTable15[],11,FALSE)</f>
        <v>17</v>
      </c>
      <c r="AI23" s="8" t="str">
        <f>IF(YEar9Table[[#This Row],[Ranked Wins]]=YEar9Table[[#This Row],[Wins in Stacks]],"Y","N")</f>
        <v>N</v>
      </c>
      <c r="AJ23" s="8" t="str">
        <f>IF(YEar9Table[[#This Row],[Ranked Losses]]=YEar9Table[[#This Row],[Losses in Stacks]],"Y","N")</f>
        <v>N</v>
      </c>
      <c r="AK23" s="3">
        <f>IFERROR(YEar9Table[[#This Row],[Ranked Wins]]/(YEar9Table[[#This Row],[Ranked Wins]]+YEar9Table[[#This Row],[Ranked Losses]]),0)</f>
        <v>0.54054054054054057</v>
      </c>
      <c r="AL23" s="3">
        <f>IFERROR(YEar9Table[[#This Row],[Attack Wins]]/(YEar9Table[[#This Row],[Attack Wins]]+YEar9Table[[#This Row],[Attack Losses]]),0)</f>
        <v>0.43</v>
      </c>
      <c r="AM23" s="3">
        <f>IFERROR(YEar9Table[[#This Row],[Defense Wins]]/(YEar9Table[[#This Row],[Defense Wins]]+YEar9Table[[#This Row],[Defense Losses]]),0)</f>
        <v>0.57608695652173914</v>
      </c>
      <c r="AN23" s="1" cm="1">
        <f t="array" ref="AN23">IFERROR(SUMPRODUCT(($B$2:$B$131=YEar9Table[[#This Row],[Player]])*$L$2:$L$131),0)+IFERROR(SUMPRODUCT(($C$2:$C$131=YEar9Table[[#This Row],[Player]])*$L$2:$L$131),0)+IFERROR(SUMPRODUCT(($E$2:$E$131=YEar9Table[[#This Row],[Player]])*$L$2:$L$131),0)+IFERROR(SUMPRODUCT(($D$2:$D$131=YEar9Table[[#This Row],[Player]])*$L$2:$L$131),0)+IFERROR(SUMPRODUCT(($F$2:$F$131=YEar9Table[[#This Row],[Player]])*$L$2:$L$131),0)</f>
        <v>5</v>
      </c>
      <c r="AO23" s="1" cm="1">
        <f t="array" ref="AO23">IFERROR(SUMPRODUCT(($B$2:$B$131=YEar9Table[[#This Row],[Player]])*$M$2:$M$131),0)+IFERROR(SUMPRODUCT(($C$2:$C$131=YEar9Table[[#This Row],[Player]])*$M$2:$M$131),0)+IFERROR(SUMPRODUCT(($D$2:$D$131=YEar9Table[[#This Row],[Player]])*$M$2:$M$131),0)+IFERROR(SUMPRODUCT(($E$2:$E$131=YEar9Table[[#This Row],[Player]])*$M$2:$M$131),0)+IFERROR(SUMPRODUCT(($F$2:$F$131=YEar9Table[[#This Row],[Player]])*$M$2:$M$131),0)</f>
        <v>8</v>
      </c>
      <c r="AP23" s="1">
        <f>YEar9Table[[#This Row],[Wins in Stacks]]+YEar9Table[[#This Row],[Losses in Stacks]]</f>
        <v>13</v>
      </c>
      <c r="AQ23" s="3">
        <f>IFERROR(YEar9Table[[#This Row],[Wins in Stacks]]/YEar9Table[[#This Row],[Total Games In Stacks]],0)</f>
        <v>0.38461538461538464</v>
      </c>
      <c r="AR23" s="75">
        <v>0.7</v>
      </c>
      <c r="AS23" s="21">
        <v>2</v>
      </c>
      <c r="AT23" s="20" cm="1">
        <f t="array" ref="AT23">(YEar9Table[[#This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-2.7510531835141006</v>
      </c>
      <c r="AV23" s="12"/>
      <c r="AW23" s="12"/>
    </row>
    <row r="24" spans="1:63">
      <c r="A24" s="156" t="str">
        <f>_xlfn.TEXTJOIN(",",TRUE,_xlfn._xlws.SORT(_xlfn.TEXTSPLIT(_xlfn.TEXTJOIN(",",TRUE,_xlfn._xlws.SORT($B24:$F24, 1, -1, FALSE)),"WWWWW",",")))</f>
        <v>Chromius.TAMU,Galahad21588,Glonk.MB</v>
      </c>
      <c r="B24" s="153" t="s">
        <v>77</v>
      </c>
      <c r="C24" s="153" t="s">
        <v>162</v>
      </c>
      <c r="D24" s="165" t="s">
        <v>96</v>
      </c>
      <c r="E24" s="165"/>
      <c r="F24" s="159"/>
      <c r="G24" s="154" t="str">
        <f>IFERROR(VLOOKUP(Y9S1[[#This Row],[Player 1]],YEar9Table[],2,FALSE),0)</f>
        <v>TIER 1</v>
      </c>
      <c r="H24" s="153" t="str">
        <f>IFERROR(VLOOKUP(Y9S1[[#This Row],[Player 2]],YEar9Table[],2,FALSE),"")</f>
        <v>TIER 2</v>
      </c>
      <c r="I24" s="153" t="str">
        <f>IFERROR(VLOOKUP(Y9S1[[#This Row],[Player 3]],YEar9Table[],2,FALSE),"")</f>
        <v>TIER 3</v>
      </c>
      <c r="J24" s="153" t="str">
        <f>IFERROR(VLOOKUP(Y9S1[[#This Row],[Player 4]],YEar9Table[],2,FALSE),"")</f>
        <v/>
      </c>
      <c r="K24" s="159" t="str">
        <f>IFERROR(VLOOKUP(Y9S1[[#This Row],[Player 5]],YEar9Table[],2,FALSE),"")</f>
        <v/>
      </c>
      <c r="L24" s="40">
        <v>1</v>
      </c>
      <c r="M24" s="40">
        <v>0</v>
      </c>
      <c r="N24" s="40">
        <f>$L24+$M24</f>
        <v>1</v>
      </c>
      <c r="O24" s="51">
        <f>IFERROR(L24/(M24+L24),0)</f>
        <v>1</v>
      </c>
      <c r="P24" s="103">
        <f>(((Y9S1[[#This Row],[Wins]]*1.3)-Y9S1[[#This Row],[Losses]])/SUM(Y9S1[Games Played]))*10</f>
        <v>4.980842911877395E-2</v>
      </c>
      <c r="Q24" s="182"/>
      <c r="R24"/>
      <c r="T24"/>
      <c r="U24" s="1" t="str">
        <f>YEar9Table[[#This Row],[Player]]</f>
        <v>Colonizer.BU</v>
      </c>
      <c r="V24" s="1" t="str">
        <f>IF(AT24&gt;7.5, "TIER 1",
IF(AT24&gt;6.5, "TIER 2",
IF(AT24&gt;5.5, "TIER 3",
IF(AT24&gt;4.5, "TIER 4",
IF(AT24&gt;3.5, "TIER 5",
IF(AT24&gt;2,  "TIER 6",
IF(AT24&gt;0,  "TIER 7",
"TIER 8")))))))</f>
        <v>TIER 8</v>
      </c>
      <c r="W24" s="1" t="s">
        <v>153</v>
      </c>
      <c r="X24" s="8" t="s">
        <v>154</v>
      </c>
      <c r="Y24" s="8">
        <f>VLOOKUP(YEar9Table[[#This Row],[Player]],ImportTable15[],2,FALSE)</f>
        <v>0.8</v>
      </c>
      <c r="Z24" s="8">
        <f>VLOOKUP(YEar9Table[[#This Row],[Player]],ImportTable15[],3,FALSE)</f>
        <v>0.77777799999999997</v>
      </c>
      <c r="AA24" s="8">
        <f>VLOOKUP(YEar9Table[[#This Row],[Player]],ImportTable15[],4,FALSE)</f>
        <v>28</v>
      </c>
      <c r="AB24" s="8">
        <f>VLOOKUP(YEar9Table[[#This Row],[Player]],ImportTable15[],5,FALSE)</f>
        <v>41</v>
      </c>
      <c r="AC24" s="8">
        <f>VLOOKUP(YEar9Table[[#This Row],[Player]],ImportTable15[],6,FALSE)</f>
        <v>43</v>
      </c>
      <c r="AD24" s="8">
        <f>VLOOKUP(YEar9Table[[#This Row],[Player]],ImportTable15[],7,FALSE)</f>
        <v>30</v>
      </c>
      <c r="AE24" s="77">
        <f>VLOOKUP(YEar9Table[[#This Row],[Player]],ImportTable15[],8,FALSE)</f>
        <v>45.938000000000002</v>
      </c>
      <c r="AF24" s="77">
        <f>VLOOKUP(YEar9Table[[#This Row],[Player]],ImportTable15[],9,FALSE)</f>
        <v>64.836669999999998</v>
      </c>
      <c r="AG24" s="8">
        <f>VLOOKUP(YEar9Table[[#This Row],[Player]],ImportTable15[],10,FALSE)</f>
        <v>12</v>
      </c>
      <c r="AH24" s="8">
        <f>VLOOKUP(YEar9Table[[#This Row],[Player]],ImportTable15[],11,FALSE)</f>
        <v>14</v>
      </c>
      <c r="AI24" s="8" t="str">
        <f>IF(YEar9Table[[#This Row],[Ranked Wins]]=YEar9Table[[#This Row],[Wins in Stacks]],"Y","N")</f>
        <v>N</v>
      </c>
      <c r="AJ24" s="8" t="str">
        <f>IF(YEar9Table[[#This Row],[Ranked Losses]]=YEar9Table[[#This Row],[Losses in Stacks]],"Y","N")</f>
        <v>N</v>
      </c>
      <c r="AK24" s="3">
        <f>IFERROR(YEar9Table[[#This Row],[Ranked Wins]]/(YEar9Table[[#This Row],[Ranked Wins]]+YEar9Table[[#This Row],[Ranked Losses]]),0)</f>
        <v>0.46153846153846156</v>
      </c>
      <c r="AL24" s="3">
        <f>IFERROR(YEar9Table[[#This Row],[Attack Wins]]/(YEar9Table[[#This Row],[Attack Wins]]+YEar9Table[[#This Row],[Attack Losses]]),0)</f>
        <v>0.40579710144927539</v>
      </c>
      <c r="AM24" s="3">
        <f>IFERROR(YEar9Table[[#This Row],[Defense Wins]]/(YEar9Table[[#This Row],[Defense Wins]]+YEar9Table[[#This Row],[Defense Losses]]),0)</f>
        <v>0.58904109589041098</v>
      </c>
      <c r="AN24" s="1" cm="1">
        <f t="array" ref="AN24">IFERROR(SUMPRODUCT(($B$2:$B$131=YEar9Table[[#This Row],[Player]])*$L$2:$L$131),0)+IFERROR(SUMPRODUCT(($C$2:$C$131=YEar9Table[[#This Row],[Player]])*$L$2:$L$131),0)+IFERROR(SUMPRODUCT(($E$2:$E$131=YEar9Table[[#This Row],[Player]])*$L$2:$L$131),0)+IFERROR(SUMPRODUCT(($D$2:$D$131=YEar9Table[[#This Row],[Player]])*$L$2:$L$131),0)+IFERROR(SUMPRODUCT(($F$2:$F$131=YEar9Table[[#This Row],[Player]])*$L$2:$L$131),0)</f>
        <v>11</v>
      </c>
      <c r="AO24" s="1" cm="1">
        <f t="array" ref="AO24">IFERROR(SUMPRODUCT(($B$2:$B$131=YEar9Table[[#This Row],[Player]])*$M$2:$M$131),0)+IFERROR(SUMPRODUCT(($C$2:$C$131=YEar9Table[[#This Row],[Player]])*$M$2:$M$131),0)+IFERROR(SUMPRODUCT(($D$2:$D$131=YEar9Table[[#This Row],[Player]])*$M$2:$M$131),0)+IFERROR(SUMPRODUCT(($E$2:$E$131=YEar9Table[[#This Row],[Player]])*$M$2:$M$131),0)+IFERROR(SUMPRODUCT(($F$2:$F$131=YEar9Table[[#This Row],[Player]])*$M$2:$M$131),0)</f>
        <v>12</v>
      </c>
      <c r="AP24" s="1">
        <f>YEar9Table[[#This Row],[Wins in Stacks]]+YEar9Table[[#This Row],[Losses in Stacks]]</f>
        <v>23</v>
      </c>
      <c r="AQ24" s="3">
        <f>IFERROR(YEar9Table[[#This Row],[Wins in Stacks]]/YEar9Table[[#This Row],[Total Games In Stacks]],0)</f>
        <v>0.47826086956521741</v>
      </c>
      <c r="AR24" s="75">
        <v>0.15</v>
      </c>
      <c r="AS24" s="21">
        <v>4</v>
      </c>
      <c r="AT24" s="20" cm="1">
        <f t="array" ref="AT24">(YEar9Table[[#This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-5.9731408663587633</v>
      </c>
    </row>
    <row r="25" spans="1:63">
      <c r="A25" s="156" t="str">
        <f>_xlfn.TEXTJOIN(",",TRUE,_xlfn._xlws.SORT(_xlfn.TEXTSPLIT(_xlfn.TEXTJOIN(",",TRUE,_xlfn._xlws.SORT($B25:$F25, 1, -1, FALSE)),"WWWWW",",")))</f>
        <v>Boomerjet123,Chromius.TAMU,Glonk.MB,TexAg21</v>
      </c>
      <c r="B25" s="153" t="s">
        <v>77</v>
      </c>
      <c r="C25" s="153" t="s">
        <v>162</v>
      </c>
      <c r="D25" s="153" t="s">
        <v>109</v>
      </c>
      <c r="E25" s="153" t="s">
        <v>188</v>
      </c>
      <c r="F25" s="159"/>
      <c r="G25" s="154" t="str">
        <f>IFERROR(VLOOKUP(Y9S1[[#This Row],[Player 1]],YEar9Table[],2,FALSE),0)</f>
        <v>TIER 1</v>
      </c>
      <c r="H25" s="153" t="str">
        <f>IFERROR(VLOOKUP(Y9S1[[#This Row],[Player 2]],YEar9Table[],2,FALSE),"")</f>
        <v>TIER 2</v>
      </c>
      <c r="I25" s="153" t="str">
        <f>IFERROR(VLOOKUP(Y9S1[[#This Row],[Player 3]],YEar9Table[],2,FALSE),"")</f>
        <v>TIER 8</v>
      </c>
      <c r="J25" s="153" t="str">
        <f>IFERROR(VLOOKUP(Y9S1[[#This Row],[Player 4]],YEar9Table[],2,FALSE),"")</f>
        <v>TIER 8</v>
      </c>
      <c r="K25" s="159" t="str">
        <f>IFERROR(VLOOKUP(Y9S1[[#This Row],[Player 5]],YEar9Table[],2,FALSE),"")</f>
        <v/>
      </c>
      <c r="L25" s="40">
        <v>1</v>
      </c>
      <c r="M25" s="40">
        <v>0</v>
      </c>
      <c r="N25" s="40">
        <f>$L25+$M25</f>
        <v>1</v>
      </c>
      <c r="O25" s="51">
        <f>IFERROR(L25/(M25+L25),0)</f>
        <v>1</v>
      </c>
      <c r="P25" s="103">
        <f>(((Y9S1[[#This Row],[Wins]]*1.3)-Y9S1[[#This Row],[Losses]])/SUM(Y9S1[Games Played]))*10</f>
        <v>4.980842911877395E-2</v>
      </c>
      <c r="Q25" s="182"/>
      <c r="R25"/>
      <c r="T25"/>
      <c r="U25" s="1" t="str">
        <f>YEar9Table[[#This Row],[Player]]</f>
        <v>EasterBallz--</v>
      </c>
      <c r="V25" s="1" t="str">
        <f>IF(AT25&gt;7.5, "TIER 1",
IF(AT25&gt;6.5, "TIER 2",
IF(AT25&gt;5.5, "TIER 3",
IF(AT25&gt;4.5, "TIER 4",
IF(AT25&gt;3.5, "TIER 5",
IF(AT25&gt;2,  "TIER 6",
IF(AT25&gt;0,  "TIER 7",
"TIER 8")))))))</f>
        <v>TIER 8</v>
      </c>
      <c r="W25" s="8" t="s">
        <v>246</v>
      </c>
      <c r="X25" s="85" t="s">
        <v>246</v>
      </c>
      <c r="Y25" s="8">
        <f>VLOOKUP(YEar9Table[[#This Row],[Player]],ImportTable15[],2,FALSE)</f>
        <v>0.92</v>
      </c>
      <c r="Z25" s="8">
        <f>VLOOKUP(YEar9Table[[#This Row],[Player]],ImportTable15[],3,FALSE)</f>
        <v>1.1617649999999999</v>
      </c>
      <c r="AA25" s="8">
        <f>VLOOKUP(YEar9Table[[#This Row],[Player]],ImportTable15[],4,FALSE)</f>
        <v>87</v>
      </c>
      <c r="AB25" s="8">
        <f>VLOOKUP(YEar9Table[[#This Row],[Player]],ImportTable15[],5,FALSE)</f>
        <v>129</v>
      </c>
      <c r="AC25" s="8">
        <f>VLOOKUP(YEar9Table[[#This Row],[Player]],ImportTable15[],6,FALSE)</f>
        <v>130</v>
      </c>
      <c r="AD25" s="8">
        <f>VLOOKUP(YEar9Table[[#This Row],[Player]],ImportTable15[],7,FALSE)</f>
        <v>86</v>
      </c>
      <c r="AE25" s="77">
        <f>VLOOKUP(YEar9Table[[#This Row],[Player]],ImportTable15[],8,FALSE)</f>
        <v>52.142220000000002</v>
      </c>
      <c r="AF25" s="77">
        <f>VLOOKUP(YEar9Table[[#This Row],[Player]],ImportTable15[],9,FALSE)</f>
        <v>56.858890000000002</v>
      </c>
      <c r="AG25" s="8">
        <f>VLOOKUP(YEar9Table[[#This Row],[Player]],ImportTable15[],10,FALSE)</f>
        <v>34</v>
      </c>
      <c r="AH25" s="8">
        <f>VLOOKUP(YEar9Table[[#This Row],[Player]],ImportTable15[],11,FALSE)</f>
        <v>30</v>
      </c>
      <c r="AI25" s="8" t="str">
        <f>IF(YEar9Table[[#This Row],[Ranked Wins]]=YEar9Table[[#This Row],[Wins in Stacks]],"Y","N")</f>
        <v>N</v>
      </c>
      <c r="AJ25" s="8" t="str">
        <f>IF(YEar9Table[[#This Row],[Ranked Losses]]=YEar9Table[[#This Row],[Losses in Stacks]],"Y","N")</f>
        <v>N</v>
      </c>
      <c r="AK25" s="3">
        <f>IFERROR(YEar9Table[[#This Row],[Ranked Wins]]/(YEar9Table[[#This Row],[Ranked Wins]]+YEar9Table[[#This Row],[Ranked Losses]]),0)</f>
        <v>0.53125</v>
      </c>
      <c r="AL25" s="3">
        <f>IFERROR(YEar9Table[[#This Row],[Attack Wins]]/(YEar9Table[[#This Row],[Attack Wins]]+YEar9Table[[#This Row],[Attack Losses]]),0)</f>
        <v>0.40277777777777779</v>
      </c>
      <c r="AM25" s="3">
        <f>IFERROR(YEar9Table[[#This Row],[Defense Wins]]/(YEar9Table[[#This Row],[Defense Wins]]+YEar9Table[[#This Row],[Defense Losses]]),0)</f>
        <v>0.60185185185185186</v>
      </c>
      <c r="AN25" s="1" cm="1">
        <f t="array" ref="AN25">IFERROR(SUMPRODUCT(($B$2:$B$131=YEar9Table[[#This Row],[Player]])*$L$2:$L$131),0)+IFERROR(SUMPRODUCT(($C$2:$C$131=YEar9Table[[#This Row],[Player]])*$L$2:$L$131),0)+IFERROR(SUMPRODUCT(($E$2:$E$131=YEar9Table[[#This Row],[Player]])*$L$2:$L$131),0)+IFERROR(SUMPRODUCT(($D$2:$D$131=YEar9Table[[#This Row],[Player]])*$L$2:$L$131),0)+IFERROR(SUMPRODUCT(($F$2:$F$131=YEar9Table[[#This Row],[Player]])*$L$2:$L$131),0)</f>
        <v>3</v>
      </c>
      <c r="AO25" s="1" cm="1">
        <f t="array" ref="AO25">IFERROR(SUMPRODUCT(($B$2:$B$131=YEar9Table[[#This Row],[Player]])*$M$2:$M$131),0)+IFERROR(SUMPRODUCT(($C$2:$C$131=YEar9Table[[#This Row],[Player]])*$M$2:$M$131),0)+IFERROR(SUMPRODUCT(($D$2:$D$131=YEar9Table[[#This Row],[Player]])*$M$2:$M$131),0)+IFERROR(SUMPRODUCT(($E$2:$E$131=YEar9Table[[#This Row],[Player]])*$M$2:$M$131),0)+IFERROR(SUMPRODUCT(($F$2:$F$131=YEar9Table[[#This Row],[Player]])*$M$2:$M$131),0)</f>
        <v>2</v>
      </c>
      <c r="AP25" s="1">
        <f>YEar9Table[[#This Row],[Wins in Stacks]]+YEar9Table[[#This Row],[Losses in Stacks]]</f>
        <v>5</v>
      </c>
      <c r="AQ25" s="3">
        <f>IFERROR(YEar9Table[[#This Row],[Wins in Stacks]]/YEar9Table[[#This Row],[Total Games In Stacks]],0)</f>
        <v>0.6</v>
      </c>
      <c r="AR25" s="75">
        <v>0.01</v>
      </c>
      <c r="AS25" s="21">
        <v>7</v>
      </c>
      <c r="AT25" s="20" cm="1">
        <f t="array" ref="AT25">(YEar9Table[[#This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-6.8166975501482945</v>
      </c>
      <c r="AU25" s="173"/>
      <c r="AV25" s="173"/>
    </row>
    <row r="26" spans="1:63">
      <c r="A26" s="156" t="str">
        <f>_xlfn.TEXTJOIN(",",TRUE,_xlfn._xlws.SORT(_xlfn.TEXTSPLIT(_xlfn.TEXTJOIN(",",TRUE,_xlfn._xlws.SORT($B26:$F26, 1, -1, FALSE)),"WWWWW",",")))</f>
        <v>Chromius.TAMU,Galahad21588,Glonk.MB,PincheConcha,TexAg21</v>
      </c>
      <c r="B26" s="153" t="s">
        <v>162</v>
      </c>
      <c r="C26" s="153" t="s">
        <v>188</v>
      </c>
      <c r="D26" s="165" t="s">
        <v>96</v>
      </c>
      <c r="E26" s="153" t="s">
        <v>77</v>
      </c>
      <c r="F26" s="159" t="s">
        <v>91</v>
      </c>
      <c r="G26" s="154" t="str">
        <f>IFERROR(VLOOKUP(Y9S1[[#This Row],[Player 1]],YEar9Table[],2,FALSE),0)</f>
        <v>TIER 2</v>
      </c>
      <c r="H26" s="153" t="str">
        <f>IFERROR(VLOOKUP(Y9S1[[#This Row],[Player 2]],YEar9Table[],2,FALSE),"")</f>
        <v>TIER 8</v>
      </c>
      <c r="I26" s="153" t="str">
        <f>IFERROR(VLOOKUP(Y9S1[[#This Row],[Player 3]],YEar9Table[],2,FALSE),"")</f>
        <v>TIER 3</v>
      </c>
      <c r="J26" s="153" t="str">
        <f>IFERROR(VLOOKUP(Y9S1[[#This Row],[Player 4]],YEar9Table[],2,FALSE),"")</f>
        <v>TIER 1</v>
      </c>
      <c r="K26" s="159" t="str">
        <f>IFERROR(VLOOKUP(Y9S1[[#This Row],[Player 5]],YEar9Table[],2,FALSE),"")</f>
        <v>TIER 3</v>
      </c>
      <c r="L26" s="40">
        <v>1</v>
      </c>
      <c r="M26" s="40">
        <v>0</v>
      </c>
      <c r="N26" s="40">
        <f>$L26+$M26</f>
        <v>1</v>
      </c>
      <c r="O26" s="51">
        <f>IFERROR(L26/(M26+L26),0)</f>
        <v>1</v>
      </c>
      <c r="P26" s="103">
        <f>(((Y9S1[[#This Row],[Wins]]*1.3)-Y9S1[[#This Row],[Losses]])/SUM(Y9S1[Games Played]))*10</f>
        <v>4.980842911877395E-2</v>
      </c>
      <c r="Q26" s="182"/>
      <c r="R26"/>
      <c r="T26"/>
      <c r="U26" s="1" t="str">
        <f>YEar9Table[[#This Row],[Player]]</f>
        <v>Asherzs</v>
      </c>
      <c r="V26" s="1" t="str">
        <f>IF(AT26&gt;7.5, "TIER 1",
IF(AT26&gt;6.5, "TIER 2",
IF(AT26&gt;5.5, "TIER 3",
IF(AT26&gt;4.5, "TIER 4",
IF(AT26&gt;3.5, "TIER 5",
IF(AT26&gt;2,  "TIER 6",
IF(AT26&gt;0,  "TIER 7",
"TIER 8")))))))</f>
        <v>TIER 8</v>
      </c>
      <c r="W26" s="84" t="s">
        <v>100</v>
      </c>
      <c r="X26" s="82" t="s">
        <v>100</v>
      </c>
      <c r="Y26" s="8">
        <f>VLOOKUP(YEar9Table[[#This Row],[Player]],ImportTable15[],2,FALSE)</f>
        <v>0.95762700000000001</v>
      </c>
      <c r="Z26" s="8">
        <f>VLOOKUP(YEar9Table[[#This Row],[Player]],ImportTable15[],3,FALSE)</f>
        <v>1.4224140000000001</v>
      </c>
      <c r="AA26" s="8">
        <f>VLOOKUP(YEar9Table[[#This Row],[Player]],ImportTable15[],4,FALSE)</f>
        <v>82</v>
      </c>
      <c r="AB26" s="8">
        <f>VLOOKUP(YEar9Table[[#This Row],[Player]],ImportTable15[],5,FALSE)</f>
        <v>81</v>
      </c>
      <c r="AC26" s="8">
        <f>VLOOKUP(YEar9Table[[#This Row],[Player]],ImportTable15[],6,FALSE)</f>
        <v>103</v>
      </c>
      <c r="AD26" s="8">
        <f>VLOOKUP(YEar9Table[[#This Row],[Player]],ImportTable15[],7,FALSE)</f>
        <v>76</v>
      </c>
      <c r="AE26" s="77">
        <f>VLOOKUP(YEar9Table[[#This Row],[Player]],ImportTable15[],8,FALSE)</f>
        <v>54.493929999999999</v>
      </c>
      <c r="AF26" s="77">
        <f>VLOOKUP(YEar9Table[[#This Row],[Player]],ImportTable15[],9,FALSE)</f>
        <v>67.217240000000004</v>
      </c>
      <c r="AG26" s="8">
        <f>VLOOKUP(YEar9Table[[#This Row],[Player]],ImportTable15[],10,FALSE)</f>
        <v>33</v>
      </c>
      <c r="AH26" s="8">
        <f>VLOOKUP(YEar9Table[[#This Row],[Player]],ImportTable15[],11,FALSE)</f>
        <v>32</v>
      </c>
      <c r="AI26" s="8" t="str">
        <f>IF(YEar9Table[[#This Row],[Ranked Wins]]=YEar9Table[[#This Row],[Wins in Stacks]],"Y","N")</f>
        <v>N</v>
      </c>
      <c r="AJ26" s="8" t="str">
        <f>IF(YEar9Table[[#This Row],[Ranked Losses]]=YEar9Table[[#This Row],[Losses in Stacks]],"Y","N")</f>
        <v>N</v>
      </c>
      <c r="AK26" s="3">
        <f>IFERROR(YEar9Table[[#This Row],[Ranked Wins]]/(YEar9Table[[#This Row],[Ranked Wins]]+YEar9Table[[#This Row],[Ranked Losses]]),0)</f>
        <v>0.50769230769230766</v>
      </c>
      <c r="AL26" s="3">
        <f>IFERROR(YEar9Table[[#This Row],[Attack Wins]]/(YEar9Table[[#This Row],[Attack Wins]]+YEar9Table[[#This Row],[Attack Losses]]),0)</f>
        <v>0.50306748466257667</v>
      </c>
      <c r="AM26" s="3">
        <f>IFERROR(YEar9Table[[#This Row],[Defense Wins]]/(YEar9Table[[#This Row],[Defense Wins]]+YEar9Table[[#This Row],[Defense Losses]]),0)</f>
        <v>0.57541899441340782</v>
      </c>
      <c r="AN26" s="1" cm="1">
        <f t="array" ref="AN26">IFERROR(SUMPRODUCT(($B$2:$B$131=YEar9Table[[#This Row],[Player]])*$L$2:$L$131),0)+IFERROR(SUMPRODUCT(($C$2:$C$131=YEar9Table[[#This Row],[Player]])*$L$2:$L$131),0)+IFERROR(SUMPRODUCT(($E$2:$E$131=YEar9Table[[#This Row],[Player]])*$L$2:$L$131),0)+IFERROR(SUMPRODUCT(($D$2:$D$131=YEar9Table[[#This Row],[Player]])*$L$2:$L$131),0)+IFERROR(SUMPRODUCT(($F$2:$F$131=YEar9Table[[#This Row],[Player]])*$L$2:$L$131),0)</f>
        <v>0</v>
      </c>
      <c r="AO26" s="1" cm="1">
        <f t="array" ref="AO26">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26" s="1">
        <f>YEar9Table[[#This Row],[Wins in Stacks]]+YEar9Table[[#This Row],[Losses in Stacks]]</f>
        <v>0</v>
      </c>
      <c r="AQ26" s="3">
        <f>IFERROR(YEar9Table[[#This Row],[Wins in Stacks]]/YEar9Table[[#This Row],[Total Games In Stacks]],0)</f>
        <v>0</v>
      </c>
      <c r="AR26" s="75">
        <v>0.3</v>
      </c>
      <c r="AS26" s="21">
        <v>2</v>
      </c>
      <c r="AT26" s="20" cm="1">
        <f t="array" ref="AT26">(YEar9Table[[#This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-8.8444239787616699</v>
      </c>
    </row>
    <row r="27" spans="1:63">
      <c r="A27" s="156" t="str">
        <f>_xlfn.TEXTJOIN(",",TRUE,_xlfn._xlws.SORT(_xlfn.TEXTSPLIT(_xlfn.TEXTJOIN(",",TRUE,_xlfn._xlws.SORT($B27:$F27, 1, -1, FALSE)),"WWWWW",",")))</f>
        <v>Chromius.TAMU,Galahad21588,Glonk.MB,NotLappland,TexAg21</v>
      </c>
      <c r="B27" s="153" t="s">
        <v>162</v>
      </c>
      <c r="C27" s="153" t="s">
        <v>188</v>
      </c>
      <c r="D27" s="153" t="s">
        <v>96</v>
      </c>
      <c r="E27" s="153" t="s">
        <v>77</v>
      </c>
      <c r="F27" s="159" t="s">
        <v>142</v>
      </c>
      <c r="G27" s="154" t="str">
        <f>IFERROR(VLOOKUP(Y9S1[[#This Row],[Player 1]],YEar9Table[],2,FALSE),0)</f>
        <v>TIER 2</v>
      </c>
      <c r="H27" s="153" t="str">
        <f>IFERROR(VLOOKUP(Y9S1[[#This Row],[Player 2]],YEar9Table[],2,FALSE),"")</f>
        <v>TIER 8</v>
      </c>
      <c r="I27" s="153" t="str">
        <f>IFERROR(VLOOKUP(Y9S1[[#This Row],[Player 3]],YEar9Table[],2,FALSE),"")</f>
        <v>TIER 3</v>
      </c>
      <c r="J27" s="153" t="str">
        <f>IFERROR(VLOOKUP(Y9S1[[#This Row],[Player 4]],YEar9Table[],2,FALSE),"")</f>
        <v>TIER 1</v>
      </c>
      <c r="K27" s="159" t="str">
        <f>IFERROR(VLOOKUP(Y9S1[[#This Row],[Player 5]],YEar9Table[],2,FALSE),"")</f>
        <v>TIER 8</v>
      </c>
      <c r="L27" s="40">
        <v>1</v>
      </c>
      <c r="M27" s="40">
        <v>0</v>
      </c>
      <c r="N27" s="40">
        <f>$L27+$M27</f>
        <v>1</v>
      </c>
      <c r="O27" s="51">
        <f>IFERROR(L27/(M27+L27),0)</f>
        <v>1</v>
      </c>
      <c r="P27" s="103">
        <f>(((Y9S1[[#This Row],[Wins]]*1.3)-Y9S1[[#This Row],[Losses]])/SUM(Y9S1[Games Played]))*10</f>
        <v>4.980842911877395E-2</v>
      </c>
      <c r="Q27" s="182"/>
      <c r="R27"/>
      <c r="T27"/>
      <c r="U27" s="1" t="str">
        <f>YEar9Table[[#This Row],[Player]]</f>
        <v>Koyeetchi</v>
      </c>
      <c r="V27" s="1" t="str">
        <f>IF(AT27&gt;7.5, "TIER 1",
IF(AT27&gt;6.5, "TIER 2",
IF(AT27&gt;5.5, "TIER 3",
IF(AT27&gt;4.5, "TIER 4",
IF(AT27&gt;3.5, "TIER 5",
IF(AT27&gt;2,  "TIER 6",
IF(AT27&gt;0,  "TIER 7",
"TIER 8")))))))</f>
        <v>TIER 8</v>
      </c>
      <c r="W27" s="83" t="s">
        <v>143</v>
      </c>
      <c r="X27" s="85" t="s">
        <v>144</v>
      </c>
      <c r="Y27" s="8">
        <f>VLOOKUP(YEar9Table[[#This Row],[Player]],ImportTable15[],2,FALSE)</f>
        <v>0.64</v>
      </c>
      <c r="Z27" s="8">
        <f>VLOOKUP(YEar9Table[[#This Row],[Player]],ImportTable15[],3,FALSE)</f>
        <v>0.47826099999999999</v>
      </c>
      <c r="AA27" s="8">
        <f>VLOOKUP(YEar9Table[[#This Row],[Player]],ImportTable15[],4,FALSE)</f>
        <v>10</v>
      </c>
      <c r="AB27" s="8">
        <f>VLOOKUP(YEar9Table[[#This Row],[Player]],ImportTable15[],5,FALSE)</f>
        <v>20</v>
      </c>
      <c r="AC27" s="8">
        <f>VLOOKUP(YEar9Table[[#This Row],[Player]],ImportTable15[],6,FALSE)</f>
        <v>18</v>
      </c>
      <c r="AD27" s="8">
        <f>VLOOKUP(YEar9Table[[#This Row],[Player]],ImportTable15[],7,FALSE)</f>
        <v>12</v>
      </c>
      <c r="AE27" s="77">
        <f>VLOOKUP(YEar9Table[[#This Row],[Player]],ImportTable15[],8,FALSE)</f>
        <v>38.333570000000002</v>
      </c>
      <c r="AF27" s="77">
        <f>VLOOKUP(YEar9Table[[#This Row],[Player]],ImportTable15[],9,FALSE)</f>
        <v>48.039409999999997</v>
      </c>
      <c r="AG27" s="8">
        <f>VLOOKUP(YEar9Table[[#This Row],[Player]],ImportTable15[],10,FALSE)</f>
        <v>6</v>
      </c>
      <c r="AH27" s="8">
        <f>VLOOKUP(YEar9Table[[#This Row],[Player]],ImportTable15[],11,FALSE)</f>
        <v>7</v>
      </c>
      <c r="AI27" s="8" t="str">
        <f>IF(YEar9Table[[#This Row],[Ranked Wins]]=YEar9Table[[#This Row],[Wins in Stacks]],"Y","N")</f>
        <v>N</v>
      </c>
      <c r="AJ27" s="8" t="str">
        <f>IF(YEar9Table[[#This Row],[Ranked Losses]]=YEar9Table[[#This Row],[Losses in Stacks]],"Y","N")</f>
        <v>N</v>
      </c>
      <c r="AK27" s="3">
        <f>IFERROR(YEar9Table[[#This Row],[Ranked Wins]]/(YEar9Table[[#This Row],[Ranked Wins]]+YEar9Table[[#This Row],[Ranked Losses]]),0)</f>
        <v>0.46153846153846156</v>
      </c>
      <c r="AL27" s="3">
        <f>IFERROR(YEar9Table[[#This Row],[Attack Wins]]/(YEar9Table[[#This Row],[Attack Wins]]+YEar9Table[[#This Row],[Attack Losses]]),0)</f>
        <v>0.33333333333333331</v>
      </c>
      <c r="AM27" s="3">
        <f>IFERROR(YEar9Table[[#This Row],[Defense Wins]]/(YEar9Table[[#This Row],[Defense Wins]]+YEar9Table[[#This Row],[Defense Losses]]),0)</f>
        <v>0.6</v>
      </c>
      <c r="AN27" s="1" cm="1">
        <f t="array" ref="AN27">IFERROR(SUMPRODUCT(($B$2:$B$131=YEar9Table[[#This Row],[Player]])*$L$2:$L$131),0)+IFERROR(SUMPRODUCT(($C$2:$C$131=YEar9Table[[#This Row],[Player]])*$L$2:$L$131),0)+IFERROR(SUMPRODUCT(($E$2:$E$131=YEar9Table[[#This Row],[Player]])*$L$2:$L$131),0)+IFERROR(SUMPRODUCT(($D$2:$D$131=YEar9Table[[#This Row],[Player]])*$L$2:$L$131),0)+IFERROR(SUMPRODUCT(($F$2:$F$131=YEar9Table[[#This Row],[Player]])*$L$2:$L$131),0)</f>
        <v>7</v>
      </c>
      <c r="AO27" s="1" cm="1">
        <f t="array" ref="AO27">IFERROR(SUMPRODUCT(($B$2:$B$131=YEar9Table[[#This Row],[Player]])*$M$2:$M$131),0)+IFERROR(SUMPRODUCT(($C$2:$C$131=YEar9Table[[#This Row],[Player]])*$M$2:$M$131),0)+IFERROR(SUMPRODUCT(($D$2:$D$131=YEar9Table[[#This Row],[Player]])*$M$2:$M$131),0)+IFERROR(SUMPRODUCT(($E$2:$E$131=YEar9Table[[#This Row],[Player]])*$M$2:$M$131),0)+IFERROR(SUMPRODUCT(($F$2:$F$131=YEar9Table[[#This Row],[Player]])*$M$2:$M$131),0)</f>
        <v>5</v>
      </c>
      <c r="AP27" s="1">
        <f>YEar9Table[[#This Row],[Wins in Stacks]]+YEar9Table[[#This Row],[Losses in Stacks]]</f>
        <v>12</v>
      </c>
      <c r="AQ27" s="3">
        <f>IFERROR(YEar9Table[[#This Row],[Wins in Stacks]]/YEar9Table[[#This Row],[Total Games In Stacks]],0)</f>
        <v>0.58333333333333337</v>
      </c>
      <c r="AR27" s="75">
        <v>0.5</v>
      </c>
      <c r="AS27" s="21">
        <v>4</v>
      </c>
      <c r="AT27" s="20" cm="1">
        <f t="array" ref="AT27">(YEar9Table[[#This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-3.8864262310599749</v>
      </c>
    </row>
    <row r="28" spans="1:63">
      <c r="A28" s="156" t="str">
        <f>_xlfn.TEXTJOIN(",",TRUE,_xlfn._xlws.SORT(_xlfn.TEXTSPLIT(_xlfn.TEXTJOIN(",",TRUE,_xlfn._xlws.SORT($B28:$E28, 1, -1, FALSE)),"WWWWW",",")))</f>
        <v>Chromius.TAMU,Dlehard.,Elyidian,PincheConcha</v>
      </c>
      <c r="B28" s="153" t="s">
        <v>77</v>
      </c>
      <c r="C28" s="153" t="s">
        <v>91</v>
      </c>
      <c r="D28" s="167" t="s">
        <v>121</v>
      </c>
      <c r="E28" s="153" t="s">
        <v>234</v>
      </c>
      <c r="F28" s="159"/>
      <c r="G28" s="154" t="str">
        <f>IFERROR(VLOOKUP(Y9S1[[#This Row],[Player 1]],YEar9Table[],2,FALSE),0)</f>
        <v>TIER 1</v>
      </c>
      <c r="H28" s="153" t="str">
        <f>IFERROR(VLOOKUP(Y9S1[[#This Row],[Player 2]],YEar9Table[],2,FALSE),"")</f>
        <v>TIER 3</v>
      </c>
      <c r="I28" s="153" t="str">
        <f>IFERROR(VLOOKUP(Y9S1[[#This Row],[Player 3]],YEar9Table[],2,FALSE),"")</f>
        <v>TIER 7</v>
      </c>
      <c r="J28" s="153" t="str">
        <f>IFERROR(VLOOKUP(Y9S1[[#This Row],[Player 4]],YEar9Table[],2,FALSE),"")</f>
        <v>TIER 8</v>
      </c>
      <c r="K28" s="159" t="str">
        <f>IFERROR(VLOOKUP(Y9S1[[#This Row],[Player 5]],YEar9Table[],2,FALSE),"")</f>
        <v/>
      </c>
      <c r="L28" s="40">
        <v>1</v>
      </c>
      <c r="M28" s="40">
        <v>0</v>
      </c>
      <c r="N28" s="40">
        <f>$L28+$M28</f>
        <v>1</v>
      </c>
      <c r="O28" s="51">
        <f>IFERROR(L28/(M28+L28),0)</f>
        <v>1</v>
      </c>
      <c r="P28" s="104">
        <f>(((Y9S1[[#This Row],[Wins]]*1.3)-Y9S1[[#This Row],[Losses]])/SUM(Y9S1[Games Played]))*10</f>
        <v>4.980842911877395E-2</v>
      </c>
      <c r="Q28" s="182"/>
      <c r="R28"/>
      <c r="T28"/>
      <c r="U28" s="1" t="str">
        <f>YEar9Table[[#This Row],[Player]]</f>
        <v>Nobetterdough</v>
      </c>
      <c r="V28" s="1" t="str">
        <f>IF(AT28&gt;7.5, "TIER 1",
IF(AT28&gt;6.5, "TIER 2",
IF(AT28&gt;5.5, "TIER 3",
IF(AT28&gt;4.5, "TIER 4",
IF(AT28&gt;3.5, "TIER 5",
IF(AT28&gt;2,  "TIER 6",
IF(AT28&gt;0,  "TIER 7",
"TIER 8")))))))</f>
        <v>TIER 8</v>
      </c>
      <c r="W28" s="1" t="s">
        <v>124</v>
      </c>
      <c r="X28" s="8" t="s">
        <v>125</v>
      </c>
      <c r="Y28" s="8">
        <f>VLOOKUP(YEar9Table[[#This Row],[Player]],ImportTable15[],2,FALSE)</f>
        <v>0.69565200000000005</v>
      </c>
      <c r="Z28" s="8">
        <f>VLOOKUP(YEar9Table[[#This Row],[Player]],ImportTable15[],3,FALSE)</f>
        <v>0.730769</v>
      </c>
      <c r="AA28" s="8">
        <f>VLOOKUP(YEar9Table[[#This Row],[Player]],ImportTable15[],4,FALSE)</f>
        <v>35</v>
      </c>
      <c r="AB28" s="8">
        <f>VLOOKUP(YEar9Table[[#This Row],[Player]],ImportTable15[],5,FALSE)</f>
        <v>51</v>
      </c>
      <c r="AC28" s="8">
        <f>VLOOKUP(YEar9Table[[#This Row],[Player]],ImportTable15[],6,FALSE)</f>
        <v>46</v>
      </c>
      <c r="AD28" s="8">
        <f>VLOOKUP(YEar9Table[[#This Row],[Player]],ImportTable15[],7,FALSE)</f>
        <v>37</v>
      </c>
      <c r="AE28" s="77">
        <f>VLOOKUP(YEar9Table[[#This Row],[Player]],ImportTable15[],8,FALSE)</f>
        <v>51.181249999999999</v>
      </c>
      <c r="AF28" s="77">
        <f>VLOOKUP(YEar9Table[[#This Row],[Player]],ImportTable15[],9,FALSE)</f>
        <v>40.486669999999997</v>
      </c>
      <c r="AG28" s="1">
        <f>VLOOKUP(YEar9Table[[#This Row],[Player]],ImportTable15[],10,FALSE)</f>
        <v>16</v>
      </c>
      <c r="AH28" s="8">
        <f>VLOOKUP(YEar9Table[[#This Row],[Player]],ImportTable15[],11,FALSE)</f>
        <v>17</v>
      </c>
      <c r="AI28" s="8" t="str">
        <f>IF(YEar9Table[[#This Row],[Ranked Wins]]=YEar9Table[[#This Row],[Wins in Stacks]],"Y","N")</f>
        <v>N</v>
      </c>
      <c r="AJ28" s="8" t="str">
        <f>IF(YEar9Table[[#This Row],[Ranked Losses]]=YEar9Table[[#This Row],[Losses in Stacks]],"Y","N")</f>
        <v>N</v>
      </c>
      <c r="AK28" s="3">
        <f>IFERROR(YEar9Table[[#This Row],[Ranked Wins]]/(YEar9Table[[#This Row],[Ranked Wins]]+YEar9Table[[#This Row],[Ranked Losses]]),0)</f>
        <v>0.48484848484848486</v>
      </c>
      <c r="AL28" s="3">
        <f>IFERROR(YEar9Table[[#This Row],[Attack Wins]]/(YEar9Table[[#This Row],[Attack Wins]]+YEar9Table[[#This Row],[Attack Losses]]),0)</f>
        <v>0.40697674418604651</v>
      </c>
      <c r="AM28" s="3">
        <f>IFERROR(YEar9Table[[#This Row],[Defense Wins]]/(YEar9Table[[#This Row],[Defense Wins]]+YEar9Table[[#This Row],[Defense Losses]]),0)</f>
        <v>0.55421686746987953</v>
      </c>
      <c r="AN28" s="1" cm="1">
        <f t="array" ref="AN28">IFERROR(SUMPRODUCT(($B$2:$B$131=YEar9Table[[#This Row],[Player]])*$L$2:$L$131),0)+IFERROR(SUMPRODUCT(($C$2:$C$131=YEar9Table[[#This Row],[Player]])*$L$2:$L$131),0)+IFERROR(SUMPRODUCT(($E$2:$E$131=YEar9Table[[#This Row],[Player]])*$L$2:$L$131),0)+IFERROR(SUMPRODUCT(($D$2:$D$131=YEar9Table[[#This Row],[Player]])*$L$2:$L$131),0)+IFERROR(SUMPRODUCT(($F$2:$F$131=YEar9Table[[#This Row],[Player]])*$L$2:$L$131),0)</f>
        <v>4</v>
      </c>
      <c r="AO28" s="1" cm="1">
        <f t="array" ref="AO28">IFERROR(SUMPRODUCT(($B$2:$B$131=YEar9Table[[#This Row],[Player]])*$M$2:$M$131),0)+IFERROR(SUMPRODUCT(($C$2:$C$131=YEar9Table[[#This Row],[Player]])*$M$2:$M$131),0)+IFERROR(SUMPRODUCT(($D$2:$D$131=YEar9Table[[#This Row],[Player]])*$M$2:$M$131),0)+IFERROR(SUMPRODUCT(($E$2:$E$131=YEar9Table[[#This Row],[Player]])*$M$2:$M$131),0)+IFERROR(SUMPRODUCT(($F$2:$F$131=YEar9Table[[#This Row],[Player]])*$M$2:$M$131),0)</f>
        <v>13</v>
      </c>
      <c r="AP28">
        <f>YEar9Table[[#This Row],[Wins in Stacks]]+YEar9Table[[#This Row],[Losses in Stacks]]</f>
        <v>17</v>
      </c>
      <c r="AQ28" s="73">
        <f>IFERROR(YEar9Table[[#This Row],[Wins in Stacks]]/YEar9Table[[#This Row],[Total Games In Stacks]],0)</f>
        <v>0.23529411764705882</v>
      </c>
      <c r="AR28" s="76">
        <v>0.35</v>
      </c>
      <c r="AS28" s="22">
        <v>2</v>
      </c>
      <c r="AT28" s="20" cm="1">
        <f t="array" ref="AT28">(YEar9Table[[#This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-8.9978535284593075</v>
      </c>
    </row>
    <row r="29" spans="1:63">
      <c r="A29" s="156" t="str">
        <f>_xlfn.TEXTJOIN(",",TRUE,_xlfn._xlws.SORT(_xlfn.TEXTSPLIT(_xlfn.TEXTJOIN(",",TRUE,_xlfn._xlws.SORT($B29:$F29, 1, -1, FALSE)),"WWWWW",",")))</f>
        <v>Chromius.TAMU,PincheConcha</v>
      </c>
      <c r="B29" s="153" t="s">
        <v>77</v>
      </c>
      <c r="C29" s="153" t="s">
        <v>91</v>
      </c>
      <c r="D29" s="153"/>
      <c r="E29" s="153"/>
      <c r="F29" s="159"/>
      <c r="G29" s="154" t="str">
        <f>IFERROR(VLOOKUP(Y9S1[[#This Row],[Player 1]],YEar9Table[],2,FALSE),0)</f>
        <v>TIER 1</v>
      </c>
      <c r="H29" s="153" t="str">
        <f>IFERROR(VLOOKUP(Y9S1[[#This Row],[Player 2]],YEar9Table[],2,FALSE),"")</f>
        <v>TIER 3</v>
      </c>
      <c r="I29" s="153" t="str">
        <f>IFERROR(VLOOKUP(Y9S1[[#This Row],[Player 3]],YEar9Table[],2,FALSE),"")</f>
        <v/>
      </c>
      <c r="J29" s="153" t="str">
        <f>IFERROR(VLOOKUP(Y9S1[[#This Row],[Player 4]],YEar9Table[],2,FALSE),"")</f>
        <v/>
      </c>
      <c r="K29" s="159" t="str">
        <f>IFERROR(VLOOKUP(Y9S1[[#This Row],[Player 5]],YEar9Table[],2,FALSE),"")</f>
        <v/>
      </c>
      <c r="L29" s="40">
        <v>1</v>
      </c>
      <c r="M29" s="40">
        <v>0</v>
      </c>
      <c r="N29" s="40">
        <f>$L29+$M29</f>
        <v>1</v>
      </c>
      <c r="O29" s="51">
        <f>IFERROR(L29/(M29+L29),0)</f>
        <v>1</v>
      </c>
      <c r="P29" s="104">
        <f>(((Y9S1[[#This Row],[Wins]]*1.3)-Y9S1[[#This Row],[Losses]])/SUM(Y9S1[Games Played]))*10</f>
        <v>4.980842911877395E-2</v>
      </c>
      <c r="Q29" s="182"/>
      <c r="R29"/>
      <c r="T29"/>
      <c r="U29" s="1" t="str">
        <f>YEar9Table[[#This Row],[Player]]</f>
        <v>Wh1pl4sh_117</v>
      </c>
      <c r="V29" s="1" t="str">
        <f>IF(AT29&gt;7.5, "TIER 1",
IF(AT29&gt;6.5, "TIER 2",
IF(AT29&gt;5.5, "TIER 3",
IF(AT29&gt;4.5, "TIER 4",
IF(AT29&gt;3.5, "TIER 5",
IF(AT29&gt;2,  "TIER 6",
IF(AT29&gt;0,  "TIER 7",
"TIER 8")))))))</f>
        <v>TIER 8</v>
      </c>
      <c r="W29" s="83" t="s">
        <v>247</v>
      </c>
      <c r="X29" s="85" t="s">
        <v>248</v>
      </c>
      <c r="Y29" s="8">
        <f>VLOOKUP(YEar9Table[[#This Row],[Player]],ImportTable15[],2,FALSE)</f>
        <v>0.58385100000000001</v>
      </c>
      <c r="Z29" s="8">
        <f>VLOOKUP(YEar9Table[[#This Row],[Player]],ImportTable15[],3,FALSE)</f>
        <v>0.84931500000000004</v>
      </c>
      <c r="AA29" s="8">
        <f>VLOOKUP(YEar9Table[[#This Row],[Player]],ImportTable15[],4,FALSE)</f>
        <v>89</v>
      </c>
      <c r="AB29" s="8">
        <f>VLOOKUP(YEar9Table[[#This Row],[Player]],ImportTable15[],5,FALSE)</f>
        <v>122</v>
      </c>
      <c r="AC29" s="8">
        <f>VLOOKUP(YEar9Table[[#This Row],[Player]],ImportTable15[],6,FALSE)</f>
        <v>111</v>
      </c>
      <c r="AD29" s="8">
        <f>VLOOKUP(YEar9Table[[#This Row],[Player]],ImportTable15[],7,FALSE)</f>
        <v>88</v>
      </c>
      <c r="AE29" s="77">
        <f>VLOOKUP(YEar9Table[[#This Row],[Player]],ImportTable15[],8,FALSE)</f>
        <v>54.171939999999999</v>
      </c>
      <c r="AF29" s="77">
        <f>VLOOKUP(YEar9Table[[#This Row],[Player]],ImportTable15[],9,FALSE)</f>
        <v>58.722000000000001</v>
      </c>
      <c r="AG29" s="8">
        <f>VLOOKUP(YEar9Table[[#This Row],[Player]],ImportTable15[],10,FALSE)</f>
        <v>34</v>
      </c>
      <c r="AH29" s="8">
        <f>VLOOKUP(YEar9Table[[#This Row],[Player]],ImportTable15[],11,FALSE)</f>
        <v>36</v>
      </c>
      <c r="AI29" s="8" t="str">
        <f>IF(YEar9Table[[#This Row],[Ranked Wins]]=YEar9Table[[#This Row],[Wins in Stacks]],"Y","N")</f>
        <v>N</v>
      </c>
      <c r="AJ29" s="8" t="str">
        <f>IF(YEar9Table[[#This Row],[Ranked Losses]]=YEar9Table[[#This Row],[Losses in Stacks]],"Y","N")</f>
        <v>N</v>
      </c>
      <c r="AK29" s="3">
        <f>IFERROR(YEar9Table[[#This Row],[Ranked Wins]]/(YEar9Table[[#This Row],[Ranked Wins]]+YEar9Table[[#This Row],[Ranked Losses]]),0)</f>
        <v>0.48571428571428571</v>
      </c>
      <c r="AL29" s="3">
        <f>IFERROR(YEar9Table[[#This Row],[Attack Wins]]/(YEar9Table[[#This Row],[Attack Wins]]+YEar9Table[[#This Row],[Attack Losses]]),0)</f>
        <v>0.4218009478672986</v>
      </c>
      <c r="AM29" s="3">
        <f>IFERROR(YEar9Table[[#This Row],[Defense Wins]]/(YEar9Table[[#This Row],[Defense Wins]]+YEar9Table[[#This Row],[Defense Losses]]),0)</f>
        <v>0.55778894472361806</v>
      </c>
      <c r="AN29" s="1" cm="1">
        <f t="array" ref="AN29">IFERROR(SUMPRODUCT(($B$2:$B$131=YEar9Table[[#This Row],[Player]])*$L$2:$L$131),0)+IFERROR(SUMPRODUCT(($C$2:$C$131=YEar9Table[[#This Row],[Player]])*$L$2:$L$131),0)+IFERROR(SUMPRODUCT(($E$2:$E$131=YEar9Table[[#This Row],[Player]])*$L$2:$L$131),0)+IFERROR(SUMPRODUCT(($D$2:$D$131=YEar9Table[[#This Row],[Player]])*$L$2:$L$131),0)+IFERROR(SUMPRODUCT(($F$2:$F$131=YEar9Table[[#This Row],[Player]])*$L$2:$L$131),0)</f>
        <v>2</v>
      </c>
      <c r="AO29" s="1" cm="1">
        <f t="array" ref="AO29">IFERROR(SUMPRODUCT(($B$2:$B$131=YEar9Table[[#This Row],[Player]])*$M$2:$M$131),0)+IFERROR(SUMPRODUCT(($C$2:$C$131=YEar9Table[[#This Row],[Player]])*$M$2:$M$131),0)+IFERROR(SUMPRODUCT(($D$2:$D$131=YEar9Table[[#This Row],[Player]])*$M$2:$M$131),0)+IFERROR(SUMPRODUCT(($E$2:$E$131=YEar9Table[[#This Row],[Player]])*$M$2:$M$131),0)+IFERROR(SUMPRODUCT(($F$2:$F$131=YEar9Table[[#This Row],[Player]])*$M$2:$M$131),0)</f>
        <v>3</v>
      </c>
      <c r="AP29" s="1">
        <f>YEar9Table[[#This Row],[Wins in Stacks]]+YEar9Table[[#This Row],[Losses in Stacks]]</f>
        <v>5</v>
      </c>
      <c r="AQ29" s="3">
        <f>IFERROR(YEar9Table[[#This Row],[Wins in Stacks]]/YEar9Table[[#This Row],[Total Games In Stacks]],0)</f>
        <v>0.4</v>
      </c>
      <c r="AR29" s="75">
        <v>0.01</v>
      </c>
      <c r="AS29" s="21">
        <v>8</v>
      </c>
      <c r="AT29" s="20" cm="1">
        <f t="array" ref="AT29">(YEar9Table[[#This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-12.781768063392567</v>
      </c>
    </row>
    <row r="30" spans="1:63" ht="14.25" customHeight="1">
      <c r="A30" s="156" t="str">
        <f>_xlfn.TEXTJOIN(",",TRUE,_xlfn._xlws.SORT(_xlfn.TEXTSPLIT(_xlfn.TEXTJOIN(",",TRUE,_xlfn._xlws.SORT($B30:$F30, 1, -1, FALSE)),"WWWWW",",")))</f>
        <v>Chromius.TAMU,Colonizer.BU,Glonk.MB,Jamato33</v>
      </c>
      <c r="B30" s="153" t="s">
        <v>77</v>
      </c>
      <c r="C30" s="153" t="s">
        <v>162</v>
      </c>
      <c r="D30" s="153" t="s">
        <v>233</v>
      </c>
      <c r="E30" s="153" t="s">
        <v>154</v>
      </c>
      <c r="F30" s="159"/>
      <c r="G30" s="154" t="str">
        <f>IFERROR(VLOOKUP(Y9S1[[#This Row],[Player 1]],YEar9Table[],2,FALSE),0)</f>
        <v>TIER 1</v>
      </c>
      <c r="H30" s="153" t="str">
        <f>IFERROR(VLOOKUP(Y9S1[[#This Row],[Player 2]],YEar9Table[],2,FALSE),"")</f>
        <v>TIER 2</v>
      </c>
      <c r="I30" s="153" t="str">
        <f>IFERROR(VLOOKUP(Y9S1[[#This Row],[Player 3]],YEar9Table[],2,FALSE),"")</f>
        <v>TIER 5</v>
      </c>
      <c r="J30" s="153" t="str">
        <f>IFERROR(VLOOKUP(Y9S1[[#This Row],[Player 4]],YEar9Table[],2,FALSE),"")</f>
        <v>TIER 8</v>
      </c>
      <c r="K30" s="159" t="str">
        <f>IFERROR(VLOOKUP(Y9S1[[#This Row],[Player 5]],YEar9Table[],2,FALSE),"")</f>
        <v/>
      </c>
      <c r="L30" s="40">
        <v>1</v>
      </c>
      <c r="M30" s="40">
        <v>0</v>
      </c>
      <c r="N30" s="40">
        <f>$L30+$M30</f>
        <v>1</v>
      </c>
      <c r="O30" s="51">
        <f>IFERROR(L30/(M30+L30),0)</f>
        <v>1</v>
      </c>
      <c r="P30" s="103">
        <f>(((Y9S1[[#This Row],[Wins]]*1.3)-Y9S1[[#This Row],[Losses]])/SUM(Y9S1[Games Played]))*10</f>
        <v>4.980842911877395E-2</v>
      </c>
      <c r="Q30" s="182"/>
      <c r="R30"/>
      <c r="T30"/>
      <c r="U30" s="1" t="str">
        <f>YEar9Table[[#This Row],[Player]]</f>
        <v>Fallen.Cortex</v>
      </c>
      <c r="V30" s="1" t="str">
        <f>IF(AT30&gt;7.5, "TIER 1",
IF(AT30&gt;6.5, "TIER 2",
IF(AT30&gt;5.5, "TIER 3",
IF(AT30&gt;4.5, "TIER 4",
IF(AT30&gt;3.5, "TIER 5",
IF(AT30&gt;2,  "TIER 6",
IF(AT30&gt;0,  "TIER 7",
"TIER 8")))))))</f>
        <v>TIER 8</v>
      </c>
      <c r="W30" s="1" t="s">
        <v>139</v>
      </c>
      <c r="X30" s="8" t="s">
        <v>140</v>
      </c>
      <c r="Y30" s="8">
        <f>VLOOKUP(YEar9Table[[#This Row],[Player]],ImportTable15[],2,FALSE)</f>
        <v>1.4444440000000001</v>
      </c>
      <c r="Z30" s="8">
        <f>VLOOKUP(YEar9Table[[#This Row],[Player]],ImportTable15[],3,FALSE)</f>
        <v>0.42857099999999998</v>
      </c>
      <c r="AA30" s="8">
        <f>VLOOKUP(YEar9Table[[#This Row],[Player]],ImportTable15[],4,FALSE)</f>
        <v>4</v>
      </c>
      <c r="AB30" s="8">
        <f>VLOOKUP(YEar9Table[[#This Row],[Player]],ImportTable15[],5,FALSE)</f>
        <v>8</v>
      </c>
      <c r="AC30" s="8">
        <f>VLOOKUP(YEar9Table[[#This Row],[Player]],ImportTable15[],6,FALSE)</f>
        <v>7</v>
      </c>
      <c r="AD30" s="8">
        <f>VLOOKUP(YEar9Table[[#This Row],[Player]],ImportTable15[],7,FALSE)</f>
        <v>4</v>
      </c>
      <c r="AE30" s="77">
        <f>VLOOKUP(YEar9Table[[#This Row],[Player]],ImportTable15[],8,FALSE)</f>
        <v>60</v>
      </c>
      <c r="AF30" s="77">
        <f>VLOOKUP(YEar9Table[[#This Row],[Player]],ImportTable15[],9,FALSE)</f>
        <v>50</v>
      </c>
      <c r="AG30" s="8">
        <f>VLOOKUP(YEar9Table[[#This Row],[Player]],ImportTable15[],10,FALSE)</f>
        <v>1</v>
      </c>
      <c r="AH30" s="8">
        <f>VLOOKUP(YEar9Table[[#This Row],[Player]],ImportTable15[],11,FALSE)</f>
        <v>3</v>
      </c>
      <c r="AI30" s="8" t="str">
        <f>IF(YEar9Table[[#This Row],[Ranked Wins]]=YEar9Table[[#This Row],[Wins in Stacks]],"Y","N")</f>
        <v>N</v>
      </c>
      <c r="AJ30" s="8" t="str">
        <f>IF(YEar9Table[[#This Row],[Ranked Losses]]=YEar9Table[[#This Row],[Losses in Stacks]],"Y","N")</f>
        <v>N</v>
      </c>
      <c r="AK30" s="3">
        <f>IFERROR(YEar9Table[[#This Row],[Ranked Wins]]/(YEar9Table[[#This Row],[Ranked Wins]]+YEar9Table[[#This Row],[Ranked Losses]]),0)</f>
        <v>0.25</v>
      </c>
      <c r="AL30" s="3">
        <f>IFERROR(YEar9Table[[#This Row],[Attack Wins]]/(YEar9Table[[#This Row],[Attack Wins]]+YEar9Table[[#This Row],[Attack Losses]]),0)</f>
        <v>0.33333333333333331</v>
      </c>
      <c r="AM30" s="3">
        <f>IFERROR(YEar9Table[[#This Row],[Defense Wins]]/(YEar9Table[[#This Row],[Defense Wins]]+YEar9Table[[#This Row],[Defense Losses]]),0)</f>
        <v>0.63636363636363635</v>
      </c>
      <c r="AN30" s="1" cm="1">
        <f t="array" ref="AN30">IFERROR(SUMPRODUCT(($B$2:$B$131=YEar9Table[[#This Row],[Player]])*$L$2:$L$131),0)+IFERROR(SUMPRODUCT(($C$2:$C$131=YEar9Table[[#This Row],[Player]])*$L$2:$L$131),0)+IFERROR(SUMPRODUCT(($E$2:$E$131=YEar9Table[[#This Row],[Player]])*$L$2:$L$131),0)+IFERROR(SUMPRODUCT(($D$2:$D$131=YEar9Table[[#This Row],[Player]])*$L$2:$L$131),0)+IFERROR(SUMPRODUCT(($F$2:$F$131=YEar9Table[[#This Row],[Player]])*$L$2:$L$131),0)</f>
        <v>0</v>
      </c>
      <c r="AO30" s="1" cm="1">
        <f t="array" ref="AO30">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30" s="1">
        <f>YEar9Table[[#This Row],[Wins in Stacks]]+YEar9Table[[#This Row],[Losses in Stacks]]</f>
        <v>0</v>
      </c>
      <c r="AQ30" s="3">
        <f>IFERROR(YEar9Table[[#This Row],[Wins in Stacks]]/YEar9Table[[#This Row],[Total Games In Stacks]],0)</f>
        <v>0</v>
      </c>
      <c r="AR30" s="75">
        <v>0.01</v>
      </c>
      <c r="AS30" s="21">
        <v>6</v>
      </c>
      <c r="AT30" s="20" cm="1">
        <f t="array" ref="AT30">(YEar9Table[[#This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-21.087385149474891</v>
      </c>
    </row>
    <row r="31" spans="1:63">
      <c r="A31" s="156" t="str">
        <f>_xlfn.TEXTJOIN(",",TRUE,_xlfn._xlws.SORT(_xlfn.TEXTSPLIT(_xlfn.TEXTJOIN(",",TRUE,_xlfn._xlws.SORT($B31:$F31, 1, -1, FALSE)),"WWWWW",",")))</f>
        <v>Chromius.TAMU,Glonk.MB,Kermitt.MB,Strugg1er.,Viests.</v>
      </c>
      <c r="B31" s="153" t="s">
        <v>77</v>
      </c>
      <c r="C31" s="153" t="s">
        <v>162</v>
      </c>
      <c r="D31" s="153" t="s">
        <v>118</v>
      </c>
      <c r="E31" s="153" t="s">
        <v>111</v>
      </c>
      <c r="F31" s="159" t="s">
        <v>185</v>
      </c>
      <c r="G31" s="154" t="str">
        <f>IFERROR(VLOOKUP(Y9S1[[#This Row],[Player 1]],YEar9Table[],2,FALSE),0)</f>
        <v>TIER 1</v>
      </c>
      <c r="H31" s="153" t="str">
        <f>IFERROR(VLOOKUP(Y9S1[[#This Row],[Player 2]],YEar9Table[],2,FALSE),"")</f>
        <v>TIER 2</v>
      </c>
      <c r="I31" s="153" t="str">
        <f>IFERROR(VLOOKUP(Y9S1[[#This Row],[Player 3]],YEar9Table[],2,FALSE),"")</f>
        <v>TIER 4</v>
      </c>
      <c r="J31" s="153" t="str">
        <f>IFERROR(VLOOKUP(Y9S1[[#This Row],[Player 4]],YEar9Table[],2,FALSE),"")</f>
        <v>TIER 8</v>
      </c>
      <c r="K31" s="159" t="str">
        <f>IFERROR(VLOOKUP(Y9S1[[#This Row],[Player 5]],YEar9Table[],2,FALSE),"")</f>
        <v>TIER 7</v>
      </c>
      <c r="L31" s="40">
        <v>1</v>
      </c>
      <c r="M31" s="40">
        <v>0</v>
      </c>
      <c r="N31" s="40">
        <f>$L31+$M31</f>
        <v>1</v>
      </c>
      <c r="O31" s="50">
        <f>IFERROR(L31/(M31+L31),0)</f>
        <v>1</v>
      </c>
      <c r="P31" s="104">
        <f>(((Y9S1[[#This Row],[Wins]]*1.3)-Y9S1[[#This Row],[Losses]])/SUM(Y9S1[Games Played]))*10</f>
        <v>4.980842911877395E-2</v>
      </c>
      <c r="Q31" s="182"/>
      <c r="R31"/>
      <c r="S31" s="1"/>
      <c r="T31" s="1"/>
      <c r="U31" s="1" t="str">
        <f>YEar9Table[[#This Row],[Player]]</f>
        <v>JoeHashish.TAMU</v>
      </c>
      <c r="V31" s="1" t="str">
        <f>IF(AT31&gt;7.5, "TIER 1",
IF(AT31&gt;6.5, "TIER 2",
IF(AT31&gt;5.5, "TIER 3",
IF(AT31&gt;4.5, "TIER 4",
IF(AT31&gt;3.5, "TIER 5",
IF(AT31&gt;2,  "TIER 6",
IF(AT31&gt;0,  "TIER 7",
"TIER 8")))))))</f>
        <v>TIER 8</v>
      </c>
      <c r="W31" s="1" t="s">
        <v>147</v>
      </c>
      <c r="X31" s="1" t="s">
        <v>148</v>
      </c>
      <c r="Y31" s="8">
        <f>VLOOKUP(YEar9Table[[#This Row],[Player]],ImportTable15[],2,FALSE)</f>
        <v>0.65384600000000004</v>
      </c>
      <c r="Z31" s="8">
        <f>VLOOKUP(YEar9Table[[#This Row],[Player]],ImportTable15[],3,FALSE)</f>
        <v>0.74418600000000001</v>
      </c>
      <c r="AA31" s="8">
        <f>VLOOKUP(YEar9Table[[#This Row],[Player]],ImportTable15[],4,FALSE)</f>
        <v>20</v>
      </c>
      <c r="AB31" s="8">
        <f>VLOOKUP(YEar9Table[[#This Row],[Player]],ImportTable15[],5,FALSE)</f>
        <v>44</v>
      </c>
      <c r="AC31" s="8">
        <f>VLOOKUP(YEar9Table[[#This Row],[Player]],ImportTable15[],6,FALSE)</f>
        <v>36</v>
      </c>
      <c r="AD31" s="8">
        <f>VLOOKUP(YEar9Table[[#This Row],[Player]],ImportTable15[],7,FALSE)</f>
        <v>27</v>
      </c>
      <c r="AE31" s="77">
        <f>VLOOKUP(YEar9Table[[#This Row],[Player]],ImportTable15[],8,FALSE)</f>
        <v>29.176670000000001</v>
      </c>
      <c r="AF31" s="77">
        <f>VLOOKUP(YEar9Table[[#This Row],[Player]],ImportTable15[],9,FALSE)</f>
        <v>55.294440000000002</v>
      </c>
      <c r="AG31" s="8">
        <f>VLOOKUP(YEar9Table[[#This Row],[Player]],ImportTable15[],10,FALSE)</f>
        <v>9</v>
      </c>
      <c r="AH31" s="8">
        <f>VLOOKUP(YEar9Table[[#This Row],[Player]],ImportTable15[],11,FALSE)</f>
        <v>14</v>
      </c>
      <c r="AI31" s="8" t="str">
        <f>IF(YEar9Table[[#This Row],[Ranked Wins]]=YEar9Table[[#This Row],[Wins in Stacks]],"Y","N")</f>
        <v>N</v>
      </c>
      <c r="AJ31" s="8" t="str">
        <f>IF(YEar9Table[[#This Row],[Ranked Losses]]=YEar9Table[[#This Row],[Losses in Stacks]],"Y","N")</f>
        <v>N</v>
      </c>
      <c r="AK31" s="3">
        <f>IFERROR(YEar9Table[[#This Row],[Ranked Wins]]/(YEar9Table[[#This Row],[Ranked Wins]]+YEar9Table[[#This Row],[Ranked Losses]]),0)</f>
        <v>0.39130434782608697</v>
      </c>
      <c r="AL31" s="3">
        <f>IFERROR(YEar9Table[[#This Row],[Attack Wins]]/(YEar9Table[[#This Row],[Attack Wins]]+YEar9Table[[#This Row],[Attack Losses]]),0)</f>
        <v>0.3125</v>
      </c>
      <c r="AM31" s="3">
        <f>IFERROR(YEar9Table[[#This Row],[Defense Wins]]/(YEar9Table[[#This Row],[Defense Wins]]+YEar9Table[[#This Row],[Defense Losses]]),0)</f>
        <v>0.5714285714285714</v>
      </c>
      <c r="AN31" s="1" cm="1">
        <f t="array" ref="AN31">IFERROR(SUMPRODUCT(($B$2:$B$131=YEar9Table[[#This Row],[Player]])*$L$2:$L$131),0)+IFERROR(SUMPRODUCT(($C$2:$C$131=YEar9Table[[#This Row],[Player]])*$L$2:$L$131),0)+IFERROR(SUMPRODUCT(($E$2:$E$131=YEar9Table[[#This Row],[Player]])*$L$2:$L$131),0)+IFERROR(SUMPRODUCT(($D$2:$D$131=YEar9Table[[#This Row],[Player]])*$L$2:$L$131),0)+IFERROR(SUMPRODUCT(($F$2:$F$131=YEar9Table[[#This Row],[Player]])*$L$2:$L$131),0)</f>
        <v>2</v>
      </c>
      <c r="AO31" s="1" cm="1">
        <f t="array" ref="AO31">IFERROR(SUMPRODUCT(($B$2:$B$131=YEar9Table[[#This Row],[Player]])*$M$2:$M$131),0)+IFERROR(SUMPRODUCT(($C$2:$C$131=YEar9Table[[#This Row],[Player]])*$M$2:$M$131),0)+IFERROR(SUMPRODUCT(($D$2:$D$131=YEar9Table[[#This Row],[Player]])*$M$2:$M$131),0)+IFERROR(SUMPRODUCT(($E$2:$E$131=YEar9Table[[#This Row],[Player]])*$M$2:$M$131),0)+IFERROR(SUMPRODUCT(($F$2:$F$131=YEar9Table[[#This Row],[Player]])*$M$2:$M$131),0)</f>
        <v>2</v>
      </c>
      <c r="AP31" s="1">
        <f>YEar9Table[[#This Row],[Wins in Stacks]]+YEar9Table[[#This Row],[Losses in Stacks]]</f>
        <v>4</v>
      </c>
      <c r="AQ31" s="3">
        <f>IFERROR(YEar9Table[[#This Row],[Wins in Stacks]]/YEar9Table[[#This Row],[Total Games In Stacks]],0)</f>
        <v>0.5</v>
      </c>
      <c r="AR31" s="75">
        <v>0.3</v>
      </c>
      <c r="AS31" s="74">
        <v>3</v>
      </c>
      <c r="AT31" s="20" cm="1">
        <f t="array" ref="AT31">(YEar9Table[[#This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-7.659897653898005</v>
      </c>
    </row>
    <row r="32" spans="1:63">
      <c r="A32" s="156" t="str">
        <f>_xlfn.TEXTJOIN(",",TRUE,_xlfn._xlws.SORT(_xlfn.TEXTSPLIT(_xlfn.TEXTJOIN(",",TRUE,_xlfn._xlws.SORT($B32:$F32, 1, -1, FALSE)),"WWWWW",",")))</f>
        <v>Chromius.TAMU,Fallen.Rqnger,Kermitt.MB,PincheConcha,Viests.</v>
      </c>
      <c r="B32" s="153" t="s">
        <v>77</v>
      </c>
      <c r="C32" s="153" t="s">
        <v>86</v>
      </c>
      <c r="D32" s="153" t="s">
        <v>91</v>
      </c>
      <c r="E32" s="153" t="s">
        <v>118</v>
      </c>
      <c r="F32" s="153" t="s">
        <v>185</v>
      </c>
      <c r="G32" s="154" t="str">
        <f>IFERROR(VLOOKUP(Y9S1[[#This Row],[Player 1]],YEar9Table[],2,FALSE),0)</f>
        <v>TIER 1</v>
      </c>
      <c r="H32" s="153" t="str">
        <f>IFERROR(VLOOKUP(Y9S1[[#This Row],[Player 2]],YEar9Table[],2,FALSE),"")</f>
        <v>TIER 7</v>
      </c>
      <c r="I32" s="153" t="str">
        <f>IFERROR(VLOOKUP(Y9S1[[#This Row],[Player 3]],YEar9Table[],2,FALSE),"")</f>
        <v>TIER 3</v>
      </c>
      <c r="J32" s="153" t="str">
        <f>IFERROR(VLOOKUP(Y9S1[[#This Row],[Player 4]],YEar9Table[],2,FALSE),"")</f>
        <v>TIER 4</v>
      </c>
      <c r="K32" s="159" t="str">
        <f>IFERROR(VLOOKUP(Y9S1[[#This Row],[Player 5]],YEar9Table[],2,FALSE),"")</f>
        <v>TIER 7</v>
      </c>
      <c r="L32" s="40">
        <v>1</v>
      </c>
      <c r="M32" s="40">
        <v>0</v>
      </c>
      <c r="N32" s="40">
        <f>$L32+$M32</f>
        <v>1</v>
      </c>
      <c r="O32" s="50">
        <f>IFERROR(L32/(M32+L32),0)</f>
        <v>1</v>
      </c>
      <c r="P32" s="103">
        <f>(((Y9S1[[#This Row],[Wins]]*1.3)-Y9S1[[#This Row],[Losses]])/SUM(Y9S1[Games Played]))*10</f>
        <v>4.980842911877395E-2</v>
      </c>
      <c r="Q32" s="182"/>
      <c r="R32"/>
      <c r="S32" s="1"/>
      <c r="T32" s="1"/>
      <c r="U32" s="1" t="str">
        <f>YEar9Table[[#This Row],[Player]]</f>
        <v>Rat_Squilla</v>
      </c>
      <c r="V32" s="1" t="str">
        <f>IF(AT32&gt;7.5, "TIER 1",
IF(AT32&gt;6.5, "TIER 2",
IF(AT32&gt;5.5, "TIER 3",
IF(AT32&gt;4.5, "TIER 4",
IF(AT32&gt;3.5, "TIER 5",
IF(AT32&gt;2,  "TIER 6",
IF(AT32&gt;0,  "TIER 7",
"TIER 8")))))))</f>
        <v>TIER 8</v>
      </c>
      <c r="W32" s="1" t="s">
        <v>151</v>
      </c>
      <c r="X32" s="8" t="s">
        <v>152</v>
      </c>
      <c r="Y32" s="8">
        <f>VLOOKUP(YEar9Table[[#This Row],[Player]],ImportTable15[],2,FALSE)</f>
        <v>0.95045000000000002</v>
      </c>
      <c r="Z32" s="8">
        <f>VLOOKUP(YEar9Table[[#This Row],[Player]],ImportTable15[],3,FALSE)</f>
        <v>0.96568600000000004</v>
      </c>
      <c r="AA32" s="8">
        <f>VLOOKUP(YEar9Table[[#This Row],[Player]],ImportTable15[],4,FALSE)</f>
        <v>140</v>
      </c>
      <c r="AB32" s="8">
        <f>VLOOKUP(YEar9Table[[#This Row],[Player]],ImportTable15[],5,FALSE)</f>
        <v>154</v>
      </c>
      <c r="AC32" s="8">
        <f>VLOOKUP(YEar9Table[[#This Row],[Player]],ImportTable15[],6,FALSE)</f>
        <v>161</v>
      </c>
      <c r="AD32" s="8">
        <f>VLOOKUP(YEar9Table[[#This Row],[Player]],ImportTable15[],7,FALSE)</f>
        <v>114</v>
      </c>
      <c r="AE32" s="77">
        <f>VLOOKUP(YEar9Table[[#This Row],[Player]],ImportTable15[],8,FALSE)</f>
        <v>52.795000000000002</v>
      </c>
      <c r="AF32" s="77">
        <f>VLOOKUP(YEar9Table[[#This Row],[Player]],ImportTable15[],9,FALSE)</f>
        <v>52.921999999999997</v>
      </c>
      <c r="AG32" s="1">
        <f>VLOOKUP(YEar9Table[[#This Row],[Player]],ImportTable15[],10,FALSE)</f>
        <v>54</v>
      </c>
      <c r="AH32" s="8">
        <f>VLOOKUP(YEar9Table[[#This Row],[Player]],ImportTable15[],11,FALSE)</f>
        <v>51</v>
      </c>
      <c r="AI32" s="8" t="str">
        <f>IF(YEar9Table[[#This Row],[Ranked Wins]]=YEar9Table[[#This Row],[Wins in Stacks]],"Y","N")</f>
        <v>N</v>
      </c>
      <c r="AJ32" s="8" t="str">
        <f>IF(YEar9Table[[#This Row],[Ranked Losses]]=YEar9Table[[#This Row],[Losses in Stacks]],"Y","N")</f>
        <v>N</v>
      </c>
      <c r="AK32" s="3">
        <f>IFERROR(YEar9Table[[#This Row],[Ranked Wins]]/(YEar9Table[[#This Row],[Ranked Wins]]+YEar9Table[[#This Row],[Ranked Losses]]),0)</f>
        <v>0.51428571428571423</v>
      </c>
      <c r="AL32" s="3">
        <f>IFERROR(YEar9Table[[#This Row],[Attack Wins]]/(YEar9Table[[#This Row],[Attack Wins]]+YEar9Table[[#This Row],[Attack Losses]]),0)</f>
        <v>0.47619047619047616</v>
      </c>
      <c r="AM32" s="3">
        <f>IFERROR(YEar9Table[[#This Row],[Defense Wins]]/(YEar9Table[[#This Row],[Defense Wins]]+YEar9Table[[#This Row],[Defense Losses]]),0)</f>
        <v>0.58545454545454545</v>
      </c>
      <c r="AN32" s="1" cm="1">
        <f t="array" ref="AN32">IFERROR(SUMPRODUCT(($B$2:$B$131=YEar9Table[[#This Row],[Player]])*$L$2:$L$131),0)+IFERROR(SUMPRODUCT(($C$2:$C$131=YEar9Table[[#This Row],[Player]])*$L$2:$L$131),0)+IFERROR(SUMPRODUCT(($E$2:$E$131=YEar9Table[[#This Row],[Player]])*$L$2:$L$131),0)+IFERROR(SUMPRODUCT(($D$2:$D$131=YEar9Table[[#This Row],[Player]])*$L$2:$L$131),0)+IFERROR(SUMPRODUCT(($F$2:$F$131=YEar9Table[[#This Row],[Player]])*$L$2:$L$131),0)</f>
        <v>0</v>
      </c>
      <c r="AO32" s="1" cm="1">
        <f t="array" ref="AO32">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32" s="1">
        <f>YEar9Table[[#This Row],[Wins in Stacks]]+YEar9Table[[#This Row],[Losses in Stacks]]</f>
        <v>0</v>
      </c>
      <c r="AQ32" s="3">
        <f>IFERROR(YEar9Table[[#This Row],[Wins in Stacks]]/YEar9Table[[#This Row],[Total Games In Stacks]],0)</f>
        <v>0</v>
      </c>
      <c r="AR32" s="75">
        <v>0.05</v>
      </c>
      <c r="AS32" s="21">
        <v>6</v>
      </c>
      <c r="AT32" s="20" cm="1">
        <f t="array" ref="AT32">(YEar9Table[[#This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-17.510226487137231</v>
      </c>
    </row>
    <row r="33" spans="1:48">
      <c r="A33" s="156" t="str">
        <f>_xlfn.TEXTJOIN(",",TRUE,_xlfn._xlws.SORT(_xlfn.TEXTSPLIT(_xlfn.TEXTJOIN(",",TRUE,_xlfn._xlws.SORT($B33:$F33, 1, -1, FALSE)),"WWWWW",",")))</f>
        <v>Chromius.TAMU,Kermitt.MB,mason10_10,Strugg1er.,Viests.</v>
      </c>
      <c r="B33" s="153" t="s">
        <v>77</v>
      </c>
      <c r="C33" s="153" t="s">
        <v>118</v>
      </c>
      <c r="D33" s="153" t="s">
        <v>185</v>
      </c>
      <c r="E33" s="153" t="s">
        <v>111</v>
      </c>
      <c r="F33" s="153" t="s">
        <v>163</v>
      </c>
      <c r="G33" s="154" t="str">
        <f>IFERROR(VLOOKUP(Y9S1[[#This Row],[Player 1]],YEar9Table[],2,FALSE),0)</f>
        <v>TIER 1</v>
      </c>
      <c r="H33" s="153" t="str">
        <f>IFERROR(VLOOKUP(Y9S1[[#This Row],[Player 2]],YEar9Table[],2,FALSE),"")</f>
        <v>TIER 4</v>
      </c>
      <c r="I33" s="153" t="str">
        <f>IFERROR(VLOOKUP(Y9S1[[#This Row],[Player 3]],YEar9Table[],2,FALSE),"")</f>
        <v>TIER 7</v>
      </c>
      <c r="J33" s="153" t="str">
        <f>IFERROR(VLOOKUP(Y9S1[[#This Row],[Player 4]],YEar9Table[],2,FALSE),"")</f>
        <v>TIER 8</v>
      </c>
      <c r="K33" s="159" t="str">
        <f>IFERROR(VLOOKUP(Y9S1[[#This Row],[Player 5]],YEar9Table[],2,FALSE),"")</f>
        <v>TIER 8</v>
      </c>
      <c r="L33" s="40">
        <v>1</v>
      </c>
      <c r="M33" s="40">
        <v>0</v>
      </c>
      <c r="N33" s="40">
        <f>$L33+$M33</f>
        <v>1</v>
      </c>
      <c r="O33" s="50">
        <f>IFERROR(L33/(M33+L33),0)</f>
        <v>1</v>
      </c>
      <c r="P33" s="103">
        <f>(((Y9S1[[#This Row],[Wins]]*1.3)-Y9S1[[#This Row],[Losses]])/SUM(Y9S1[Games Played]))*10</f>
        <v>4.980842911877395E-2</v>
      </c>
      <c r="Q33" s="182"/>
      <c r="R33"/>
      <c r="S33" s="39"/>
      <c r="T33" s="1"/>
      <c r="U33" s="1" t="str">
        <f>YEar9Table[[#This Row],[Player]]</f>
        <v>TheFifthSuit</v>
      </c>
      <c r="V33" s="1" t="str">
        <f>IF(AT33&gt;7.5, "TIER 1",
IF(AT33&gt;6.5, "TIER 2",
IF(AT33&gt;5.5, "TIER 3",
IF(AT33&gt;4.5, "TIER 4",
IF(AT33&gt;3.5, "TIER 5",
IF(AT33&gt;2,  "TIER 6",
IF(AT33&gt;0,  "TIER 7",
"TIER 8")))))))</f>
        <v>TIER 8</v>
      </c>
      <c r="W33" s="111" t="s">
        <v>249</v>
      </c>
      <c r="X33" s="111" t="s">
        <v>190</v>
      </c>
      <c r="Y33" s="8">
        <f>VLOOKUP(YEar9Table[[#This Row],[Player]],ImportTable15[],2,FALSE)</f>
        <v>0</v>
      </c>
      <c r="Z33" s="8">
        <f>VLOOKUP(YEar9Table[[#This Row],[Player]],ImportTable15[],3,FALSE)</f>
        <v>0</v>
      </c>
      <c r="AA33" s="8">
        <f>VLOOKUP(YEar9Table[[#This Row],[Player]],ImportTable15[],4,FALSE)</f>
        <v>0</v>
      </c>
      <c r="AB33" s="8">
        <f>VLOOKUP(YEar9Table[[#This Row],[Player]],ImportTable15[],5,FALSE)</f>
        <v>0</v>
      </c>
      <c r="AC33" s="8">
        <f>VLOOKUP(YEar9Table[[#This Row],[Player]],ImportTable15[],6,FALSE)</f>
        <v>0</v>
      </c>
      <c r="AD33" s="8">
        <f>VLOOKUP(YEar9Table[[#This Row],[Player]],ImportTable15[],7,FALSE)</f>
        <v>0</v>
      </c>
      <c r="AE33" s="77">
        <f>VLOOKUP(YEar9Table[[#This Row],[Player]],ImportTable15[],8,FALSE)</f>
        <v>0</v>
      </c>
      <c r="AF33" s="77">
        <f>VLOOKUP(YEar9Table[[#This Row],[Player]],ImportTable15[],9,FALSE)</f>
        <v>0</v>
      </c>
      <c r="AG33" s="8">
        <f>VLOOKUP(YEar9Table[[#This Row],[Player]],ImportTable15[],10,FALSE)</f>
        <v>0</v>
      </c>
      <c r="AH33" s="8">
        <f>VLOOKUP(YEar9Table[[#This Row],[Player]],ImportTable15[],11,FALSE)</f>
        <v>0</v>
      </c>
      <c r="AI33" s="8" t="str">
        <f>IF(YEar9Table[[#This Row],[Ranked Wins]]=YEar9Table[[#This Row],[Wins in Stacks]],"Y","N")</f>
        <v>N</v>
      </c>
      <c r="AJ33" s="8" t="str">
        <f>IF(YEar9Table[[#This Row],[Ranked Losses]]=YEar9Table[[#This Row],[Losses in Stacks]],"Y","N")</f>
        <v>Y</v>
      </c>
      <c r="AK33" s="3">
        <f>IFERROR(YEar9Table[[#This Row],[Ranked Wins]]/(YEar9Table[[#This Row],[Ranked Wins]]+YEar9Table[[#This Row],[Ranked Losses]]),0)</f>
        <v>0</v>
      </c>
      <c r="AL33" s="3">
        <f>IFERROR(YEar9Table[[#This Row],[Attack Wins]]/(YEar9Table[[#This Row],[Attack Wins]]+YEar9Table[[#This Row],[Attack Losses]]),0)</f>
        <v>0</v>
      </c>
      <c r="AM33" s="3">
        <f>IFERROR(YEar9Table[[#This Row],[Defense Wins]]/(YEar9Table[[#This Row],[Defense Wins]]+YEar9Table[[#This Row],[Defense Losses]]),0)</f>
        <v>0</v>
      </c>
      <c r="AN33" s="1" cm="1">
        <f t="array" ref="AN33">IFERROR(SUMPRODUCT(($B$2:$B$131=YEar9Table[[#This Row],[Player]])*$L$2:$L$131),0)+IFERROR(SUMPRODUCT(($C$2:$C$131=YEar9Table[[#This Row],[Player]])*$L$2:$L$131),0)+IFERROR(SUMPRODUCT(($E$2:$E$131=YEar9Table[[#This Row],[Player]])*$L$2:$L$131),0)+IFERROR(SUMPRODUCT(($D$2:$D$131=YEar9Table[[#This Row],[Player]])*$L$2:$L$131),0)+IFERROR(SUMPRODUCT(($F$2:$F$131=YEar9Table[[#This Row],[Player]])*$L$2:$L$131),0)</f>
        <v>1</v>
      </c>
      <c r="AO33" s="1" cm="1">
        <f t="array" ref="AO33">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33" s="1">
        <f>YEar9Table[[#This Row],[Wins in Stacks]]+YEar9Table[[#This Row],[Losses in Stacks]]</f>
        <v>1</v>
      </c>
      <c r="AQ33" s="3">
        <f>IFERROR(YEar9Table[[#This Row],[Wins in Stacks]]/YEar9Table[[#This Row],[Total Games In Stacks]],0)</f>
        <v>1</v>
      </c>
      <c r="AR33" s="75">
        <v>0.5</v>
      </c>
      <c r="AS33" s="21">
        <v>3</v>
      </c>
      <c r="AT33" s="20" cm="1">
        <f t="array" ref="AT33">(YEar9Table[[#This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-18.25736984644459</v>
      </c>
    </row>
    <row r="34" spans="1:48">
      <c r="A34" s="156" t="str">
        <f>_xlfn.TEXTJOIN(",",TRUE,_xlfn._xlws.SORT(_xlfn.TEXTSPLIT(_xlfn.TEXTJOIN(",",TRUE,_xlfn._xlws.SORT($B34:$F34, 1, -1, FALSE)),"WWWWW",",")))</f>
        <v>Chromius.TAMU,Kermitt.MB,Strugg1er.,Viests.</v>
      </c>
      <c r="B34" s="153" t="s">
        <v>77</v>
      </c>
      <c r="C34" s="153" t="s">
        <v>118</v>
      </c>
      <c r="D34" s="153" t="s">
        <v>185</v>
      </c>
      <c r="E34" s="153" t="s">
        <v>111</v>
      </c>
      <c r="F34" s="153"/>
      <c r="G34" s="154" t="str">
        <f>IFERROR(VLOOKUP(Y9S1[[#This Row],[Player 1]],YEar9Table[],2,FALSE),0)</f>
        <v>TIER 1</v>
      </c>
      <c r="H34" s="162" t="str">
        <f>IFERROR(VLOOKUP(Y9S1[[#This Row],[Player 2]],YEar9Table[],2,FALSE),"")</f>
        <v>TIER 4</v>
      </c>
      <c r="I34" s="153" t="str">
        <f>IFERROR(VLOOKUP(Y9S1[[#This Row],[Player 3]],YEar9Table[],2,FALSE),"")</f>
        <v>TIER 7</v>
      </c>
      <c r="J34" s="153" t="str">
        <f>IFERROR(VLOOKUP(Y9S1[[#This Row],[Player 4]],YEar9Table[],2,FALSE),"")</f>
        <v>TIER 8</v>
      </c>
      <c r="K34" s="159" t="str">
        <f>IFERROR(VLOOKUP(Y9S1[[#This Row],[Player 5]],YEar9Table[],2,FALSE),"")</f>
        <v/>
      </c>
      <c r="L34" s="40">
        <v>1</v>
      </c>
      <c r="M34" s="40">
        <v>0</v>
      </c>
      <c r="N34" s="40">
        <f>$L34+$M34</f>
        <v>1</v>
      </c>
      <c r="O34" s="50">
        <f>IFERROR(L34/(M34+L34),0)</f>
        <v>1</v>
      </c>
      <c r="P34" s="103">
        <f>(((Y9S1[[#This Row],[Wins]]*1.3)-Y9S1[[#This Row],[Losses]])/SUM(Y9S1[Games Played]))*10</f>
        <v>4.980842911877395E-2</v>
      </c>
      <c r="Q34" s="182"/>
      <c r="S34" s="39"/>
      <c r="T34" s="106"/>
      <c r="U34" s="1" t="str">
        <f>YEar9Table[[#This Row],[Player]]</f>
        <v>catsanddog123</v>
      </c>
      <c r="V34" s="1" t="str">
        <f>IF(AT34&gt;7.5, "TIER 1",
IF(AT34&gt;6.5, "TIER 2",
IF(AT34&gt;5.5, "TIER 3",
IF(AT34&gt;4.5, "TIER 4",
IF(AT34&gt;3.5, "TIER 5",
IF(AT34&gt;2,  "TIER 6",
IF(AT34&gt;0,  "TIER 7",
"TIER 8")))))))</f>
        <v>TIER 8</v>
      </c>
      <c r="W34" s="153" t="s">
        <v>156</v>
      </c>
      <c r="X34" s="188" t="s">
        <v>157</v>
      </c>
      <c r="Y34" s="8">
        <f>VLOOKUP(YEar9Table[[#This Row],[Player]],ImportTable15[],2,FALSE)</f>
        <v>0</v>
      </c>
      <c r="Z34" s="8">
        <f>VLOOKUP(YEar9Table[[#This Row],[Player]],ImportTable15[],3,FALSE)</f>
        <v>0</v>
      </c>
      <c r="AA34" s="8">
        <f>VLOOKUP(YEar9Table[[#This Row],[Player]],ImportTable15[],4,FALSE)</f>
        <v>0</v>
      </c>
      <c r="AB34" s="8">
        <f>VLOOKUP(YEar9Table[[#This Row],[Player]],ImportTable15[],5,FALSE)</f>
        <v>0</v>
      </c>
      <c r="AC34" s="8">
        <f>VLOOKUP(YEar9Table[[#This Row],[Player]],ImportTable15[],6,FALSE)</f>
        <v>0</v>
      </c>
      <c r="AD34" s="8">
        <f>VLOOKUP(YEar9Table[[#This Row],[Player]],ImportTable15[],7,FALSE)</f>
        <v>0</v>
      </c>
      <c r="AE34" s="77">
        <f>VLOOKUP(YEar9Table[[#This Row],[Player]],ImportTable15[],8,FALSE)</f>
        <v>0</v>
      </c>
      <c r="AF34" s="77">
        <f>VLOOKUP(YEar9Table[[#This Row],[Player]],ImportTable15[],9,FALSE)</f>
        <v>0</v>
      </c>
      <c r="AG34" s="8">
        <f>VLOOKUP(YEar9Table[[#This Row],[Player]],ImportTable15[],10,FALSE)</f>
        <v>0</v>
      </c>
      <c r="AH34" s="8">
        <f>VLOOKUP(YEar9Table[[#This Row],[Player]],ImportTable15[],11,FALSE)</f>
        <v>0</v>
      </c>
      <c r="AI34" s="8" t="str">
        <f>IF(YEar9Table[[#This Row],[Ranked Wins]]=YEar9Table[[#This Row],[Wins in Stacks]],"Y","N")</f>
        <v>N</v>
      </c>
      <c r="AJ34" s="8" t="str">
        <f>IF(YEar9Table[[#This Row],[Ranked Losses]]=YEar9Table[[#This Row],[Losses in Stacks]],"Y","N")</f>
        <v>Y</v>
      </c>
      <c r="AK34" s="3">
        <f>IFERROR(YEar9Table[[#This Row],[Ranked Wins]]/(YEar9Table[[#This Row],[Ranked Wins]]+YEar9Table[[#This Row],[Ranked Losses]]),0)</f>
        <v>0</v>
      </c>
      <c r="AL34" s="3">
        <f>IFERROR(YEar9Table[[#This Row],[Attack Wins]]/(YEar9Table[[#This Row],[Attack Wins]]+YEar9Table[[#This Row],[Attack Losses]]),0)</f>
        <v>0</v>
      </c>
      <c r="AM34" s="3">
        <f>IFERROR(YEar9Table[[#This Row],[Defense Wins]]/(YEar9Table[[#This Row],[Defense Wins]]+YEar9Table[[#This Row],[Defense Losses]]),0)</f>
        <v>0</v>
      </c>
      <c r="AN34" s="1" cm="1">
        <f t="array" ref="AN34">IFERROR(SUMPRODUCT(($B$2:$B$131=YEar9Table[[#This Row],[Player]])*$L$2:$L$131),0)+IFERROR(SUMPRODUCT(($C$2:$C$131=YEar9Table[[#This Row],[Player]])*$L$2:$L$131),0)+IFERROR(SUMPRODUCT(($E$2:$E$131=YEar9Table[[#This Row],[Player]])*$L$2:$L$131),0)+IFERROR(SUMPRODUCT(($D$2:$D$131=YEar9Table[[#This Row],[Player]])*$L$2:$L$131),0)+IFERROR(SUMPRODUCT(($F$2:$F$131=YEar9Table[[#This Row],[Player]])*$L$2:$L$131),0)</f>
        <v>2</v>
      </c>
      <c r="AO34" s="1" cm="1">
        <f t="array" ref="AO34">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34" s="1">
        <f>YEar9Table[[#This Row],[Wins in Stacks]]+YEar9Table[[#This Row],[Losses in Stacks]]</f>
        <v>2</v>
      </c>
      <c r="AQ34" s="3">
        <f>IFERROR(YEar9Table[[#This Row],[Wins in Stacks]]/YEar9Table[[#This Row],[Total Games In Stacks]],0)</f>
        <v>1</v>
      </c>
      <c r="AR34" s="75">
        <v>0.01</v>
      </c>
      <c r="AS34" s="21">
        <v>5</v>
      </c>
      <c r="AT34" s="20" cm="1">
        <f t="array" ref="AT34">(YEar9Table[[#This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-25.157369846444588</v>
      </c>
      <c r="AU34" s="1"/>
      <c r="AV34" s="1"/>
    </row>
    <row r="35" spans="1:48">
      <c r="A35" s="156" t="str">
        <f>_xlfn.TEXTJOIN(",",TRUE,_xlfn._xlws.SORT(_xlfn.TEXTSPLIT(_xlfn.TEXTJOIN(",",TRUE,_xlfn._xlws.SORT($B35:$F35, 1, -1, FALSE)),"WWWWW",",")))</f>
        <v>catsanddog123,Chromius.TAMU,Jamato33,Ronc.-,Viests.</v>
      </c>
      <c r="B35" s="153" t="s">
        <v>77</v>
      </c>
      <c r="C35" s="153" t="s">
        <v>233</v>
      </c>
      <c r="D35" s="153" t="s">
        <v>185</v>
      </c>
      <c r="E35" s="153" t="s">
        <v>186</v>
      </c>
      <c r="F35" s="153" t="s">
        <v>157</v>
      </c>
      <c r="G35" s="154" t="str">
        <f>IFERROR(VLOOKUP(Y9S1[[#This Row],[Player 1]],YEar9Table[],2,FALSE),0)</f>
        <v>TIER 1</v>
      </c>
      <c r="H35" s="162" t="str">
        <f>IFERROR(VLOOKUP(Y9S1[[#This Row],[Player 2]],YEar9Table[],2,FALSE),"")</f>
        <v>TIER 5</v>
      </c>
      <c r="I35" s="153" t="str">
        <f>IFERROR(VLOOKUP(Y9S1[[#This Row],[Player 3]],YEar9Table[],2,FALSE),"")</f>
        <v>TIER 7</v>
      </c>
      <c r="J35" s="153" t="str">
        <f>IFERROR(VLOOKUP(Y9S1[[#This Row],[Player 4]],YEar9Table[],2,FALSE),"")</f>
        <v>TIER 7</v>
      </c>
      <c r="K35" s="159" t="str">
        <f>IFERROR(VLOOKUP(Y9S1[[#This Row],[Player 5]],YEar9Table[],2,FALSE),"")</f>
        <v>TIER 8</v>
      </c>
      <c r="L35" s="40">
        <v>1</v>
      </c>
      <c r="M35" s="40">
        <v>0</v>
      </c>
      <c r="N35" s="40">
        <f>$L35+$M35</f>
        <v>1</v>
      </c>
      <c r="O35" s="50">
        <f>IFERROR(L35/(M35+L35),0)</f>
        <v>1</v>
      </c>
      <c r="P35" s="103">
        <f>(((Y9S1[[#This Row],[Wins]]*1.3)-Y9S1[[#This Row],[Losses]])/SUM(Y9S1[Games Played]))*10</f>
        <v>4.980842911877395E-2</v>
      </c>
      <c r="Q35" s="182"/>
      <c r="U35" s="1" t="str">
        <f>YEar9Table[[#This Row],[Player]]</f>
        <v>hawaiianpunch56</v>
      </c>
      <c r="V35" s="1" t="str">
        <f>IF(AT35&gt;7.5, "TIER 1",
IF(AT35&gt;6.5, "TIER 2",
IF(AT35&gt;5.5, "TIER 3",
IF(AT35&gt;4.5, "TIER 4",
IF(AT35&gt;3.5, "TIER 5",
IF(AT35&gt;2,  "TIER 6",
IF(AT35&gt;0,  "TIER 7",
"TIER 8")))))))</f>
        <v>TIER 8</v>
      </c>
      <c r="W35" s="8" t="s">
        <v>250</v>
      </c>
      <c r="X35" s="164" t="s">
        <v>250</v>
      </c>
      <c r="Y35" s="8">
        <f>VLOOKUP(YEar9Table[[#This Row],[Player]],ImportTable15[],2,FALSE)</f>
        <v>0</v>
      </c>
      <c r="Z35" s="8">
        <f>VLOOKUP(YEar9Table[[#This Row],[Player]],ImportTable15[],3,FALSE)</f>
        <v>0</v>
      </c>
      <c r="AA35" s="8">
        <f>VLOOKUP(YEar9Table[[#This Row],[Player]],ImportTable15[],4,FALSE)</f>
        <v>0</v>
      </c>
      <c r="AB35" s="8">
        <f>VLOOKUP(YEar9Table[[#This Row],[Player]],ImportTable15[],5,FALSE)</f>
        <v>0</v>
      </c>
      <c r="AC35" s="8">
        <f>VLOOKUP(YEar9Table[[#This Row],[Player]],ImportTable15[],6,FALSE)</f>
        <v>0</v>
      </c>
      <c r="AD35" s="8">
        <f>VLOOKUP(YEar9Table[[#This Row],[Player]],ImportTable15[],7,FALSE)</f>
        <v>0</v>
      </c>
      <c r="AE35" s="77">
        <f>VLOOKUP(YEar9Table[[#This Row],[Player]],ImportTable15[],8,FALSE)</f>
        <v>0</v>
      </c>
      <c r="AF35" s="77">
        <f>VLOOKUP(YEar9Table[[#This Row],[Player]],ImportTable15[],9,FALSE)</f>
        <v>0</v>
      </c>
      <c r="AG35" s="8">
        <f>VLOOKUP(YEar9Table[[#This Row],[Player]],ImportTable15[],10,FALSE)</f>
        <v>0</v>
      </c>
      <c r="AH35" s="8">
        <f>VLOOKUP(YEar9Table[[#This Row],[Player]],ImportTable15[],11,FALSE)</f>
        <v>0</v>
      </c>
      <c r="AI35" s="8" t="str">
        <f>IF(YEar9Table[[#This Row],[Ranked Wins]]=YEar9Table[[#This Row],[Wins in Stacks]],"Y","N")</f>
        <v>N</v>
      </c>
      <c r="AJ35" s="8" t="str">
        <f>IF(YEar9Table[[#This Row],[Ranked Losses]]=YEar9Table[[#This Row],[Losses in Stacks]],"Y","N")</f>
        <v>N</v>
      </c>
      <c r="AK35" s="3">
        <f>IFERROR(YEar9Table[[#This Row],[Ranked Wins]]/(YEar9Table[[#This Row],[Ranked Wins]]+YEar9Table[[#This Row],[Ranked Losses]]),0)</f>
        <v>0</v>
      </c>
      <c r="AL35" s="3">
        <f>IFERROR(YEar9Table[[#This Row],[Attack Wins]]/(YEar9Table[[#This Row],[Attack Wins]]+YEar9Table[[#This Row],[Attack Losses]]),0)</f>
        <v>0</v>
      </c>
      <c r="AM35" s="3">
        <f>IFERROR(YEar9Table[[#This Row],[Defense Wins]]/(YEar9Table[[#This Row],[Defense Wins]]+YEar9Table[[#This Row],[Defense Losses]]),0)</f>
        <v>0</v>
      </c>
      <c r="AN35" s="1" cm="1">
        <f t="array" ref="AN35">IFERROR(SUMPRODUCT(($B$2:$B$131=YEar9Table[[#This Row],[Player]])*$L$2:$L$131),0)+IFERROR(SUMPRODUCT(($C$2:$C$131=YEar9Table[[#This Row],[Player]])*$L$2:$L$131),0)+IFERROR(SUMPRODUCT(($E$2:$E$131=YEar9Table[[#This Row],[Player]])*$L$2:$L$131),0)+IFERROR(SUMPRODUCT(($D$2:$D$131=YEar9Table[[#This Row],[Player]])*$L$2:$L$131),0)+IFERROR(SUMPRODUCT(($F$2:$F$131=YEar9Table[[#This Row],[Player]])*$L$2:$L$131),0)</f>
        <v>3</v>
      </c>
      <c r="AO35" s="1" cm="1">
        <f t="array" ref="AO35">IFERROR(SUMPRODUCT(($B$2:$B$131=YEar9Table[[#This Row],[Player]])*$M$2:$M$131),0)+IFERROR(SUMPRODUCT(($C$2:$C$131=YEar9Table[[#This Row],[Player]])*$M$2:$M$131),0)+IFERROR(SUMPRODUCT(($D$2:$D$131=YEar9Table[[#This Row],[Player]])*$M$2:$M$131),0)+IFERROR(SUMPRODUCT(($E$2:$E$131=YEar9Table[[#This Row],[Player]])*$M$2:$M$131),0)+IFERROR(SUMPRODUCT(($F$2:$F$131=YEar9Table[[#This Row],[Player]])*$M$2:$M$131),0)</f>
        <v>1</v>
      </c>
      <c r="AP35" s="1">
        <f>YEar9Table[[#This Row],[Wins in Stacks]]+YEar9Table[[#This Row],[Losses in Stacks]]</f>
        <v>4</v>
      </c>
      <c r="AQ35" s="3">
        <f>IFERROR(YEar9Table[[#This Row],[Wins in Stacks]]/YEar9Table[[#This Row],[Total Games In Stacks]],0)</f>
        <v>0.75</v>
      </c>
      <c r="AR35" s="75">
        <v>0.1</v>
      </c>
      <c r="AS35" s="21">
        <v>4</v>
      </c>
      <c r="AT35" s="20" cm="1">
        <f t="array" ref="AT35">(YEar9Table[[#This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-28.25736984644459</v>
      </c>
      <c r="AU35" s="1"/>
      <c r="AV35" s="1"/>
    </row>
    <row r="36" spans="1:48" ht="24">
      <c r="A36" s="156" t="str">
        <f>_xlfn.TEXTJOIN(",",TRUE,_xlfn._xlws.SORT(_xlfn.TEXTSPLIT(_xlfn.TEXTJOIN(",",TRUE,_xlfn._xlws.SORT($B36:$F36, 1, -1, FALSE)),"WWWWW",",")))</f>
        <v>Blade2420,Chromius.TAMU,Jamato33</v>
      </c>
      <c r="B36" s="153" t="s">
        <v>77</v>
      </c>
      <c r="C36" s="153" t="s">
        <v>233</v>
      </c>
      <c r="D36" s="153" t="s">
        <v>113</v>
      </c>
      <c r="E36" s="153"/>
      <c r="F36" s="153"/>
      <c r="G36" s="154" t="str">
        <f>IFERROR(VLOOKUP(Y9S1[[#This Row],[Player 1]],YEar9Table[],2,FALSE),0)</f>
        <v>TIER 1</v>
      </c>
      <c r="H36" s="153" t="str">
        <f>IFERROR(VLOOKUP(Y9S1[[#This Row],[Player 2]],YEar9Table[],2,FALSE),"")</f>
        <v>TIER 5</v>
      </c>
      <c r="I36" s="153" t="str">
        <f>IFERROR(VLOOKUP(Y9S1[[#This Row],[Player 3]],YEar9Table[],2,FALSE),"")</f>
        <v>TIER 6</v>
      </c>
      <c r="J36" s="153" t="str">
        <f>IFERROR(VLOOKUP(Y9S1[[#This Row],[Player 4]],YEar9Table[],2,FALSE),"")</f>
        <v/>
      </c>
      <c r="K36" s="159" t="str">
        <f>IFERROR(VLOOKUP(Y9S1[[#This Row],[Player 5]],YEar9Table[],2,FALSE),"")</f>
        <v/>
      </c>
      <c r="L36" s="40">
        <v>1</v>
      </c>
      <c r="M36" s="40">
        <v>0</v>
      </c>
      <c r="N36" s="40">
        <f>$L36+$M36</f>
        <v>1</v>
      </c>
      <c r="O36" s="50">
        <f>IFERROR(L36/(M36+L36),0)</f>
        <v>1</v>
      </c>
      <c r="P36" s="103">
        <f>(((Y9S1[[#This Row],[Wins]]*1.3)-Y9S1[[#This Row],[Losses]])/SUM(Y9S1[Games Played]))*10</f>
        <v>4.980842911877395E-2</v>
      </c>
      <c r="Q36" s="182" t="s">
        <v>251</v>
      </c>
      <c r="U36" s="1" t="str">
        <f>YEar9Table[[#This Row],[Player]]</f>
        <v>Solias</v>
      </c>
      <c r="V36" s="1" t="str">
        <f>IF(AT36&gt;7.5, "TIER 1",
IF(AT36&gt;6.5, "TIER 2",
IF(AT36&gt;5.5, "TIER 3",
IF(AT36&gt;4.5, "TIER 4",
IF(AT36&gt;3.5, "TIER 5",
IF(AT36&gt;2,  "TIER 6",
IF(AT36&gt;0,  "TIER 7",
"TIER 8")))))))</f>
        <v>TIER 8</v>
      </c>
      <c r="W36" s="1" t="s">
        <v>252</v>
      </c>
      <c r="X36" s="1" t="s">
        <v>253</v>
      </c>
      <c r="Y36" s="8">
        <f>VLOOKUP(YEar9Table[[#This Row],[Player]],ImportTable15[],2,FALSE)</f>
        <v>0</v>
      </c>
      <c r="Z36" s="8">
        <f>VLOOKUP(YEar9Table[[#This Row],[Player]],ImportTable15[],3,FALSE)</f>
        <v>0</v>
      </c>
      <c r="AA36" s="8">
        <f>VLOOKUP(YEar9Table[[#This Row],[Player]],ImportTable15[],4,FALSE)</f>
        <v>0</v>
      </c>
      <c r="AB36" s="8">
        <f>VLOOKUP(YEar9Table[[#This Row],[Player]],ImportTable15[],5,FALSE)</f>
        <v>0</v>
      </c>
      <c r="AC36" s="8">
        <f>VLOOKUP(YEar9Table[[#This Row],[Player]],ImportTable15[],6,FALSE)</f>
        <v>0</v>
      </c>
      <c r="AD36" s="8">
        <f>VLOOKUP(YEar9Table[[#This Row],[Player]],ImportTable15[],7,FALSE)</f>
        <v>0</v>
      </c>
      <c r="AE36" s="77">
        <f>VLOOKUP(YEar9Table[[#This Row],[Player]],ImportTable15[],8,FALSE)</f>
        <v>0</v>
      </c>
      <c r="AF36" s="77">
        <f>VLOOKUP(YEar9Table[[#This Row],[Player]],ImportTable15[],9,FALSE)</f>
        <v>0</v>
      </c>
      <c r="AG36" s="8">
        <f>VLOOKUP(YEar9Table[[#This Row],[Player]],ImportTable15[],10,FALSE)</f>
        <v>0</v>
      </c>
      <c r="AH36" s="8">
        <f>VLOOKUP(YEar9Table[[#This Row],[Player]],ImportTable15[],11,FALSE)</f>
        <v>0</v>
      </c>
      <c r="AI36" s="8" t="str">
        <f>IF(YEar9Table[[#This Row],[Ranked Wins]]=YEar9Table[[#This Row],[Wins in Stacks]],"Y","N")</f>
        <v>N</v>
      </c>
      <c r="AJ36" s="8" t="str">
        <f>IF(YEar9Table[[#This Row],[Ranked Losses]]=YEar9Table[[#This Row],[Losses in Stacks]],"Y","N")</f>
        <v>N</v>
      </c>
      <c r="AK36" s="3">
        <f>IFERROR(YEar9Table[[#This Row],[Ranked Wins]]/(YEar9Table[[#This Row],[Ranked Wins]]+YEar9Table[[#This Row],[Ranked Losses]]),0)</f>
        <v>0</v>
      </c>
      <c r="AL36" s="3">
        <f>IFERROR(YEar9Table[[#This Row],[Attack Wins]]/(YEar9Table[[#This Row],[Attack Wins]]+YEar9Table[[#This Row],[Attack Losses]]),0)</f>
        <v>0</v>
      </c>
      <c r="AM36" s="3">
        <f>IFERROR(YEar9Table[[#This Row],[Defense Wins]]/(YEar9Table[[#This Row],[Defense Wins]]+YEar9Table[[#This Row],[Defense Losses]]),0)</f>
        <v>0</v>
      </c>
      <c r="AN36" s="1" cm="1">
        <f t="array" ref="AN36">IFERROR(SUMPRODUCT(($B$2:$B$131=YEar9Table[[#This Row],[Player]])*$L$2:$L$131),0)+IFERROR(SUMPRODUCT(($C$2:$C$131=YEar9Table[[#This Row],[Player]])*$L$2:$L$131),0)+IFERROR(SUMPRODUCT(($E$2:$E$131=YEar9Table[[#This Row],[Player]])*$L$2:$L$131),0)+IFERROR(SUMPRODUCT(($D$2:$D$131=YEar9Table[[#This Row],[Player]])*$L$2:$L$131),0)+IFERROR(SUMPRODUCT(($F$2:$F$131=YEar9Table[[#This Row],[Player]])*$L$2:$L$131),0)</f>
        <v>6</v>
      </c>
      <c r="AO36" s="1" cm="1">
        <f t="array" ref="AO36">IFERROR(SUMPRODUCT(($B$2:$B$131=YEar9Table[[#This Row],[Player]])*$M$2:$M$131),0)+IFERROR(SUMPRODUCT(($C$2:$C$131=YEar9Table[[#This Row],[Player]])*$M$2:$M$131),0)+IFERROR(SUMPRODUCT(($D$2:$D$131=YEar9Table[[#This Row],[Player]])*$M$2:$M$131),0)+IFERROR(SUMPRODUCT(($E$2:$E$131=YEar9Table[[#This Row],[Player]])*$M$2:$M$131),0)+IFERROR(SUMPRODUCT(($F$2:$F$131=YEar9Table[[#This Row],[Player]])*$M$2:$M$131),0)</f>
        <v>7</v>
      </c>
      <c r="AP36" s="1">
        <f>YEar9Table[[#This Row],[Wins in Stacks]]+YEar9Table[[#This Row],[Losses in Stacks]]</f>
        <v>13</v>
      </c>
      <c r="AQ36" s="3">
        <f>IFERROR(YEar9Table[[#This Row],[Wins in Stacks]]/YEar9Table[[#This Row],[Total Games In Stacks]],0)</f>
        <v>0.46153846153846156</v>
      </c>
      <c r="AR36" s="75">
        <v>0.6</v>
      </c>
      <c r="AS36" s="21">
        <v>3</v>
      </c>
      <c r="AT36" s="20" cm="1">
        <f t="array" ref="AT36">(YEar9Table[[#This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-28.026600615675356</v>
      </c>
      <c r="AU36" s="1"/>
      <c r="AV36" s="1"/>
    </row>
    <row r="37" spans="1:48">
      <c r="A37" s="156" t="str">
        <f>_xlfn.TEXTJOIN(",",TRUE,_xlfn._xlws.SORT(_xlfn.TEXTSPLIT(_xlfn.TEXTJOIN(",",TRUE,_xlfn._xlws.SORT($B37:$F37, 1, -1, FALSE)),"WWWWW",",")))</f>
        <v>Chromius.TAMU,Elyidian,Koyeetchi,TexAg21</v>
      </c>
      <c r="B37" s="152" t="s">
        <v>77</v>
      </c>
      <c r="C37" s="153" t="s">
        <v>144</v>
      </c>
      <c r="D37" s="153" t="s">
        <v>188</v>
      </c>
      <c r="E37" s="153" t="s">
        <v>234</v>
      </c>
      <c r="F37" s="153"/>
      <c r="G37" s="154" t="str">
        <f>IFERROR(VLOOKUP(Y9S1[[#This Row],[Player 1]],YEar9Table[],2,FALSE),0)</f>
        <v>TIER 1</v>
      </c>
      <c r="H37" s="153" t="str">
        <f>IFERROR(VLOOKUP(Y9S1[[#This Row],[Player 2]],YEar9Table[],2,FALSE),"")</f>
        <v>TIER 8</v>
      </c>
      <c r="I37" s="153" t="str">
        <f>IFERROR(VLOOKUP(Y9S1[[#This Row],[Player 3]],YEar9Table[],2,FALSE),"")</f>
        <v>TIER 8</v>
      </c>
      <c r="J37" s="153" t="str">
        <f>IFERROR(VLOOKUP(Y9S1[[#This Row],[Player 4]],YEar9Table[],2,FALSE),"")</f>
        <v>TIER 8</v>
      </c>
      <c r="K37" s="159" t="str">
        <f>IFERROR(VLOOKUP(Y9S1[[#This Row],[Player 5]],YEar9Table[],2,FALSE),"")</f>
        <v/>
      </c>
      <c r="L37" s="40">
        <v>1</v>
      </c>
      <c r="M37" s="40">
        <v>0</v>
      </c>
      <c r="N37" s="40">
        <f>$L37+$M37</f>
        <v>1</v>
      </c>
      <c r="O37" s="50">
        <f>IFERROR(L37/(M37+L37),0)</f>
        <v>1</v>
      </c>
      <c r="P37" s="104">
        <f>(((Y9S1[[#This Row],[Wins]]*1.3)-Y9S1[[#This Row],[Losses]])/SUM(Y9S1[Games Played]))*10</f>
        <v>4.980842911877395E-2</v>
      </c>
      <c r="Q37" s="182"/>
      <c r="U37" s="1" t="str">
        <f>YEar9Table[[#This Row],[Player]]</f>
        <v>Wisesteyes</v>
      </c>
      <c r="V37" s="1" t="str">
        <f>IF(AT37&gt;7.5, "TIER 1",
IF(AT37&gt;6.5, "TIER 2",
IF(AT37&gt;5.5, "TIER 3",
IF(AT37&gt;4.5, "TIER 4",
IF(AT37&gt;3.5, "TIER 5",
IF(AT37&gt;2,  "TIER 6",
IF(AT37&gt;0,  "TIER 7",
"TIER 8")))))))</f>
        <v>TIER 8</v>
      </c>
      <c r="W37" s="163" t="s">
        <v>254</v>
      </c>
      <c r="X37" s="189" t="s">
        <v>255</v>
      </c>
      <c r="Y37" s="8">
        <f>VLOOKUP(YEar9Table[[#This Row],[Player]],ImportTable15[],2,FALSE)</f>
        <v>0</v>
      </c>
      <c r="Z37" s="8">
        <f>VLOOKUP(YEar9Table[[#This Row],[Player]],ImportTable15[],3,FALSE)</f>
        <v>0</v>
      </c>
      <c r="AA37" s="8">
        <f>VLOOKUP(YEar9Table[[#This Row],[Player]],ImportTable15[],4,FALSE)</f>
        <v>0</v>
      </c>
      <c r="AB37" s="8">
        <f>VLOOKUP(YEar9Table[[#This Row],[Player]],ImportTable15[],5,FALSE)</f>
        <v>0</v>
      </c>
      <c r="AC37" s="8">
        <f>VLOOKUP(YEar9Table[[#This Row],[Player]],ImportTable15[],6,FALSE)</f>
        <v>0</v>
      </c>
      <c r="AD37" s="8">
        <f>VLOOKUP(YEar9Table[[#This Row],[Player]],ImportTable15[],7,FALSE)</f>
        <v>0</v>
      </c>
      <c r="AE37" s="77">
        <f>VLOOKUP(YEar9Table[[#This Row],[Player]],ImportTable15[],8,FALSE)</f>
        <v>0</v>
      </c>
      <c r="AF37" s="77">
        <f>VLOOKUP(YEar9Table[[#This Row],[Player]],ImportTable15[],9,FALSE)</f>
        <v>0</v>
      </c>
      <c r="AG37" s="8">
        <f>VLOOKUP(YEar9Table[[#This Row],[Player]],ImportTable15[],10,FALSE)</f>
        <v>0</v>
      </c>
      <c r="AH37" s="8">
        <f>VLOOKUP(YEar9Table[[#This Row],[Player]],ImportTable15[],11,FALSE)</f>
        <v>0</v>
      </c>
      <c r="AI37" s="8" t="str">
        <f>IF(YEar9Table[[#This Row],[Ranked Wins]]=YEar9Table[[#This Row],[Wins in Stacks]],"Y","N")</f>
        <v>Y</v>
      </c>
      <c r="AJ37" s="8" t="str">
        <f>IF(YEar9Table[[#This Row],[Ranked Losses]]=YEar9Table[[#This Row],[Losses in Stacks]],"Y","N")</f>
        <v>Y</v>
      </c>
      <c r="AK37" s="3">
        <f>IFERROR(YEar9Table[[#This Row],[Ranked Wins]]/(YEar9Table[[#This Row],[Ranked Wins]]+YEar9Table[[#This Row],[Ranked Losses]]),0)</f>
        <v>0</v>
      </c>
      <c r="AL37" s="3">
        <f>IFERROR(YEar9Table[[#This Row],[Attack Wins]]/(YEar9Table[[#This Row],[Attack Wins]]+YEar9Table[[#This Row],[Attack Losses]]),0)</f>
        <v>0</v>
      </c>
      <c r="AM37" s="3">
        <f>IFERROR(YEar9Table[[#This Row],[Defense Wins]]/(YEar9Table[[#This Row],[Defense Wins]]+YEar9Table[[#This Row],[Defense Losses]]),0)</f>
        <v>0</v>
      </c>
      <c r="AN37" s="1" cm="1">
        <f t="array" ref="AN37">IFERROR(SUMPRODUCT(($B$2:$B$131=YEar9Table[[#This Row],[Player]])*$L$2:$L$131),0)+IFERROR(SUMPRODUCT(($C$2:$C$131=YEar9Table[[#This Row],[Player]])*$L$2:$L$131),0)+IFERROR(SUMPRODUCT(($E$2:$E$131=YEar9Table[[#This Row],[Player]])*$L$2:$L$131),0)+IFERROR(SUMPRODUCT(($D$2:$D$131=YEar9Table[[#This Row],[Player]])*$L$2:$L$131),0)+IFERROR(SUMPRODUCT(($F$2:$F$131=YEar9Table[[#This Row],[Player]])*$L$2:$L$131),0)</f>
        <v>0</v>
      </c>
      <c r="AO37" s="1" cm="1">
        <f t="array" ref="AO37">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37" s="1">
        <f>YEar9Table[[#This Row],[Wins in Stacks]]+YEar9Table[[#This Row],[Losses in Stacks]]</f>
        <v>0</v>
      </c>
      <c r="AQ37" s="3">
        <f>IFERROR(YEar9Table[[#This Row],[Wins in Stacks]]/YEar9Table[[#This Row],[Total Games In Stacks]],0)</f>
        <v>0</v>
      </c>
      <c r="AR37" s="75">
        <v>0.7</v>
      </c>
      <c r="AS37" s="21">
        <v>2</v>
      </c>
      <c r="AT37" s="20" cm="1">
        <f t="array" ref="AT37">(YEar9Table[[#This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-35.25736984644459</v>
      </c>
      <c r="AU37" s="1"/>
      <c r="AV37" s="1"/>
    </row>
    <row r="38" spans="1:48">
      <c r="A38" s="156" t="str">
        <f>_xlfn.TEXTJOIN(",",TRUE,_xlfn._xlws.SORT(_xlfn.TEXTSPLIT(_xlfn.TEXTJOIN(",",TRUE,_xlfn._xlws.SORT($B38:$F38, 1, -1, FALSE)),"WWWWW",",")))</f>
        <v>Chromius.TAMU,Colonizer.BU,Elyidian,Solias</v>
      </c>
      <c r="B38" s="152" t="s">
        <v>77</v>
      </c>
      <c r="C38" s="153" t="s">
        <v>234</v>
      </c>
      <c r="D38" s="153" t="s">
        <v>154</v>
      </c>
      <c r="E38" s="153" t="s">
        <v>253</v>
      </c>
      <c r="F38" s="153"/>
      <c r="G38" s="154" t="str">
        <f>IFERROR(VLOOKUP(Y9S1[[#This Row],[Player 1]],YEar9Table[],2,FALSE),0)</f>
        <v>TIER 1</v>
      </c>
      <c r="H38" s="162" t="str">
        <f>IFERROR(VLOOKUP(Y9S1[[#This Row],[Player 2]],YEar9Table[],2,FALSE),"")</f>
        <v>TIER 8</v>
      </c>
      <c r="I38" s="153" t="str">
        <f>IFERROR(VLOOKUP(Y9S1[[#This Row],[Player 3]],YEar9Table[],2,FALSE),"")</f>
        <v>TIER 8</v>
      </c>
      <c r="J38" s="153" t="str">
        <f>IFERROR(VLOOKUP(Y9S1[[#This Row],[Player 4]],YEar9Table[],2,FALSE),"")</f>
        <v>TIER 8</v>
      </c>
      <c r="K38" s="159" t="str">
        <f>IFERROR(VLOOKUP(Y9S1[[#This Row],[Player 5]],YEar9Table[],2,FALSE),"")</f>
        <v/>
      </c>
      <c r="L38" s="40">
        <v>1</v>
      </c>
      <c r="M38" s="40">
        <v>0</v>
      </c>
      <c r="N38" s="40">
        <f>$L38+$M38</f>
        <v>1</v>
      </c>
      <c r="O38" s="50">
        <f>IFERROR(L38/(M38+L38),0)</f>
        <v>1</v>
      </c>
      <c r="P38" s="104">
        <f>(((Y9S1[[#This Row],[Wins]]*1.3)-Y9S1[[#This Row],[Losses]])/SUM(Y9S1[Games Played]))*10</f>
        <v>4.980842911877395E-2</v>
      </c>
      <c r="Q38" s="182"/>
      <c r="U38" s="1" t="str">
        <f>YEar9Table[[#This Row],[Player]]</f>
        <v>Pathos-val</v>
      </c>
      <c r="V38" s="1" t="str">
        <f>IF(AT38&gt;7.5, "TIER 1",
IF(AT38&gt;6.5, "TIER 2",
IF(AT38&gt;5.5, "TIER 3",
IF(AT38&gt;4.5, "TIER 4",
IF(AT38&gt;3.5, "TIER 5",
IF(AT38&gt;2,  "TIER 6",
IF(AT38&gt;0,  "TIER 7",
"TIER 8")))))))</f>
        <v>TIER 8</v>
      </c>
      <c r="W38" s="8" t="s">
        <v>155</v>
      </c>
      <c r="X38" s="166" t="s">
        <v>155</v>
      </c>
      <c r="Y38" s="8">
        <f>VLOOKUP(YEar9Table[[#This Row],[Player]],ImportTable15[],2,FALSE)</f>
        <v>0</v>
      </c>
      <c r="Z38" s="8">
        <f>VLOOKUP(YEar9Table[[#This Row],[Player]],ImportTable15[],3,FALSE)</f>
        <v>0</v>
      </c>
      <c r="AA38" s="8">
        <f>VLOOKUP(YEar9Table[[#This Row],[Player]],ImportTable15[],4,FALSE)</f>
        <v>0</v>
      </c>
      <c r="AB38" s="8">
        <f>VLOOKUP(YEar9Table[[#This Row],[Player]],ImportTable15[],5,FALSE)</f>
        <v>0</v>
      </c>
      <c r="AC38" s="8">
        <f>VLOOKUP(YEar9Table[[#This Row],[Player]],ImportTable15[],6,FALSE)</f>
        <v>0</v>
      </c>
      <c r="AD38" s="8">
        <f>VLOOKUP(YEar9Table[[#This Row],[Player]],ImportTable15[],7,FALSE)</f>
        <v>0</v>
      </c>
      <c r="AE38" s="77">
        <f>VLOOKUP(YEar9Table[[#This Row],[Player]],ImportTable15[],8,FALSE)</f>
        <v>0</v>
      </c>
      <c r="AF38" s="77">
        <f>VLOOKUP(YEar9Table[[#This Row],[Player]],ImportTable15[],9,FALSE)</f>
        <v>0</v>
      </c>
      <c r="AG38" s="8">
        <f>VLOOKUP(YEar9Table[[#This Row],[Player]],ImportTable15[],10,FALSE)</f>
        <v>0</v>
      </c>
      <c r="AH38" s="8">
        <f>VLOOKUP(YEar9Table[[#This Row],[Player]],ImportTable15[],11,FALSE)</f>
        <v>0</v>
      </c>
      <c r="AI38" s="8" t="str">
        <f>IF(YEar9Table[[#This Row],[Ranked Wins]]=YEar9Table[[#This Row],[Wins in Stacks]],"Y","N")</f>
        <v>Y</v>
      </c>
      <c r="AJ38" s="8" t="str">
        <f>IF(YEar9Table[[#This Row],[Ranked Losses]]=YEar9Table[[#This Row],[Losses in Stacks]],"Y","N")</f>
        <v>Y</v>
      </c>
      <c r="AK38" s="3">
        <f>IFERROR(YEar9Table[[#This Row],[Ranked Wins]]/(YEar9Table[[#This Row],[Ranked Wins]]+YEar9Table[[#This Row],[Ranked Losses]]),0)</f>
        <v>0</v>
      </c>
      <c r="AL38" s="3">
        <f>IFERROR(YEar9Table[[#This Row],[Attack Wins]]/(YEar9Table[[#This Row],[Attack Wins]]+YEar9Table[[#This Row],[Attack Losses]]),0)</f>
        <v>0</v>
      </c>
      <c r="AM38" s="3">
        <f>IFERROR(YEar9Table[[#This Row],[Defense Wins]]/(YEar9Table[[#This Row],[Defense Wins]]+YEar9Table[[#This Row],[Defense Losses]]),0)</f>
        <v>0</v>
      </c>
      <c r="AN38" s="1" cm="1">
        <f t="array" ref="AN38">IFERROR(SUMPRODUCT(($B$2:$B$131=YEar9Table[[#This Row],[Player]])*$L$2:$L$131),0)+IFERROR(SUMPRODUCT(($C$2:$C$131=YEar9Table[[#This Row],[Player]])*$L$2:$L$131),0)+IFERROR(SUMPRODUCT(($E$2:$E$131=YEar9Table[[#This Row],[Player]])*$L$2:$L$131),0)+IFERROR(SUMPRODUCT(($D$2:$D$131=YEar9Table[[#This Row],[Player]])*$L$2:$L$131),0)+IFERROR(SUMPRODUCT(($F$2:$F$131=YEar9Table[[#This Row],[Player]])*$L$2:$L$131),0)</f>
        <v>0</v>
      </c>
      <c r="AO38" s="1" cm="1">
        <f t="array" ref="AO38">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38" s="1">
        <f>YEar9Table[[#This Row],[Wins in Stacks]]+YEar9Table[[#This Row],[Losses in Stacks]]</f>
        <v>0</v>
      </c>
      <c r="AQ38" s="3">
        <f>IFERROR(YEar9Table[[#This Row],[Wins in Stacks]]/YEar9Table[[#This Row],[Total Games In Stacks]],0)</f>
        <v>0</v>
      </c>
      <c r="AR38" s="75">
        <v>0.5</v>
      </c>
      <c r="AS38" s="21">
        <v>3</v>
      </c>
      <c r="AT38" s="20" cm="1">
        <f t="array" ref="AT38">(YEar9Table[[#This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-38.25736984644459</v>
      </c>
      <c r="AU38" s="1"/>
      <c r="AV38" s="1"/>
    </row>
    <row r="39" spans="1:48">
      <c r="A39" s="156" t="str">
        <f>_xlfn.TEXTJOIN(",",TRUE,_xlfn._xlws.SORT(_xlfn.TEXTSPLIT(_xlfn.TEXTJOIN(",",TRUE,_xlfn._xlws.SORT($B39:$F39, 1, -1, FALSE)),"WWWWW",",")))</f>
        <v>Chromius.TAMU,Elyidian,Glonk.MB,nobetterdough,TexAg21</v>
      </c>
      <c r="B39" s="170" t="s">
        <v>162</v>
      </c>
      <c r="C39" s="153" t="s">
        <v>188</v>
      </c>
      <c r="D39" s="153" t="s">
        <v>77</v>
      </c>
      <c r="E39" s="153" t="s">
        <v>234</v>
      </c>
      <c r="F39" s="153" t="s">
        <v>179</v>
      </c>
      <c r="G39" s="154" t="str">
        <f>IFERROR(VLOOKUP(Y9S1[[#This Row],[Player 1]],YEar9Table[],2,FALSE),0)</f>
        <v>TIER 2</v>
      </c>
      <c r="H39" s="162" t="str">
        <f>IFERROR(VLOOKUP(Y9S1[[#This Row],[Player 2]],YEar9Table[],2,FALSE),"")</f>
        <v>TIER 8</v>
      </c>
      <c r="I39" s="153" t="str">
        <f>IFERROR(VLOOKUP(Y9S1[[#This Row],[Player 3]],YEar9Table[],2,FALSE),"")</f>
        <v>TIER 1</v>
      </c>
      <c r="J39" s="153" t="str">
        <f>IFERROR(VLOOKUP(Y9S1[[#This Row],[Player 4]],YEar9Table[],2,FALSE),"")</f>
        <v>TIER 8</v>
      </c>
      <c r="K39" s="159" t="str">
        <f>IFERROR(VLOOKUP(Y9S1[[#This Row],[Player 5]],YEar9Table[],2,FALSE),"")</f>
        <v>TIER 8</v>
      </c>
      <c r="L39" s="40">
        <v>1</v>
      </c>
      <c r="M39" s="40">
        <v>0</v>
      </c>
      <c r="N39" s="40">
        <f>$L39+$M39</f>
        <v>1</v>
      </c>
      <c r="O39" s="50">
        <f>IFERROR(L39/(M39+L39),0)</f>
        <v>1</v>
      </c>
      <c r="P39" s="104">
        <f>(((Y9S1[[#This Row],[Wins]]*1.3)-Y9S1[[#This Row],[Losses]])/SUM(Y9S1[Games Played]))*10</f>
        <v>4.980842911877395E-2</v>
      </c>
      <c r="Q39" s="182"/>
      <c r="U39" s="1" t="str">
        <f>YEar9Table[[#This Row],[Player]]</f>
        <v>ThiccPie.OU</v>
      </c>
      <c r="V39" s="1" t="str">
        <f>IF(AT39&gt;7.5, "TIER 1",
IF(AT39&gt;6.5, "TIER 2",
IF(AT39&gt;5.5, "TIER 3",
IF(AT39&gt;4.5, "TIER 4",
IF(AT39&gt;3.5, "TIER 5",
IF(AT39&gt;2,  "TIER 6",
IF(AT39&gt;0,  "TIER 7",
"TIER 8")))))))</f>
        <v>TIER 8</v>
      </c>
      <c r="W39" s="1" t="s">
        <v>104</v>
      </c>
      <c r="X39" s="8" t="s">
        <v>104</v>
      </c>
      <c r="Y39" s="8">
        <f>VLOOKUP(YEar9Table[[#This Row],[Player]],ImportTable15[],2,FALSE)</f>
        <v>0</v>
      </c>
      <c r="Z39" s="8">
        <f>VLOOKUP(YEar9Table[[#This Row],[Player]],ImportTable15[],3,FALSE)</f>
        <v>0</v>
      </c>
      <c r="AA39" s="8">
        <f>VLOOKUP(YEar9Table[[#This Row],[Player]],ImportTable15[],4,FALSE)</f>
        <v>0</v>
      </c>
      <c r="AB39" s="8">
        <f>VLOOKUP(YEar9Table[[#This Row],[Player]],ImportTable15[],5,FALSE)</f>
        <v>0</v>
      </c>
      <c r="AC39" s="8">
        <f>VLOOKUP(YEar9Table[[#This Row],[Player]],ImportTable15[],6,FALSE)</f>
        <v>0</v>
      </c>
      <c r="AD39" s="8">
        <f>VLOOKUP(YEar9Table[[#This Row],[Player]],ImportTable15[],7,FALSE)</f>
        <v>0</v>
      </c>
      <c r="AE39" s="77">
        <f>VLOOKUP(YEar9Table[[#This Row],[Player]],ImportTable15[],8,FALSE)</f>
        <v>0</v>
      </c>
      <c r="AF39" s="77">
        <f>VLOOKUP(YEar9Table[[#This Row],[Player]],ImportTable15[],9,FALSE)</f>
        <v>0</v>
      </c>
      <c r="AG39" s="8">
        <f>VLOOKUP(YEar9Table[[#This Row],[Player]],ImportTable15[],10,FALSE)</f>
        <v>0</v>
      </c>
      <c r="AH39" s="8">
        <f>VLOOKUP(YEar9Table[[#This Row],[Player]],ImportTable15[],11,FALSE)</f>
        <v>0</v>
      </c>
      <c r="AI39" s="8" t="str">
        <f>IF(YEar9Table[[#This Row],[Ranked Wins]]=YEar9Table[[#This Row],[Wins in Stacks]],"Y","N")</f>
        <v>Y</v>
      </c>
      <c r="AJ39" s="8" t="str">
        <f>IF(YEar9Table[[#This Row],[Ranked Losses]]=YEar9Table[[#This Row],[Losses in Stacks]],"Y","N")</f>
        <v>Y</v>
      </c>
      <c r="AK39" s="3">
        <f>IFERROR(YEar9Table[[#This Row],[Ranked Wins]]/(YEar9Table[[#This Row],[Ranked Wins]]+YEar9Table[[#This Row],[Ranked Losses]]),0)</f>
        <v>0</v>
      </c>
      <c r="AL39" s="3">
        <f>IFERROR(YEar9Table[[#This Row],[Attack Wins]]/(YEar9Table[[#This Row],[Attack Wins]]+YEar9Table[[#This Row],[Attack Losses]]),0)</f>
        <v>0</v>
      </c>
      <c r="AM39" s="3">
        <f>IFERROR(YEar9Table[[#This Row],[Defense Wins]]/(YEar9Table[[#This Row],[Defense Wins]]+YEar9Table[[#This Row],[Defense Losses]]),0)</f>
        <v>0</v>
      </c>
      <c r="AN39" s="1" cm="1">
        <f t="array" ref="AN39">IFERROR(SUMPRODUCT(($B$2:$B$131=YEar9Table[[#This Row],[Player]])*$L$2:$L$131),0)+IFERROR(SUMPRODUCT(($C$2:$C$131=YEar9Table[[#This Row],[Player]])*$L$2:$L$131),0)+IFERROR(SUMPRODUCT(($E$2:$E$131=YEar9Table[[#This Row],[Player]])*$L$2:$L$131),0)+IFERROR(SUMPRODUCT(($D$2:$D$131=YEar9Table[[#This Row],[Player]])*$L$2:$L$131),0)+IFERROR(SUMPRODUCT(($F$2:$F$131=YEar9Table[[#This Row],[Player]])*$L$2:$L$131),0)</f>
        <v>0</v>
      </c>
      <c r="AO39" s="1" cm="1">
        <f t="array" ref="AO39">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39" s="1">
        <f>YEar9Table[[#This Row],[Wins in Stacks]]+YEar9Table[[#This Row],[Losses in Stacks]]</f>
        <v>0</v>
      </c>
      <c r="AQ39" s="3">
        <f>IFERROR(YEar9Table[[#This Row],[Wins in Stacks]]/YEar9Table[[#This Row],[Total Games In Stacks]],0)</f>
        <v>0</v>
      </c>
      <c r="AR39" s="75">
        <v>0.35</v>
      </c>
      <c r="AS39" s="21">
        <v>5</v>
      </c>
      <c r="AT39" s="20" cm="1">
        <f t="array" ref="AT39">(YEar9Table[[#This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-41.75736984644459</v>
      </c>
      <c r="AU39" s="1"/>
      <c r="AV39" s="1"/>
    </row>
    <row r="40" spans="1:48">
      <c r="A40" s="156" t="str">
        <f>_xlfn.TEXTJOIN(",",TRUE,_xlfn._xlws.SORT(_xlfn.TEXTSPLIT(_xlfn.TEXTJOIN(",",TRUE,_xlfn._xlws.SORT($B40:$F40, 1, -1, FALSE)),"WWWWW",",")))</f>
        <v>Elyidian,Glonk.MB,NotLappland,TexAg21,Wh1pl4sh_117</v>
      </c>
      <c r="B40" s="170" t="s">
        <v>188</v>
      </c>
      <c r="C40" s="153" t="s">
        <v>162</v>
      </c>
      <c r="D40" s="153" t="s">
        <v>234</v>
      </c>
      <c r="E40" s="153" t="s">
        <v>142</v>
      </c>
      <c r="F40" s="153" t="s">
        <v>248</v>
      </c>
      <c r="G40" s="154" t="str">
        <f>IFERROR(VLOOKUP(Y9S1[[#This Row],[Player 1]],YEar9Table[],2,FALSE),0)</f>
        <v>TIER 8</v>
      </c>
      <c r="H40" s="162" t="str">
        <f>IFERROR(VLOOKUP(Y9S1[[#This Row],[Player 2]],YEar9Table[],2,FALSE),"")</f>
        <v>TIER 2</v>
      </c>
      <c r="I40" s="153" t="str">
        <f>IFERROR(VLOOKUP(Y9S1[[#This Row],[Player 3]],YEar9Table[],2,FALSE),"")</f>
        <v>TIER 8</v>
      </c>
      <c r="J40" s="153" t="str">
        <f>IFERROR(VLOOKUP(Y9S1[[#This Row],[Player 4]],YEar9Table[],2,FALSE),"")</f>
        <v>TIER 8</v>
      </c>
      <c r="K40" s="159" t="str">
        <f>IFERROR(VLOOKUP(Y9S1[[#This Row],[Player 5]],YEar9Table[],2,FALSE),"")</f>
        <v>TIER 8</v>
      </c>
      <c r="L40" s="40">
        <v>1</v>
      </c>
      <c r="M40" s="40">
        <v>0</v>
      </c>
      <c r="N40" s="40">
        <f>$L40+$M40</f>
        <v>1</v>
      </c>
      <c r="O40" s="50">
        <f>IFERROR(L40/(M40+L40),0)</f>
        <v>1</v>
      </c>
      <c r="P40" s="104">
        <f>(((Y9S1[[#This Row],[Wins]]*1.3)-Y9S1[[#This Row],[Losses]])/SUM(Y9S1[Games Played]))*10</f>
        <v>4.980842911877395E-2</v>
      </c>
      <c r="Q40" s="182"/>
      <c r="U40" s="1" t="str">
        <f>YEar9Table[[#This Row],[Player]]</f>
        <v>Polar...-</v>
      </c>
      <c r="V40" s="1" t="str">
        <f>IF(AT40&gt;7.5, "TIER 1",
IF(AT40&gt;6.5, "TIER 2",
IF(AT40&gt;5.5, "TIER 3",
IF(AT40&gt;4.5, "TIER 4",
IF(AT40&gt;3.5, "TIER 5",
IF(AT40&gt;2,  "TIER 6",
IF(AT40&gt;0,  "TIER 7",
"TIER 8")))))))</f>
        <v>TIER 8</v>
      </c>
      <c r="W40" t="s">
        <v>158</v>
      </c>
      <c r="X40" s="1" t="s">
        <v>159</v>
      </c>
      <c r="Y40" s="8">
        <f>VLOOKUP(YEar9Table[[#This Row],[Player]],ImportTable15[],2,FALSE)</f>
        <v>0</v>
      </c>
      <c r="Z40" s="8">
        <f>VLOOKUP(YEar9Table[[#This Row],[Player]],ImportTable15[],3,FALSE)</f>
        <v>0</v>
      </c>
      <c r="AA40" s="8">
        <f>VLOOKUP(YEar9Table[[#This Row],[Player]],ImportTable15[],4,FALSE)</f>
        <v>0</v>
      </c>
      <c r="AB40" s="8">
        <f>VLOOKUP(YEar9Table[[#This Row],[Player]],ImportTable15[],5,FALSE)</f>
        <v>0</v>
      </c>
      <c r="AC40" s="8">
        <f>VLOOKUP(YEar9Table[[#This Row],[Player]],ImportTable15[],6,FALSE)</f>
        <v>0</v>
      </c>
      <c r="AD40" s="8">
        <f>VLOOKUP(YEar9Table[[#This Row],[Player]],ImportTable15[],7,FALSE)</f>
        <v>0</v>
      </c>
      <c r="AE40" s="77">
        <f>VLOOKUP(YEar9Table[[#This Row],[Player]],ImportTable15[],8,FALSE)</f>
        <v>0</v>
      </c>
      <c r="AF40" s="77">
        <f>VLOOKUP(YEar9Table[[#This Row],[Player]],ImportTable15[],9,FALSE)</f>
        <v>0</v>
      </c>
      <c r="AG40" s="8">
        <f>VLOOKUP(YEar9Table[[#This Row],[Player]],ImportTable15[],10,FALSE)</f>
        <v>0</v>
      </c>
      <c r="AH40" s="8">
        <f>VLOOKUP(YEar9Table[[#This Row],[Player]],ImportTable15[],11,FALSE)</f>
        <v>0</v>
      </c>
      <c r="AI40" s="8" t="str">
        <f>IF(YEar9Table[[#This Row],[Ranked Wins]]=YEar9Table[[#This Row],[Wins in Stacks]],"Y","N")</f>
        <v>Y</v>
      </c>
      <c r="AJ40" s="8" t="str">
        <f>IF(YEar9Table[[#This Row],[Ranked Losses]]=YEar9Table[[#This Row],[Losses in Stacks]],"Y","N")</f>
        <v>Y</v>
      </c>
      <c r="AK40" s="3">
        <f>IFERROR(YEar9Table[[#This Row],[Ranked Wins]]/(YEar9Table[[#This Row],[Ranked Wins]]+YEar9Table[[#This Row],[Ranked Losses]]),0)</f>
        <v>0</v>
      </c>
      <c r="AL40" s="3">
        <f>IFERROR(YEar9Table[[#This Row],[Attack Wins]]/(YEar9Table[[#This Row],[Attack Wins]]+YEar9Table[[#This Row],[Attack Losses]]),0)</f>
        <v>0</v>
      </c>
      <c r="AM40" s="3">
        <f>IFERROR(YEar9Table[[#This Row],[Defense Wins]]/(YEar9Table[[#This Row],[Defense Wins]]+YEar9Table[[#This Row],[Defense Losses]]),0)</f>
        <v>0</v>
      </c>
      <c r="AN40" s="1" cm="1">
        <f t="array" ref="AN40">IFERROR(SUMPRODUCT(($B$2:$B$131=YEar9Table[[#This Row],[Player]])*$L$2:$L$131),0)+IFERROR(SUMPRODUCT(($C$2:$C$131=YEar9Table[[#This Row],[Player]])*$L$2:$L$131),0)+IFERROR(SUMPRODUCT(($E$2:$E$131=YEar9Table[[#This Row],[Player]])*$L$2:$L$131),0)+IFERROR(SUMPRODUCT(($D$2:$D$131=YEar9Table[[#This Row],[Player]])*$L$2:$L$131),0)+IFERROR(SUMPRODUCT(($F$2:$F$131=YEar9Table[[#This Row],[Player]])*$L$2:$L$131),0)</f>
        <v>0</v>
      </c>
      <c r="AO40" s="1" cm="1">
        <f t="array" ref="AO40">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40" s="1">
        <f>YEar9Table[[#This Row],[Wins in Stacks]]+YEar9Table[[#This Row],[Losses in Stacks]]</f>
        <v>0</v>
      </c>
      <c r="AQ40" s="3">
        <f>IFERROR(YEar9Table[[#This Row],[Wins in Stacks]]/YEar9Table[[#This Row],[Total Games In Stacks]],0)</f>
        <v>0</v>
      </c>
      <c r="AR40" s="75">
        <v>0.5</v>
      </c>
      <c r="AS40" s="21">
        <v>7</v>
      </c>
      <c r="AT40" s="20" cm="1">
        <f t="array" ref="AT40">(YEar9Table[[#This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-42.25736984644459</v>
      </c>
    </row>
    <row r="41" spans="1:48">
      <c r="A41" s="156" t="str">
        <f>_xlfn.TEXTJOIN(",",TRUE,_xlfn._xlws.SORT(_xlfn.TEXTSPLIT(_xlfn.TEXTJOIN(",",TRUE,_xlfn._xlws.SORT($B41:$F41, 1, -1, FALSE)),"WWWWW",",")))</f>
        <v>AkusNightmare,Chromius.TAMU,Fallen.Rqnger,Glonk.MB,TexAg21</v>
      </c>
      <c r="B41" s="153" t="s">
        <v>77</v>
      </c>
      <c r="C41" s="153" t="s">
        <v>232</v>
      </c>
      <c r="D41" s="153" t="s">
        <v>86</v>
      </c>
      <c r="E41" s="153" t="s">
        <v>162</v>
      </c>
      <c r="F41" s="151" t="s">
        <v>188</v>
      </c>
      <c r="G41" s="154" t="str">
        <f>IFERROR(VLOOKUP(Y9S1[[#This Row],[Player 1]],YEar9Table[],2,FALSE),0)</f>
        <v>TIER 1</v>
      </c>
      <c r="H41" s="162" t="str">
        <f>IFERROR(VLOOKUP(Y9S1[[#This Row],[Player 2]],YEar9Table[],2,FALSE),"")</f>
        <v>TIER 7</v>
      </c>
      <c r="I41" s="153" t="str">
        <f>IFERROR(VLOOKUP(Y9S1[[#This Row],[Player 3]],YEar9Table[],2,FALSE),"")</f>
        <v>TIER 7</v>
      </c>
      <c r="J41" s="153" t="str">
        <f>IFERROR(VLOOKUP(Y9S1[[#This Row],[Player 4]],YEar9Table[],2,FALSE),"")</f>
        <v>TIER 2</v>
      </c>
      <c r="K41" s="159" t="str">
        <f>IFERROR(VLOOKUP(Y9S1[[#This Row],[Player 5]],YEar9Table[],2,FALSE),"")</f>
        <v>TIER 8</v>
      </c>
      <c r="L41" s="40">
        <v>1</v>
      </c>
      <c r="M41" s="40">
        <v>0</v>
      </c>
      <c r="N41" s="40">
        <f>$L41+$M41</f>
        <v>1</v>
      </c>
      <c r="O41" s="50">
        <f>IFERROR(L41/(M41+L41),0)</f>
        <v>1</v>
      </c>
      <c r="P41" s="104">
        <f>(((Y9S1[[#This Row],[Wins]]*1.3)-Y9S1[[#This Row],[Losses]])/SUM(Y9S1[Games Played]))*10</f>
        <v>4.980842911877395E-2</v>
      </c>
      <c r="Q41" s="182"/>
      <c r="U41" s="1" t="str">
        <f>YEar9Table[[#This Row],[Player]]</f>
        <v>Batman268</v>
      </c>
      <c r="V41" s="1" t="str">
        <f>IF(AT41&gt;7.5, "TIER 1",
IF(AT41&gt;6.5, "TIER 2",
IF(AT41&gt;5.5, "TIER 3",
IF(AT41&gt;4.5, "TIER 4",
IF(AT41&gt;3.5, "TIER 5",
IF(AT41&gt;2,  "TIER 6",
IF(AT41&gt;0,  "TIER 7",
"TIER 8")))))))</f>
        <v>TIER 8</v>
      </c>
      <c r="W41" s="8" t="s">
        <v>215</v>
      </c>
      <c r="X41" s="8" t="s">
        <v>256</v>
      </c>
      <c r="Y41" s="8">
        <f>VLOOKUP(YEar9Table[[#This Row],[Player]],ImportTable15[],2,FALSE)</f>
        <v>0</v>
      </c>
      <c r="Z41" s="8">
        <f>VLOOKUP(YEar9Table[[#This Row],[Player]],ImportTable15[],3,FALSE)</f>
        <v>0</v>
      </c>
      <c r="AA41" s="8">
        <f>VLOOKUP(YEar9Table[[#This Row],[Player]],ImportTable15[],4,FALSE)</f>
        <v>0</v>
      </c>
      <c r="AB41" s="8">
        <f>VLOOKUP(YEar9Table[[#This Row],[Player]],ImportTable15[],5,FALSE)</f>
        <v>0</v>
      </c>
      <c r="AC41" s="8">
        <f>VLOOKUP(YEar9Table[[#This Row],[Player]],ImportTable15[],6,FALSE)</f>
        <v>0</v>
      </c>
      <c r="AD41" s="8">
        <f>VLOOKUP(YEar9Table[[#This Row],[Player]],ImportTable15[],7,FALSE)</f>
        <v>0</v>
      </c>
      <c r="AE41" s="77">
        <f>VLOOKUP(YEar9Table[[#This Row],[Player]],ImportTable15[],8,FALSE)</f>
        <v>0</v>
      </c>
      <c r="AF41" s="77">
        <f>VLOOKUP(YEar9Table[[#This Row],[Player]],ImportTable15[],9,FALSE)</f>
        <v>0</v>
      </c>
      <c r="AG41" s="8">
        <f>VLOOKUP(YEar9Table[[#This Row],[Player]],ImportTable15[],10,FALSE)</f>
        <v>0</v>
      </c>
      <c r="AH41" s="8">
        <f>VLOOKUP(YEar9Table[[#This Row],[Player]],ImportTable15[],11,FALSE)</f>
        <v>0</v>
      </c>
      <c r="AI41" s="8" t="str">
        <f>IF(YEar9Table[[#This Row],[Ranked Wins]]=YEar9Table[[#This Row],[Wins in Stacks]],"Y","N")</f>
        <v>N</v>
      </c>
      <c r="AJ41" s="8" t="str">
        <f>IF(YEar9Table[[#This Row],[Ranked Losses]]=YEar9Table[[#This Row],[Losses in Stacks]],"Y","N")</f>
        <v>N</v>
      </c>
      <c r="AK41" s="3">
        <f>IFERROR(YEar9Table[[#This Row],[Ranked Wins]]/(YEar9Table[[#This Row],[Ranked Wins]]+YEar9Table[[#This Row],[Ranked Losses]]),0)</f>
        <v>0</v>
      </c>
      <c r="AL41" s="3">
        <f>IFERROR(YEar9Table[[#This Row],[Attack Wins]]/(YEar9Table[[#This Row],[Attack Wins]]+YEar9Table[[#This Row],[Attack Losses]]),0)</f>
        <v>0</v>
      </c>
      <c r="AM41" s="3">
        <f>IFERROR(YEar9Table[[#This Row],[Defense Wins]]/(YEar9Table[[#This Row],[Defense Wins]]+YEar9Table[[#This Row],[Defense Losses]]),0)</f>
        <v>0</v>
      </c>
      <c r="AN41" s="1" cm="1">
        <f t="array" ref="AN41">IFERROR(SUMPRODUCT(($B$2:$B$131=YEar9Table[[#This Row],[Player]])*$L$2:$L$131),0)+IFERROR(SUMPRODUCT(($C$2:$C$131=YEar9Table[[#This Row],[Player]])*$L$2:$L$131),0)+IFERROR(SUMPRODUCT(($E$2:$E$131=YEar9Table[[#This Row],[Player]])*$L$2:$L$131),0)+IFERROR(SUMPRODUCT(($D$2:$D$131=YEar9Table[[#This Row],[Player]])*$L$2:$L$131),0)+IFERROR(SUMPRODUCT(($F$2:$F$131=YEar9Table[[#This Row],[Player]])*$L$2:$L$131),0)</f>
        <v>2</v>
      </c>
      <c r="AO41" s="1" cm="1">
        <f t="array" ref="AO41">IFERROR(SUMPRODUCT(($B$2:$B$131=YEar9Table[[#This Row],[Player]])*$M$2:$M$131),0)+IFERROR(SUMPRODUCT(($C$2:$C$131=YEar9Table[[#This Row],[Player]])*$M$2:$M$131),0)+IFERROR(SUMPRODUCT(($D$2:$D$131=YEar9Table[[#This Row],[Player]])*$M$2:$M$131),0)+IFERROR(SUMPRODUCT(($E$2:$E$131=YEar9Table[[#This Row],[Player]])*$M$2:$M$131),0)+IFERROR(SUMPRODUCT(($F$2:$F$131=YEar9Table[[#This Row],[Player]])*$M$2:$M$131),0)</f>
        <v>2</v>
      </c>
      <c r="AP41" s="1">
        <f>YEar9Table[[#This Row],[Wins in Stacks]]+YEar9Table[[#This Row],[Losses in Stacks]]</f>
        <v>4</v>
      </c>
      <c r="AQ41" s="3">
        <f>IFERROR(YEar9Table[[#This Row],[Wins in Stacks]]/YEar9Table[[#This Row],[Total Games In Stacks]],0)</f>
        <v>0.5</v>
      </c>
      <c r="AR41" s="75">
        <v>0.7</v>
      </c>
      <c r="AS41" s="21">
        <v>3</v>
      </c>
      <c r="AT41" s="20" cm="1">
        <f t="array" ref="AT41">(YEar9Table[[#This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-26.25736984644459</v>
      </c>
    </row>
    <row r="42" spans="1:48">
      <c r="A42" s="156" t="str">
        <f>_xlfn.TEXTJOIN(",",TRUE,_xlfn._xlws.SORT(_xlfn.TEXTSPLIT(_xlfn.TEXTJOIN(",",TRUE,_xlfn._xlws.SORT($B42:$F42, 1, -1, FALSE)),"WWWWW",",")))</f>
        <v>AkusNightmare,Chromius.TAMU,hawaiianpunch56,HostMal0ne,Koyeetchi</v>
      </c>
      <c r="B42" s="153" t="s">
        <v>77</v>
      </c>
      <c r="C42" s="153" t="s">
        <v>235</v>
      </c>
      <c r="D42" s="153" t="s">
        <v>232</v>
      </c>
      <c r="E42" s="153" t="s">
        <v>144</v>
      </c>
      <c r="F42" s="151" t="s">
        <v>250</v>
      </c>
      <c r="G42" s="154" t="str">
        <f>IFERROR(VLOOKUP(Y9S1[[#This Row],[Player 1]],YEar9Table[],2,FALSE),0)</f>
        <v>TIER 1</v>
      </c>
      <c r="H42" s="162" t="str">
        <f>IFERROR(VLOOKUP(Y9S1[[#This Row],[Player 2]],YEar9Table[],2,FALSE),"")</f>
        <v>TIER 1</v>
      </c>
      <c r="I42" s="153" t="str">
        <f>IFERROR(VLOOKUP(Y9S1[[#This Row],[Player 3]],YEar9Table[],2,FALSE),"")</f>
        <v>TIER 7</v>
      </c>
      <c r="J42" s="153" t="str">
        <f>IFERROR(VLOOKUP(Y9S1[[#This Row],[Player 4]],YEar9Table[],2,FALSE),"")</f>
        <v>TIER 8</v>
      </c>
      <c r="K42" s="159" t="str">
        <f>IFERROR(VLOOKUP(Y9S1[[#This Row],[Player 5]],YEar9Table[],2,FALSE),"")</f>
        <v>TIER 8</v>
      </c>
      <c r="L42" s="40">
        <v>1</v>
      </c>
      <c r="M42" s="40">
        <v>0</v>
      </c>
      <c r="N42" s="40">
        <f>$L42+$M42</f>
        <v>1</v>
      </c>
      <c r="O42" s="50">
        <f>IFERROR(L42/(M42+L42),0)</f>
        <v>1</v>
      </c>
      <c r="P42" s="104">
        <f>(((Y9S1[[#This Row],[Wins]]*1.3)-Y9S1[[#This Row],[Losses]])/SUM(Y9S1[Games Played]))*10</f>
        <v>4.980842911877395E-2</v>
      </c>
      <c r="Q42" s="182"/>
      <c r="U42" s="1" t="str">
        <f>YEar9Table[[#This Row],[Player]]</f>
        <v>Killmer.LAT</v>
      </c>
      <c r="V42" s="1" t="str">
        <f>IF(AT42&gt;7.5, "TIER 1",
IF(AT42&gt;6.5, "TIER 2",
IF(AT42&gt;5.5, "TIER 3",
IF(AT42&gt;4.5, "TIER 4",
IF(AT42&gt;3.5, "TIER 5",
IF(AT42&gt;2,  "TIER 6",
IF(AT42&gt;0,  "TIER 7",
"TIER 8")))))))</f>
        <v>TIER 8</v>
      </c>
      <c r="W42" s="190" t="s">
        <v>123</v>
      </c>
      <c r="X42" s="190" t="s">
        <v>123</v>
      </c>
      <c r="Y42" s="8">
        <f>VLOOKUP(YEar9Table[[#This Row],[Player]],ImportTable15[],2,FALSE)</f>
        <v>0</v>
      </c>
      <c r="Z42" s="8">
        <f>VLOOKUP(YEar9Table[[#This Row],[Player]],ImportTable15[],3,FALSE)</f>
        <v>0</v>
      </c>
      <c r="AA42" s="8">
        <f>VLOOKUP(YEar9Table[[#This Row],[Player]],ImportTable15[],4,FALSE)</f>
        <v>0</v>
      </c>
      <c r="AB42" s="8">
        <f>VLOOKUP(YEar9Table[[#This Row],[Player]],ImportTable15[],5,FALSE)</f>
        <v>0</v>
      </c>
      <c r="AC42" s="8">
        <f>VLOOKUP(YEar9Table[[#This Row],[Player]],ImportTable15[],6,FALSE)</f>
        <v>0</v>
      </c>
      <c r="AD42" s="8">
        <f>VLOOKUP(YEar9Table[[#This Row],[Player]],ImportTable15[],7,FALSE)</f>
        <v>0</v>
      </c>
      <c r="AE42" s="77">
        <f>VLOOKUP(YEar9Table[[#This Row],[Player]],ImportTable15[],8,FALSE)</f>
        <v>0</v>
      </c>
      <c r="AF42" s="77">
        <f>VLOOKUP(YEar9Table[[#This Row],[Player]],ImportTable15[],9,FALSE)</f>
        <v>0</v>
      </c>
      <c r="AG42" s="8">
        <f>VLOOKUP(YEar9Table[[#This Row],[Player]],ImportTable15[],10,FALSE)</f>
        <v>0</v>
      </c>
      <c r="AH42" s="8">
        <f>VLOOKUP(YEar9Table[[#This Row],[Player]],ImportTable15[],11,FALSE)</f>
        <v>0</v>
      </c>
      <c r="AI42" s="8" t="str">
        <f>IF(YEar9Table[[#This Row],[Ranked Wins]]=YEar9Table[[#This Row],[Wins in Stacks]],"Y","N")</f>
        <v>Y</v>
      </c>
      <c r="AJ42" s="8" t="str">
        <f>IF(YEar9Table[[#This Row],[Ranked Losses]]=YEar9Table[[#This Row],[Losses in Stacks]],"Y","N")</f>
        <v>Y</v>
      </c>
      <c r="AK42" s="3">
        <f>IFERROR(YEar9Table[[#This Row],[Ranked Wins]]/(YEar9Table[[#This Row],[Ranked Wins]]+YEar9Table[[#This Row],[Ranked Losses]]),0)</f>
        <v>0</v>
      </c>
      <c r="AL42" s="3">
        <f>IFERROR(YEar9Table[[#This Row],[Attack Wins]]/(YEar9Table[[#This Row],[Attack Wins]]+YEar9Table[[#This Row],[Attack Losses]]),0)</f>
        <v>0</v>
      </c>
      <c r="AM42" s="3">
        <f>IFERROR(YEar9Table[[#This Row],[Defense Wins]]/(YEar9Table[[#This Row],[Defense Wins]]+YEar9Table[[#This Row],[Defense Losses]]),0)</f>
        <v>0</v>
      </c>
      <c r="AN42" s="1" cm="1">
        <f t="array" ref="AN42">IFERROR(SUMPRODUCT(($B$2:$B$131=YEar9Table[[#This Row],[Player]])*$L$2:$L$131),0)+IFERROR(SUMPRODUCT(($C$2:$C$131=YEar9Table[[#This Row],[Player]])*$L$2:$L$131),0)+IFERROR(SUMPRODUCT(($E$2:$E$131=YEar9Table[[#This Row],[Player]])*$L$2:$L$131),0)+IFERROR(SUMPRODUCT(($D$2:$D$131=YEar9Table[[#This Row],[Player]])*$L$2:$L$131),0)+IFERROR(SUMPRODUCT(($F$2:$F$131=YEar9Table[[#This Row],[Player]])*$L$2:$L$131),0)</f>
        <v>0</v>
      </c>
      <c r="AO42" s="1" cm="1">
        <f t="array" ref="AO42">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42" s="1">
        <f>YEar9Table[[#This Row],[Wins in Stacks]]+YEar9Table[[#This Row],[Losses in Stacks]]</f>
        <v>0</v>
      </c>
      <c r="AQ42" s="3">
        <f>IFERROR(YEar9Table[[#This Row],[Wins in Stacks]]/YEar9Table[[#This Row],[Total Games In Stacks]],0)</f>
        <v>0</v>
      </c>
      <c r="AR42" s="75">
        <v>0.1</v>
      </c>
      <c r="AS42" s="21">
        <v>3</v>
      </c>
      <c r="AT42" s="20" cm="1">
        <f t="array" ref="AT42">(YEar9Table[[#This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-42.25736984644459</v>
      </c>
    </row>
    <row r="43" spans="1:48">
      <c r="A43" s="156" t="str">
        <f>_xlfn.TEXTJOIN(",",TRUE,_xlfn._xlws.SORT(_xlfn.TEXTSPLIT(_xlfn.TEXTJOIN(",",TRUE,_xlfn._xlws.SORT($B43:$F43, 1, -1, FALSE)),"WWWWW",",")))</f>
        <v>AkusNightmare,Blade2420,Chromius.TAMU,hawaiianpunch56,HostMal0ne</v>
      </c>
      <c r="B43" s="153" t="s">
        <v>77</v>
      </c>
      <c r="C43" s="153" t="s">
        <v>235</v>
      </c>
      <c r="D43" s="153" t="s">
        <v>232</v>
      </c>
      <c r="E43" s="153" t="s">
        <v>113</v>
      </c>
      <c r="F43" s="151" t="s">
        <v>250</v>
      </c>
      <c r="G43" s="154" t="str">
        <f>IFERROR(VLOOKUP(Y9S1[[#This Row],[Player 1]],YEar9Table[],2,FALSE),0)</f>
        <v>TIER 1</v>
      </c>
      <c r="H43" s="162" t="str">
        <f>IFERROR(VLOOKUP(Y9S1[[#This Row],[Player 2]],YEar9Table[],2,FALSE),"")</f>
        <v>TIER 1</v>
      </c>
      <c r="I43" s="153" t="str">
        <f>IFERROR(VLOOKUP(Y9S1[[#This Row],[Player 3]],YEar9Table[],2,FALSE),"")</f>
        <v>TIER 7</v>
      </c>
      <c r="J43" s="153" t="str">
        <f>IFERROR(VLOOKUP(Y9S1[[#This Row],[Player 4]],YEar9Table[],2,FALSE),"")</f>
        <v>TIER 6</v>
      </c>
      <c r="K43" s="159" t="str">
        <f>IFERROR(VLOOKUP(Y9S1[[#This Row],[Player 5]],YEar9Table[],2,FALSE),"")</f>
        <v>TIER 8</v>
      </c>
      <c r="L43" s="40">
        <v>1</v>
      </c>
      <c r="M43" s="40">
        <v>0</v>
      </c>
      <c r="N43" s="40">
        <f>$L43+$M43</f>
        <v>1</v>
      </c>
      <c r="O43" s="50">
        <f>IFERROR(L43/(M43+L43),0)</f>
        <v>1</v>
      </c>
      <c r="P43" s="104">
        <f>(((Y9S1[[#This Row],[Wins]]*1.3)-Y9S1[[#This Row],[Losses]])/SUM(Y9S1[Games Played]))*10</f>
        <v>4.980842911877395E-2</v>
      </c>
      <c r="Q43" s="182"/>
      <c r="U43" s="1" t="str">
        <f>YEar9Table[[#This Row],[Player]]</f>
        <v>GrizzlyGrimmm</v>
      </c>
      <c r="V43" s="1" t="str">
        <f>IF(AT43&gt;7.5, "TIER 1",
IF(AT43&gt;6.5, "TIER 2",
IF(AT43&gt;5.5, "TIER 3",
IF(AT43&gt;4.5, "TIER 4",
IF(AT43&gt;3.5, "TIER 5",
IF(AT43&gt;2,  "TIER 6",
IF(AT43&gt;0,  "TIER 7",
"TIER 8")))))))</f>
        <v>TIER 8</v>
      </c>
      <c r="W43" s="163" t="s">
        <v>257</v>
      </c>
      <c r="X43" s="163" t="s">
        <v>258</v>
      </c>
      <c r="Y43" s="8">
        <f>VLOOKUP(YEar9Table[[#This Row],[Player]],ImportTable15[],2,FALSE)</f>
        <v>0</v>
      </c>
      <c r="Z43" s="8">
        <f>VLOOKUP(YEar9Table[[#This Row],[Player]],ImportTable15[],3,FALSE)</f>
        <v>0</v>
      </c>
      <c r="AA43" s="8">
        <f>VLOOKUP(YEar9Table[[#This Row],[Player]],ImportTable15[],4,FALSE)</f>
        <v>0</v>
      </c>
      <c r="AB43" s="8">
        <f>VLOOKUP(YEar9Table[[#This Row],[Player]],ImportTable15[],5,FALSE)</f>
        <v>0</v>
      </c>
      <c r="AC43" s="8">
        <f>VLOOKUP(YEar9Table[[#This Row],[Player]],ImportTable15[],6,FALSE)</f>
        <v>0</v>
      </c>
      <c r="AD43" s="8">
        <f>VLOOKUP(YEar9Table[[#This Row],[Player]],ImportTable15[],7,FALSE)</f>
        <v>0</v>
      </c>
      <c r="AE43" s="77">
        <f>VLOOKUP(YEar9Table[[#This Row],[Player]],ImportTable15[],8,FALSE)</f>
        <v>0</v>
      </c>
      <c r="AF43" s="77">
        <f>VLOOKUP(YEar9Table[[#This Row],[Player]],ImportTable15[],9,FALSE)</f>
        <v>0</v>
      </c>
      <c r="AG43" s="8">
        <f>VLOOKUP(YEar9Table[[#This Row],[Player]],ImportTable15[],10,FALSE)</f>
        <v>0</v>
      </c>
      <c r="AH43" s="8">
        <f>VLOOKUP(YEar9Table[[#This Row],[Player]],ImportTable15[],11,FALSE)</f>
        <v>0</v>
      </c>
      <c r="AI43" s="8" t="str">
        <f>IF(YEar9Table[[#This Row],[Ranked Wins]]=YEar9Table[[#This Row],[Wins in Stacks]],"Y","N")</f>
        <v>N</v>
      </c>
      <c r="AJ43" s="8" t="str">
        <f>IF(YEar9Table[[#This Row],[Ranked Losses]]=YEar9Table[[#This Row],[Losses in Stacks]],"Y","N")</f>
        <v>N</v>
      </c>
      <c r="AK43" s="3">
        <f>IFERROR(YEar9Table[[#This Row],[Ranked Wins]]/(YEar9Table[[#This Row],[Ranked Wins]]+YEar9Table[[#This Row],[Ranked Losses]]),0)</f>
        <v>0</v>
      </c>
      <c r="AL43" s="3">
        <f>IFERROR(YEar9Table[[#This Row],[Attack Wins]]/(YEar9Table[[#This Row],[Attack Wins]]+YEar9Table[[#This Row],[Attack Losses]]),0)</f>
        <v>0</v>
      </c>
      <c r="AM43" s="3">
        <f>IFERROR(YEar9Table[[#This Row],[Defense Wins]]/(YEar9Table[[#This Row],[Defense Wins]]+YEar9Table[[#This Row],[Defense Losses]]),0)</f>
        <v>0</v>
      </c>
      <c r="AN43" s="1" cm="1">
        <f t="array" ref="AN43">IFERROR(SUMPRODUCT(($B$2:$B$131=YEar9Table[[#This Row],[Player]])*$L$2:$L$131),0)+IFERROR(SUMPRODUCT(($C$2:$C$131=YEar9Table[[#This Row],[Player]])*$L$2:$L$131),0)+IFERROR(SUMPRODUCT(($E$2:$E$131=YEar9Table[[#This Row],[Player]])*$L$2:$L$131),0)+IFERROR(SUMPRODUCT(($D$2:$D$131=YEar9Table[[#This Row],[Player]])*$L$2:$L$131),0)+IFERROR(SUMPRODUCT(($F$2:$F$131=YEar9Table[[#This Row],[Player]])*$L$2:$L$131),0)</f>
        <v>1</v>
      </c>
      <c r="AO43" s="1" cm="1">
        <f t="array" ref="AO43">IFERROR(SUMPRODUCT(($B$2:$B$131=YEar9Table[[#This Row],[Player]])*$M$2:$M$131),0)+IFERROR(SUMPRODUCT(($C$2:$C$131=YEar9Table[[#This Row],[Player]])*$M$2:$M$131),0)+IFERROR(SUMPRODUCT(($D$2:$D$131=YEar9Table[[#This Row],[Player]])*$M$2:$M$131),0)+IFERROR(SUMPRODUCT(($E$2:$E$131=YEar9Table[[#This Row],[Player]])*$M$2:$M$131),0)+IFERROR(SUMPRODUCT(($F$2:$F$131=YEar9Table[[#This Row],[Player]])*$M$2:$M$131),0)</f>
        <v>1</v>
      </c>
      <c r="AP43" s="1">
        <f>YEar9Table[[#This Row],[Wins in Stacks]]+YEar9Table[[#This Row],[Losses in Stacks]]</f>
        <v>2</v>
      </c>
      <c r="AQ43" s="3">
        <f>IFERROR(YEar9Table[[#This Row],[Wins in Stacks]]/YEar9Table[[#This Row],[Total Games In Stacks]],0)</f>
        <v>0.5</v>
      </c>
      <c r="AR43" s="75">
        <v>0.5</v>
      </c>
      <c r="AS43" s="21">
        <v>3</v>
      </c>
      <c r="AT43" s="20" cm="1">
        <f t="array" ref="AT43">(YEar9Table[[#This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-28.25736984644459</v>
      </c>
    </row>
    <row r="44" spans="1:48">
      <c r="A44" s="156" t="str">
        <f>_xlfn.TEXTJOIN(",",TRUE,_xlfn._xlws.SORT(_xlfn.TEXTSPLIT(_xlfn.TEXTJOIN(",",TRUE,_xlfn._xlws.SORT($B44:$F44, 1, -1, FALSE)),"WWWWW",",")))</f>
        <v>Elyidian,Glonk.MB,SkillDatKillz.,zhusch</v>
      </c>
      <c r="B44" s="153" t="s">
        <v>162</v>
      </c>
      <c r="C44" s="153" t="s">
        <v>234</v>
      </c>
      <c r="D44" s="185" t="s">
        <v>259</v>
      </c>
      <c r="E44" s="191" t="s">
        <v>260</v>
      </c>
      <c r="F44" s="185"/>
      <c r="G44" s="154" t="str">
        <f>IFERROR(VLOOKUP(Y9S1[[#This Row],[Player 1]],YEar9Table[],2,FALSE),0)</f>
        <v>TIER 2</v>
      </c>
      <c r="H44" s="162" t="str">
        <f>IFERROR(VLOOKUP(Y9S1[[#This Row],[Player 2]],YEar9Table[],2,FALSE),"")</f>
        <v>TIER 8</v>
      </c>
      <c r="I44" s="153" t="str">
        <f>IFERROR(VLOOKUP(Y9S1[[#This Row],[Player 3]],YEar9Table[],2,FALSE),"")</f>
        <v>TIER 8</v>
      </c>
      <c r="J44" s="153" t="str">
        <f>IFERROR(VLOOKUP(Y9S1[[#This Row],[Player 4]],YEar9Table[],2,FALSE),"")</f>
        <v>TIER 8</v>
      </c>
      <c r="K44" s="159" t="str">
        <f>IFERROR(VLOOKUP(Y9S1[[#This Row],[Player 5]],YEar9Table[],2,FALSE),"")</f>
        <v/>
      </c>
      <c r="L44" s="40">
        <v>1</v>
      </c>
      <c r="M44" s="40">
        <v>0</v>
      </c>
      <c r="N44" s="40">
        <f>$L44+$M44</f>
        <v>1</v>
      </c>
      <c r="O44" s="50">
        <f>IFERROR(L44/(M44+L44),0)</f>
        <v>1</v>
      </c>
      <c r="P44" s="104">
        <f>(((Y9S1[[#This Row],[Wins]]*1.3)-Y9S1[[#This Row],[Losses]])/SUM(Y9S1[Games Played]))*10</f>
        <v>4.980842911877395E-2</v>
      </c>
      <c r="Q44" s="182" t="s">
        <v>261</v>
      </c>
      <c r="U44" s="1" t="str">
        <f>YEar9Table[[#This Row],[Player]]</f>
        <v>SkillDatKillz.</v>
      </c>
      <c r="V44" s="1" t="str">
        <f>IF(AT44&gt;7.5, "TIER 1",
IF(AT44&gt;6.5, "TIER 2",
IF(AT44&gt;5.5, "TIER 3",
IF(AT44&gt;4.5, "TIER 4",
IF(AT44&gt;3.5, "TIER 5",
IF(AT44&gt;2,  "TIER 6",
IF(AT44&gt;0,  "TIER 7",
"TIER 8")))))))</f>
        <v>TIER 8</v>
      </c>
      <c r="W44" s="163" t="s">
        <v>262</v>
      </c>
      <c r="X44" s="164" t="s">
        <v>260</v>
      </c>
      <c r="Y44" s="8">
        <f>VLOOKUP(YEar9Table[[#This Row],[Player]],ImportTable15[],2,FALSE)</f>
        <v>0</v>
      </c>
      <c r="Z44" s="8">
        <f>VLOOKUP(YEar9Table[[#This Row],[Player]],ImportTable15[],3,FALSE)</f>
        <v>0</v>
      </c>
      <c r="AA44" s="8">
        <f>VLOOKUP(YEar9Table[[#This Row],[Player]],ImportTable15[],4,FALSE)</f>
        <v>0</v>
      </c>
      <c r="AB44" s="8">
        <f>VLOOKUP(YEar9Table[[#This Row],[Player]],ImportTable15[],5,FALSE)</f>
        <v>0</v>
      </c>
      <c r="AC44" s="8">
        <f>VLOOKUP(YEar9Table[[#This Row],[Player]],ImportTable15[],6,FALSE)</f>
        <v>0</v>
      </c>
      <c r="AD44" s="8">
        <f>VLOOKUP(YEar9Table[[#This Row],[Player]],ImportTable15[],7,FALSE)</f>
        <v>0</v>
      </c>
      <c r="AE44" s="77">
        <f>VLOOKUP(YEar9Table[[#This Row],[Player]],ImportTable15[],8,FALSE)</f>
        <v>0</v>
      </c>
      <c r="AF44" s="77">
        <f>VLOOKUP(YEar9Table[[#This Row],[Player]],ImportTable15[],9,FALSE)</f>
        <v>0</v>
      </c>
      <c r="AG44" s="8">
        <f>VLOOKUP(YEar9Table[[#This Row],[Player]],ImportTable15[],10,FALSE)</f>
        <v>0</v>
      </c>
      <c r="AH44" s="8">
        <f>VLOOKUP(YEar9Table[[#This Row],[Player]],ImportTable15[],11,FALSE)</f>
        <v>0</v>
      </c>
      <c r="AI44" s="8" t="str">
        <f>IF(YEar9Table[[#This Row],[Ranked Wins]]=YEar9Table[[#This Row],[Wins in Stacks]],"Y","N")</f>
        <v>N</v>
      </c>
      <c r="AJ44" s="8" t="str">
        <f>IF(YEar9Table[[#This Row],[Ranked Losses]]=YEar9Table[[#This Row],[Losses in Stacks]],"Y","N")</f>
        <v>Y</v>
      </c>
      <c r="AK44" s="3">
        <f>IFERROR(YEar9Table[[#This Row],[Ranked Wins]]/(YEar9Table[[#This Row],[Ranked Wins]]+YEar9Table[[#This Row],[Ranked Losses]]),0)</f>
        <v>0</v>
      </c>
      <c r="AL44" s="3">
        <f>IFERROR(YEar9Table[[#This Row],[Attack Wins]]/(YEar9Table[[#This Row],[Attack Wins]]+YEar9Table[[#This Row],[Attack Losses]]),0)</f>
        <v>0</v>
      </c>
      <c r="AM44" s="3">
        <f>IFERROR(YEar9Table[[#This Row],[Defense Wins]]/(YEar9Table[[#This Row],[Defense Wins]]+YEar9Table[[#This Row],[Defense Losses]]),0)</f>
        <v>0</v>
      </c>
      <c r="AN44" s="1" cm="1">
        <f t="array" ref="AN44">IFERROR(SUMPRODUCT(($B$2:$B$131=YEar9Table[[#This Row],[Player]])*$L$2:$L$131),0)+IFERROR(SUMPRODUCT(($C$2:$C$131=YEar9Table[[#This Row],[Player]])*$L$2:$L$131),0)+IFERROR(SUMPRODUCT(($E$2:$E$131=YEar9Table[[#This Row],[Player]])*$L$2:$L$131),0)+IFERROR(SUMPRODUCT(($D$2:$D$131=YEar9Table[[#This Row],[Player]])*$L$2:$L$131),0)+IFERROR(SUMPRODUCT(($F$2:$F$131=YEar9Table[[#This Row],[Player]])*$L$2:$L$131),0)</f>
        <v>1</v>
      </c>
      <c r="AO44" s="1" cm="1">
        <f t="array" ref="AO44">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44" s="1">
        <f>YEar9Table[[#This Row],[Wins in Stacks]]+YEar9Table[[#This Row],[Losses in Stacks]]</f>
        <v>1</v>
      </c>
      <c r="AQ44" s="3">
        <f>IFERROR(YEar9Table[[#This Row],[Wins in Stacks]]/YEar9Table[[#This Row],[Total Games In Stacks]],0)</f>
        <v>1</v>
      </c>
      <c r="AR44" s="75">
        <v>0.5</v>
      </c>
      <c r="AS44" s="21">
        <v>3</v>
      </c>
      <c r="AT44" s="20" cm="1">
        <f t="array" ref="AT44">(YEar9Table[[#This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-18.25736984644459</v>
      </c>
    </row>
    <row r="45" spans="1:48">
      <c r="A45" s="156" t="str">
        <f>_xlfn.TEXTJOIN(",",TRUE,_xlfn._xlws.SORT(_xlfn.TEXTSPLIT(_xlfn.TEXTJOIN(",",TRUE,_xlfn._xlws.SORT($B45:$F45, 1, -1, FALSE)),"WWWWW",",")))</f>
        <v>Chromius.TAMU,Coolrocket.TAMU,Elyidian,Fallen.rqnger,Timythiccums.MB</v>
      </c>
      <c r="B45" s="153" t="s">
        <v>77</v>
      </c>
      <c r="C45" s="153" t="s">
        <v>234</v>
      </c>
      <c r="D45" s="153" t="s">
        <v>81</v>
      </c>
      <c r="E45" s="151" t="s">
        <v>138</v>
      </c>
      <c r="F45" s="153" t="s">
        <v>263</v>
      </c>
      <c r="G45" s="154" t="str">
        <f>IFERROR(VLOOKUP(Y9S1[[#This Row],[Player 1]],YEar9Table[],2,FALSE),0)</f>
        <v>TIER 1</v>
      </c>
      <c r="H45" s="162" t="str">
        <f>IFERROR(VLOOKUP(Y9S1[[#This Row],[Player 2]],YEar9Table[],2,FALSE),"")</f>
        <v>TIER 8</v>
      </c>
      <c r="I45" s="153" t="str">
        <f>IFERROR(VLOOKUP(Y9S1[[#This Row],[Player 3]],YEar9Table[],2,FALSE),"")</f>
        <v>TIER 6</v>
      </c>
      <c r="J45" s="153" t="str">
        <f>IFERROR(VLOOKUP(Y9S1[[#This Row],[Player 4]],YEar9Table[],2,FALSE),"")</f>
        <v>TIER 7</v>
      </c>
      <c r="K45" s="159" t="str">
        <f>IFERROR(VLOOKUP(Y9S1[[#This Row],[Player 5]],YEar9Table[],2,FALSE),"")</f>
        <v>TIER 7</v>
      </c>
      <c r="L45" s="40">
        <v>1</v>
      </c>
      <c r="M45" s="40">
        <v>0</v>
      </c>
      <c r="N45" s="40">
        <f>$L45+$M45</f>
        <v>1</v>
      </c>
      <c r="O45" s="50">
        <f>IFERROR(L45/(M45+L45),0)</f>
        <v>1</v>
      </c>
      <c r="P45" s="103">
        <f>(((Y9S1[[#This Row],[Wins]]*1.3)-Y9S1[[#This Row],[Losses]])/SUM(Y9S1[Games Played]))*10</f>
        <v>4.980842911877395E-2</v>
      </c>
      <c r="Q45" s="182"/>
      <c r="U45" s="1" t="str">
        <f>YEar9Table[[#This Row],[Player]]</f>
        <v>zhusch</v>
      </c>
      <c r="V45" s="1" t="str">
        <f>IF(AT45&gt;7.5, "TIER 1",
IF(AT45&gt;6.5, "TIER 2",
IF(AT45&gt;5.5, "TIER 3",
IF(AT45&gt;4.5, "TIER 4",
IF(AT45&gt;3.5, "TIER 5",
IF(AT45&gt;2,  "TIER 6",
IF(AT45&gt;0,  "TIER 7",
"TIER 8")))))))</f>
        <v>TIER 8</v>
      </c>
      <c r="W45" s="163" t="s">
        <v>264</v>
      </c>
      <c r="X45" s="8" t="s">
        <v>259</v>
      </c>
      <c r="Y45" s="8">
        <f>VLOOKUP(YEar9Table[[#This Row],[Player]],ImportTable15[],2,FALSE)</f>
        <v>0</v>
      </c>
      <c r="Z45" s="8">
        <f>VLOOKUP(YEar9Table[[#This Row],[Player]],ImportTable15[],3,FALSE)</f>
        <v>0</v>
      </c>
      <c r="AA45" s="8">
        <f>VLOOKUP(YEar9Table[[#This Row],[Player]],ImportTable15[],4,FALSE)</f>
        <v>0</v>
      </c>
      <c r="AB45" s="8">
        <f>VLOOKUP(YEar9Table[[#This Row],[Player]],ImportTable15[],5,FALSE)</f>
        <v>0</v>
      </c>
      <c r="AC45" s="8">
        <f>VLOOKUP(YEar9Table[[#This Row],[Player]],ImportTable15[],6,FALSE)</f>
        <v>0</v>
      </c>
      <c r="AD45" s="8">
        <f>VLOOKUP(YEar9Table[[#This Row],[Player]],ImportTable15[],7,FALSE)</f>
        <v>0</v>
      </c>
      <c r="AE45" s="77">
        <f>VLOOKUP(YEar9Table[[#This Row],[Player]],ImportTable15[],8,FALSE)</f>
        <v>0</v>
      </c>
      <c r="AF45" s="77">
        <f>VLOOKUP(YEar9Table[[#This Row],[Player]],ImportTable15[],9,FALSE)</f>
        <v>0</v>
      </c>
      <c r="AG45" s="8">
        <f>VLOOKUP(YEar9Table[[#This Row],[Player]],ImportTable15[],10,FALSE)</f>
        <v>0</v>
      </c>
      <c r="AH45" s="8">
        <f>VLOOKUP(YEar9Table[[#This Row],[Player]],ImportTable15[],11,FALSE)</f>
        <v>0</v>
      </c>
      <c r="AI45" s="8" t="str">
        <f>IF(YEar9Table[[#This Row],[Ranked Wins]]=YEar9Table[[#This Row],[Wins in Stacks]],"Y","N")</f>
        <v>N</v>
      </c>
      <c r="AJ45" s="8" t="str">
        <f>IF(YEar9Table[[#This Row],[Ranked Losses]]=YEar9Table[[#This Row],[Losses in Stacks]],"Y","N")</f>
        <v>N</v>
      </c>
      <c r="AK45" s="3">
        <f>IFERROR(YEar9Table[[#This Row],[Ranked Wins]]/(YEar9Table[[#This Row],[Ranked Wins]]+YEar9Table[[#This Row],[Ranked Losses]]),0)</f>
        <v>0</v>
      </c>
      <c r="AL45" s="3">
        <f>IFERROR(YEar9Table[[#This Row],[Attack Wins]]/(YEar9Table[[#This Row],[Attack Wins]]+YEar9Table[[#This Row],[Attack Losses]]),0)</f>
        <v>0</v>
      </c>
      <c r="AM45" s="3">
        <f>IFERROR(YEar9Table[[#This Row],[Defense Wins]]/(YEar9Table[[#This Row],[Defense Wins]]+YEar9Table[[#This Row],[Defense Losses]]),0)</f>
        <v>0</v>
      </c>
      <c r="AN45" s="1" cm="1">
        <f t="array" ref="AN45">IFERROR(SUMPRODUCT(($B$2:$B$131=YEar9Table[[#This Row],[Player]])*$L$2:$L$131),0)+IFERROR(SUMPRODUCT(($C$2:$C$131=YEar9Table[[#This Row],[Player]])*$L$2:$L$131),0)+IFERROR(SUMPRODUCT(($E$2:$E$131=YEar9Table[[#This Row],[Player]])*$L$2:$L$131),0)+IFERROR(SUMPRODUCT(($D$2:$D$131=YEar9Table[[#This Row],[Player]])*$L$2:$L$131),0)+IFERROR(SUMPRODUCT(($F$2:$F$131=YEar9Table[[#This Row],[Player]])*$L$2:$L$131),0)</f>
        <v>1</v>
      </c>
      <c r="AO45" s="1" cm="1">
        <f t="array" ref="AO45">IFERROR(SUMPRODUCT(($B$2:$B$131=YEar9Table[[#This Row],[Player]])*$M$2:$M$131),0)+IFERROR(SUMPRODUCT(($C$2:$C$131=YEar9Table[[#This Row],[Player]])*$M$2:$M$131),0)+IFERROR(SUMPRODUCT(($D$2:$D$131=YEar9Table[[#This Row],[Player]])*$M$2:$M$131),0)+IFERROR(SUMPRODUCT(($E$2:$E$131=YEar9Table[[#This Row],[Player]])*$M$2:$M$131),0)+IFERROR(SUMPRODUCT(($F$2:$F$131=YEar9Table[[#This Row],[Player]])*$M$2:$M$131),0)</f>
        <v>1</v>
      </c>
      <c r="AP45" s="1">
        <f>YEar9Table[[#This Row],[Wins in Stacks]]+YEar9Table[[#This Row],[Losses in Stacks]]</f>
        <v>2</v>
      </c>
      <c r="AQ45" s="3">
        <f>IFERROR(YEar9Table[[#This Row],[Wins in Stacks]]/YEar9Table[[#This Row],[Total Games In Stacks]],0)</f>
        <v>0.5</v>
      </c>
      <c r="AR45" s="75">
        <v>0.5</v>
      </c>
      <c r="AS45" s="21">
        <v>3</v>
      </c>
      <c r="AT45" s="20" cm="1">
        <f t="array" ref="AT45">(YEar9Table[[#This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-28.25736984644459</v>
      </c>
    </row>
    <row r="46" spans="1:48">
      <c r="A46" s="156" t="str">
        <f>_xlfn.TEXTJOIN(",",TRUE,_xlfn._xlws.SORT(_xlfn.TEXTSPLIT(_xlfn.TEXTJOIN(",",TRUE,_xlfn._xlws.SORT($B46:$F46, 1, -1, FALSE)),"WWWWW",",")))</f>
        <v>Chromius.TAMU,Glonk.MB,Kermitt.MB,PincheConcha</v>
      </c>
      <c r="B46" s="153" t="s">
        <v>162</v>
      </c>
      <c r="C46" s="153" t="s">
        <v>118</v>
      </c>
      <c r="D46" s="153" t="s">
        <v>91</v>
      </c>
      <c r="E46" s="153" t="s">
        <v>77</v>
      </c>
      <c r="F46" s="153"/>
      <c r="G46" s="154" t="str">
        <f>IFERROR(VLOOKUP(Y9S1[[#This Row],[Player 1]],YEar9Table[],2,FALSE),0)</f>
        <v>TIER 2</v>
      </c>
      <c r="H46" s="162" t="str">
        <f>IFERROR(VLOOKUP(Y9S1[[#This Row],[Player 2]],YEar9Table[],2,FALSE),"")</f>
        <v>TIER 4</v>
      </c>
      <c r="I46" s="153" t="str">
        <f>IFERROR(VLOOKUP(Y9S1[[#This Row],[Player 3]],YEar9Table[],2,FALSE),"")</f>
        <v>TIER 3</v>
      </c>
      <c r="J46" s="153" t="str">
        <f>IFERROR(VLOOKUP(Y9S1[[#This Row],[Player 4]],YEar9Table[],2,FALSE),"")</f>
        <v>TIER 1</v>
      </c>
      <c r="K46" s="159" t="str">
        <f>IFERROR(VLOOKUP(Y9S1[[#This Row],[Player 5]],YEar9Table[],2,FALSE),"")</f>
        <v/>
      </c>
      <c r="L46" s="40">
        <v>1</v>
      </c>
      <c r="M46" s="40">
        <v>0</v>
      </c>
      <c r="N46" s="40">
        <f>$L46+$M46</f>
        <v>1</v>
      </c>
      <c r="O46" s="50">
        <f>IFERROR(L46/(M46+L46),0)</f>
        <v>1</v>
      </c>
      <c r="P46" s="104">
        <f>(((Y9S1[[#This Row],[Wins]]*1.3)-Y9S1[[#This Row],[Losses]])/SUM(Y9S1[Games Played]))*10</f>
        <v>4.980842911877395E-2</v>
      </c>
      <c r="Q46" s="182"/>
      <c r="U46" s="1" t="str">
        <f>YEar9Table[[#This Row],[Player]]</f>
        <v>Strix.BBy</v>
      </c>
      <c r="V46" s="1" t="str">
        <f>IF(AT46&gt;7.5, "TIER 1",
IF(AT46&gt;6.5, "TIER 2",
IF(AT46&gt;5.5, "TIER 3",
IF(AT46&gt;4.5, "TIER 4",
IF(AT46&gt;3.5, "TIER 5",
IF(AT46&gt;2,  "TIER 6",
IF(AT46&gt;0,  "TIER 7",
"TIER 8")))))))</f>
        <v>TIER 8</v>
      </c>
      <c r="W46" s="1" t="s">
        <v>149</v>
      </c>
      <c r="X46" s="8" t="s">
        <v>150</v>
      </c>
      <c r="Y46" s="8">
        <f>VLOOKUP(YEar9Table[[#This Row],[Player]],ImportTable15[],2,FALSE)</f>
        <v>0</v>
      </c>
      <c r="Z46" s="8">
        <f>VLOOKUP(YEar9Table[[#This Row],[Player]],ImportTable15[],3,FALSE)</f>
        <v>0</v>
      </c>
      <c r="AA46" s="8">
        <f>VLOOKUP(YEar9Table[[#This Row],[Player]],ImportTable15[],4,FALSE)</f>
        <v>0</v>
      </c>
      <c r="AB46" s="8">
        <f>VLOOKUP(YEar9Table[[#This Row],[Player]],ImportTable15[],5,FALSE)</f>
        <v>0</v>
      </c>
      <c r="AC46" s="8">
        <f>VLOOKUP(YEar9Table[[#This Row],[Player]],ImportTable15[],6,FALSE)</f>
        <v>0</v>
      </c>
      <c r="AD46" s="8">
        <f>VLOOKUP(YEar9Table[[#This Row],[Player]],ImportTable15[],7,FALSE)</f>
        <v>0</v>
      </c>
      <c r="AE46" s="77">
        <f>VLOOKUP(YEar9Table[[#This Row],[Player]],ImportTable15[],8,FALSE)</f>
        <v>0</v>
      </c>
      <c r="AF46" s="77">
        <f>VLOOKUP(YEar9Table[[#This Row],[Player]],ImportTable15[],9,FALSE)</f>
        <v>0</v>
      </c>
      <c r="AG46" s="8">
        <f>VLOOKUP(YEar9Table[[#This Row],[Player]],ImportTable15[],10,FALSE)</f>
        <v>0</v>
      </c>
      <c r="AH46" s="8">
        <f>VLOOKUP(YEar9Table[[#This Row],[Player]],ImportTable15[],11,FALSE)</f>
        <v>0</v>
      </c>
      <c r="AI46" s="8" t="str">
        <f>IF(YEar9Table[[#This Row],[Ranked Wins]]=YEar9Table[[#This Row],[Wins in Stacks]],"Y","N")</f>
        <v>Y</v>
      </c>
      <c r="AJ46" s="8" t="str">
        <f>IF(YEar9Table[[#This Row],[Ranked Losses]]=YEar9Table[[#This Row],[Losses in Stacks]],"Y","N")</f>
        <v>Y</v>
      </c>
      <c r="AK46" s="3">
        <f>IFERROR(YEar9Table[[#This Row],[Ranked Wins]]/(YEar9Table[[#This Row],[Ranked Wins]]+YEar9Table[[#This Row],[Ranked Losses]]),0)</f>
        <v>0</v>
      </c>
      <c r="AL46" s="3">
        <f>IFERROR(YEar9Table[[#This Row],[Attack Wins]]/(YEar9Table[[#This Row],[Attack Wins]]+YEar9Table[[#This Row],[Attack Losses]]),0)</f>
        <v>0</v>
      </c>
      <c r="AM46" s="3">
        <f>IFERROR(YEar9Table[[#This Row],[Defense Wins]]/(YEar9Table[[#This Row],[Defense Wins]]+YEar9Table[[#This Row],[Defense Losses]]),0)</f>
        <v>0</v>
      </c>
      <c r="AN46" s="1" cm="1">
        <f t="array" ref="AN46">IFERROR(SUMPRODUCT(($B$2:$B$131=YEar9Table[[#This Row],[Player]])*$L$2:$L$131),0)+IFERROR(SUMPRODUCT(($C$2:$C$131=YEar9Table[[#This Row],[Player]])*$L$2:$L$131),0)+IFERROR(SUMPRODUCT(($E$2:$E$131=YEar9Table[[#This Row],[Player]])*$L$2:$L$131),0)+IFERROR(SUMPRODUCT(($D$2:$D$131=YEar9Table[[#This Row],[Player]])*$L$2:$L$131),0)+IFERROR(SUMPRODUCT(($F$2:$F$131=YEar9Table[[#This Row],[Player]])*$L$2:$L$131),0)</f>
        <v>0</v>
      </c>
      <c r="AO46" s="1" cm="1">
        <f t="array" ref="AO46">IFERROR(SUMPRODUCT(($B$2:$B$131=YEar9Table[[#This Row],[Player]])*$M$2:$M$131),0)+IFERROR(SUMPRODUCT(($C$2:$C$131=YEar9Table[[#This Row],[Player]])*$M$2:$M$131),0)+IFERROR(SUMPRODUCT(($D$2:$D$131=YEar9Table[[#This Row],[Player]])*$M$2:$M$131),0)+IFERROR(SUMPRODUCT(($E$2:$E$131=YEar9Table[[#This Row],[Player]])*$M$2:$M$131),0)+IFERROR(SUMPRODUCT(($F$2:$F$131=YEar9Table[[#This Row],[Player]])*$M$2:$M$131),0)</f>
        <v>0</v>
      </c>
      <c r="AP46" s="1">
        <f>YEar9Table[[#This Row],[Wins in Stacks]]+YEar9Table[[#This Row],[Losses in Stacks]]</f>
        <v>0</v>
      </c>
      <c r="AQ46" s="3">
        <f>IFERROR(YEar9Table[[#This Row],[Wins in Stacks]]/YEar9Table[[#This Row],[Total Games In Stacks]],0)</f>
        <v>0</v>
      </c>
      <c r="AR46" s="75">
        <v>0.05</v>
      </c>
      <c r="AS46" s="74">
        <v>4</v>
      </c>
      <c r="AT46" s="20" cm="1">
        <f t="array" ref="AT46">(YEar9Table[[#This Row],[Attack K/D]]-Table5813[Avg A K/D])+((YEar9Table[[#This Row],[Defense K/D]]-Table5813[Avg D K/D])+(YEar9Table[[#This Row],[Attack KOST]]-Table5813[A KOST])/10)+((YEar9Table[[#This Row],[Defense KOST]]-Table5813[D KOST])/10)+((YEar9Table[[#This Row],[Attack Win%]]-Table5813[Avg Attack W%])*10)+((YEar9Table[[#This Row],[Defense Win%]]-Table5813[Avg Defense W%])*10)+((YEar9Table[[#This Row],[Ranked Win%]]-Table5813[Avg Rank Win %])*10)+((YEar9Table[[#This Row],[Win% in Stack]]-Table5813[Avg Stack Win%])*10)*2+((YEar9Table[[#This Row],[Comm''s %]]-Table5813[Avg Comm''s %])*10)+(Table5813[Avg Selfish  1-5]-YEar9Table[[#This Row],[Selfish  1-5]])</f>
        <v>-43.75736984644459</v>
      </c>
    </row>
    <row r="47" spans="1:48">
      <c r="A47" s="156" t="str">
        <f>_xlfn.TEXTJOIN(",",TRUE,_xlfn._xlws.SORT(_xlfn.TEXTSPLIT(_xlfn.TEXTJOIN(",",TRUE,_xlfn._xlws.SORT($B47:$F47, 1, -1, FALSE)),"WWWWW",",")))</f>
        <v>Coolrocket.TAMU,Elyidian,Glonk.MB,GrizzlyGrimmm</v>
      </c>
      <c r="B47" s="153" t="s">
        <v>162</v>
      </c>
      <c r="C47" s="153" t="s">
        <v>234</v>
      </c>
      <c r="D47" s="185" t="s">
        <v>258</v>
      </c>
      <c r="E47" s="153" t="s">
        <v>138</v>
      </c>
      <c r="F47" s="153"/>
      <c r="G47" s="154" t="str">
        <f>IFERROR(VLOOKUP(Y9S1[[#This Row],[Player 1]],YEar9Table[],2,FALSE),0)</f>
        <v>TIER 2</v>
      </c>
      <c r="H47" s="162" t="str">
        <f>IFERROR(VLOOKUP(Y9S1[[#This Row],[Player 2]],YEar9Table[],2,FALSE),"")</f>
        <v>TIER 8</v>
      </c>
      <c r="I47" s="153" t="str">
        <f>IFERROR(VLOOKUP(Y9S1[[#This Row],[Player 3]],YEar9Table[],2,FALSE),"")</f>
        <v>TIER 8</v>
      </c>
      <c r="J47" s="153" t="str">
        <f>IFERROR(VLOOKUP(Y9S1[[#This Row],[Player 4]],YEar9Table[],2,FALSE),"")</f>
        <v>TIER 7</v>
      </c>
      <c r="K47" s="159" t="str">
        <f>IFERROR(VLOOKUP(Y9S1[[#This Row],[Player 5]],YEar9Table[],2,FALSE),"")</f>
        <v/>
      </c>
      <c r="L47" s="40">
        <v>1</v>
      </c>
      <c r="M47" s="40">
        <v>0</v>
      </c>
      <c r="N47" s="40">
        <f>$L47+$M47</f>
        <v>1</v>
      </c>
      <c r="O47" s="50">
        <f>IFERROR(L47/(M47+L47),0)</f>
        <v>1</v>
      </c>
      <c r="P47" s="103">
        <f>(((Y9S1[[#This Row],[Wins]]*1.3)-Y9S1[[#This Row],[Losses]])/SUM(Y9S1[Games Played]))*10</f>
        <v>4.980842911877395E-2</v>
      </c>
      <c r="Q47" s="182"/>
      <c r="U47" s="69"/>
      <c r="W47" s="1"/>
      <c r="X47" s="1"/>
      <c r="Y47" s="210" t="s">
        <v>160</v>
      </c>
      <c r="Z47" s="210"/>
      <c r="AA47" s="210"/>
      <c r="AB47" s="210"/>
      <c r="AC47" s="210"/>
      <c r="AD47" s="210"/>
      <c r="AE47" s="210"/>
      <c r="AF47" s="210"/>
      <c r="AG47" s="210"/>
      <c r="AH47" s="210"/>
      <c r="AI47" s="210"/>
      <c r="AJ47" s="1"/>
      <c r="AK47" s="1"/>
      <c r="AL47" s="1"/>
      <c r="AM47" s="1"/>
      <c r="AN47" s="1"/>
      <c r="AO47" s="1"/>
      <c r="AP47" s="1"/>
      <c r="AQ47" s="1"/>
      <c r="AR47" s="1"/>
      <c r="AS47" s="1"/>
      <c r="AT47" s="1"/>
    </row>
    <row r="48" spans="1:48">
      <c r="A48" s="156" t="str">
        <f>_xlfn.TEXTJOIN(",",TRUE,_xlfn._xlws.SORT(_xlfn.TEXTSPLIT(_xlfn.TEXTJOIN(",",TRUE,_xlfn._xlws.SORT($B48:$F48, 1, -1, FALSE)),"WWWWW",",")))</f>
        <v>Batman268,Chromius.TAMU,Joehashish.TAMU,PincheConcha</v>
      </c>
      <c r="B48" s="153" t="s">
        <v>77</v>
      </c>
      <c r="C48" s="153" t="s">
        <v>91</v>
      </c>
      <c r="D48" s="153" t="s">
        <v>265</v>
      </c>
      <c r="E48" s="153" t="s">
        <v>256</v>
      </c>
      <c r="F48" s="153"/>
      <c r="G48" s="154" t="str">
        <f>IFERROR(VLOOKUP(Y9S1[[#This Row],[Player 1]],YEar9Table[],2,FALSE),0)</f>
        <v>TIER 1</v>
      </c>
      <c r="H48" s="162" t="str">
        <f>IFERROR(VLOOKUP(Y9S1[[#This Row],[Player 2]],YEar9Table[],2,FALSE),"")</f>
        <v>TIER 3</v>
      </c>
      <c r="I48" s="153" t="str">
        <f>IFERROR(VLOOKUP(Y9S1[[#This Row],[Player 3]],YEar9Table[],2,FALSE),"")</f>
        <v>TIER 8</v>
      </c>
      <c r="J48" s="153" t="str">
        <f>IFERROR(VLOOKUP(Y9S1[[#This Row],[Player 4]],YEar9Table[],2,FALSE),"")</f>
        <v>TIER 8</v>
      </c>
      <c r="K48" s="159" t="str">
        <f>IFERROR(VLOOKUP(Y9S1[[#This Row],[Player 5]],YEar9Table[],2,FALSE),"")</f>
        <v/>
      </c>
      <c r="L48" s="40">
        <v>1</v>
      </c>
      <c r="M48" s="40">
        <v>0</v>
      </c>
      <c r="N48" s="40">
        <f>$L48+$M48</f>
        <v>1</v>
      </c>
      <c r="O48" s="50">
        <f>IFERROR(L48/(M48+L48),0)</f>
        <v>1</v>
      </c>
      <c r="P48" s="104">
        <f>(((Y9S1[[#This Row],[Wins]]*1.3)-Y9S1[[#This Row],[Losses]])/SUM(Y9S1[Games Played]))*10</f>
        <v>4.980842911877395E-2</v>
      </c>
      <c r="Q48" s="182"/>
      <c r="W48" s="1"/>
      <c r="X48" s="1"/>
      <c r="Y48" s="78" t="s">
        <v>50</v>
      </c>
      <c r="Z48" s="79" t="s">
        <v>51</v>
      </c>
      <c r="AA48" s="79" t="s">
        <v>52</v>
      </c>
      <c r="AB48" s="79" t="s">
        <v>53</v>
      </c>
      <c r="AC48" s="79" t="s">
        <v>54</v>
      </c>
      <c r="AD48" s="79" t="s">
        <v>55</v>
      </c>
      <c r="AE48" s="79" t="s">
        <v>56</v>
      </c>
      <c r="AF48" s="79" t="s">
        <v>57</v>
      </c>
      <c r="AG48" s="79" t="s">
        <v>58</v>
      </c>
      <c r="AH48" s="79" t="s">
        <v>59</v>
      </c>
      <c r="AI48" s="79" t="s">
        <v>60</v>
      </c>
      <c r="AJ48" s="169" t="s">
        <v>266</v>
      </c>
      <c r="AK48" s="1"/>
      <c r="AL48" s="1"/>
      <c r="AM48" s="1"/>
      <c r="AN48" s="1"/>
      <c r="AO48" s="1"/>
      <c r="AP48" s="1"/>
      <c r="AQ48" s="1"/>
      <c r="AR48" s="1"/>
      <c r="AS48" s="1"/>
      <c r="AT48" s="1"/>
    </row>
    <row r="49" spans="1:46">
      <c r="A49" s="156" t="str">
        <f>_xlfn.TEXTJOIN(",",TRUE,_xlfn._xlws.SORT(_xlfn.TEXTSPLIT(_xlfn.TEXTJOIN(",",TRUE,_xlfn._xlws.SORT($B49:$F49, 1, -1, FALSE)),"WWWWW",",")))</f>
        <v>Galahad21588,Glonk.MB</v>
      </c>
      <c r="B49" s="153" t="s">
        <v>162</v>
      </c>
      <c r="C49" s="153" t="s">
        <v>96</v>
      </c>
      <c r="D49" s="153"/>
      <c r="E49" s="153"/>
      <c r="F49" s="153"/>
      <c r="G49" s="153" t="str">
        <f>IFERROR(VLOOKUP(Y9S1[[#This Row],[Player 1]],YEar9Table[],2,FALSE),0)</f>
        <v>TIER 2</v>
      </c>
      <c r="H49" s="162" t="str">
        <f>IFERROR(VLOOKUP(Y9S1[[#This Row],[Player 2]],YEar9Table[],2,FALSE),"")</f>
        <v>TIER 3</v>
      </c>
      <c r="I49" s="153" t="str">
        <f>IFERROR(VLOOKUP(Y9S1[[#This Row],[Player 3]],YEar9Table[],2,FALSE),"")</f>
        <v/>
      </c>
      <c r="J49" s="153" t="str">
        <f>IFERROR(VLOOKUP(Y9S1[[#This Row],[Player 4]],YEar9Table[],2,FALSE),"")</f>
        <v/>
      </c>
      <c r="K49" s="159" t="str">
        <f>IFERROR(VLOOKUP(Y9S1[[#This Row],[Player 5]],YEar9Table[],2,FALSE),"")</f>
        <v/>
      </c>
      <c r="L49" s="40">
        <v>4</v>
      </c>
      <c r="M49" s="40">
        <v>1</v>
      </c>
      <c r="N49" s="40">
        <f>$L49+$M49</f>
        <v>5</v>
      </c>
      <c r="O49" s="50">
        <f>IFERROR(L49/(M49+L49),0)</f>
        <v>0.8</v>
      </c>
      <c r="P49" s="104">
        <f>(((Y9S1[[#This Row],[Wins]]*1.3)-Y9S1[[#This Row],[Losses]])/SUM(Y9S1[Games Played]))*10</f>
        <v>0.16091954022988506</v>
      </c>
      <c r="Q49" s="182"/>
      <c r="W49" s="1"/>
      <c r="X49" s="1"/>
      <c r="Y49" s="8" t="s">
        <v>77</v>
      </c>
      <c r="Z49" s="8">
        <v>1.1530339999999999</v>
      </c>
      <c r="AA49" s="8">
        <v>1.568047</v>
      </c>
      <c r="AB49" s="8">
        <v>202</v>
      </c>
      <c r="AC49" s="8">
        <v>273</v>
      </c>
      <c r="AD49" s="8">
        <v>291</v>
      </c>
      <c r="AE49" s="8">
        <v>183</v>
      </c>
      <c r="AF49" s="8">
        <v>55.958179999999999</v>
      </c>
      <c r="AG49" s="8">
        <v>71.339699999999993</v>
      </c>
      <c r="AH49" s="8">
        <v>87</v>
      </c>
      <c r="AI49" s="8">
        <v>74</v>
      </c>
      <c r="AJ49" s="8"/>
      <c r="AK49" s="1"/>
      <c r="AL49" s="1"/>
      <c r="AM49" s="1"/>
      <c r="AN49" s="1"/>
      <c r="AO49" s="1"/>
      <c r="AP49" s="1"/>
      <c r="AQ49" s="1"/>
      <c r="AR49" s="1"/>
      <c r="AS49" s="1"/>
      <c r="AT49" s="1"/>
    </row>
    <row r="50" spans="1:46">
      <c r="A50" s="156" t="str">
        <f>_xlfn.TEXTJOIN(",",TRUE,_xlfn._xlws.SORT(_xlfn.TEXTSPLIT(_xlfn.TEXTJOIN(",",TRUE,_xlfn._xlws.SORT($B50:$F50, 1, -1, FALSE)),"WWWWW",",")))</f>
        <v>Chromius.TAMU,Fallen.Rqnger,Glonk.MB,PincheConcha,Viests.</v>
      </c>
      <c r="B50" s="153" t="s">
        <v>77</v>
      </c>
      <c r="C50" s="153" t="s">
        <v>162</v>
      </c>
      <c r="D50" s="153" t="s">
        <v>91</v>
      </c>
      <c r="E50" s="153" t="s">
        <v>86</v>
      </c>
      <c r="F50" s="153" t="s">
        <v>185</v>
      </c>
      <c r="G50" s="154" t="str">
        <f>IFERROR(VLOOKUP(Y9S1[[#This Row],[Player 1]],YEar9Table[],2,FALSE),0)</f>
        <v>TIER 1</v>
      </c>
      <c r="H50" s="162" t="str">
        <f>IFERROR(VLOOKUP(Y9S1[[#This Row],[Player 2]],YEar9Table[],2,FALSE),"")</f>
        <v>TIER 2</v>
      </c>
      <c r="I50" s="153" t="str">
        <f>IFERROR(VLOOKUP(Y9S1[[#This Row],[Player 3]],YEar9Table[],2,FALSE),"")</f>
        <v>TIER 3</v>
      </c>
      <c r="J50" s="153" t="str">
        <f>IFERROR(VLOOKUP(Y9S1[[#This Row],[Player 4]],YEar9Table[],2,FALSE),"")</f>
        <v>TIER 7</v>
      </c>
      <c r="K50" s="159" t="str">
        <f>IFERROR(VLOOKUP(Y9S1[[#This Row],[Player 5]],YEar9Table[],2,FALSE),"")</f>
        <v>TIER 7</v>
      </c>
      <c r="L50" s="40">
        <v>3</v>
      </c>
      <c r="M50" s="40">
        <v>1</v>
      </c>
      <c r="N50" s="40">
        <f>$L50+$M50</f>
        <v>4</v>
      </c>
      <c r="O50" s="50">
        <f>IFERROR(L50/(M50+L50),0)</f>
        <v>0.75</v>
      </c>
      <c r="P50" s="103">
        <f>(((Y9S1[[#This Row],[Wins]]*1.3)-Y9S1[[#This Row],[Losses]])/SUM(Y9S1[Games Played]))*10</f>
        <v>0.11111111111111113</v>
      </c>
      <c r="Q50" s="182"/>
      <c r="Y50" s="114" t="s">
        <v>161</v>
      </c>
      <c r="Z50" s="114"/>
      <c r="AA50" s="114"/>
      <c r="AB50" s="114"/>
      <c r="AC50" s="114"/>
      <c r="AD50" s="114"/>
      <c r="AE50" s="114"/>
      <c r="AF50" s="114"/>
      <c r="AG50" s="114"/>
      <c r="AH50" s="114"/>
      <c r="AI50" s="114"/>
      <c r="AJ50" s="8"/>
      <c r="AK50" s="1"/>
      <c r="AL50" s="1"/>
      <c r="AM50" s="1"/>
      <c r="AN50" s="1"/>
      <c r="AO50" s="1"/>
      <c r="AP50" s="1"/>
      <c r="AQ50" s="1"/>
      <c r="AR50" s="1"/>
      <c r="AS50" s="1"/>
      <c r="AT50" s="1"/>
    </row>
    <row r="51" spans="1:46">
      <c r="A51" s="156" t="str">
        <f>_xlfn.TEXTJOIN(",",TRUE,_xlfn._xlws.SORT(_xlfn.TEXTSPLIT(_xlfn.TEXTJOIN(",",TRUE,_xlfn._xlws.SORT($B51:$F51, 1, -1, FALSE)),"WWWWW",",")))</f>
        <v>Chromius.TAMU,Elyidian,Fallen.Rqnger,Galahad21588,Glonk.MB</v>
      </c>
      <c r="B51" s="153" t="s">
        <v>77</v>
      </c>
      <c r="C51" s="153" t="s">
        <v>162</v>
      </c>
      <c r="D51" s="153" t="s">
        <v>96</v>
      </c>
      <c r="E51" s="153" t="s">
        <v>86</v>
      </c>
      <c r="F51" s="153" t="s">
        <v>234</v>
      </c>
      <c r="G51" s="154" t="str">
        <f>IFERROR(VLOOKUP(Y9S1[[#This Row],[Player 1]],YEar9Table[],2,FALSE),0)</f>
        <v>TIER 1</v>
      </c>
      <c r="H51" s="162" t="str">
        <f>IFERROR(VLOOKUP(Y9S1[[#This Row],[Player 2]],YEar9Table[],2,FALSE),"")</f>
        <v>TIER 2</v>
      </c>
      <c r="I51" s="153" t="str">
        <f>IFERROR(VLOOKUP(Y9S1[[#This Row],[Player 3]],YEar9Table[],2,FALSE),"")</f>
        <v>TIER 3</v>
      </c>
      <c r="J51" s="153" t="str">
        <f>IFERROR(VLOOKUP(Y9S1[[#This Row],[Player 4]],YEar9Table[],2,FALSE),"")</f>
        <v>TIER 7</v>
      </c>
      <c r="K51" s="159" t="str">
        <f>IFERROR(VLOOKUP(Y9S1[[#This Row],[Player 5]],YEar9Table[],2,FALSE),"")</f>
        <v>TIER 8</v>
      </c>
      <c r="L51" s="40">
        <v>3</v>
      </c>
      <c r="M51" s="40">
        <v>1</v>
      </c>
      <c r="N51" s="40">
        <f>$L51+$M51</f>
        <v>4</v>
      </c>
      <c r="O51" s="50">
        <f>IFERROR(L51/(M51+L51),0)</f>
        <v>0.75</v>
      </c>
      <c r="P51" s="104">
        <f>(((Y9S1[[#This Row],[Wins]]*1.3)-Y9S1[[#This Row],[Losses]])/SUM(Y9S1[Games Played]))*10</f>
        <v>0.11111111111111113</v>
      </c>
      <c r="Q51" s="182"/>
      <c r="Y51" s="8" t="s">
        <v>162</v>
      </c>
      <c r="Z51" s="8">
        <v>0.78272299999999995</v>
      </c>
      <c r="AA51" s="8">
        <v>0.81981999999999999</v>
      </c>
      <c r="AB51" s="8">
        <v>209</v>
      </c>
      <c r="AC51" s="8">
        <v>286</v>
      </c>
      <c r="AD51" s="8">
        <v>287</v>
      </c>
      <c r="AE51" s="8">
        <v>202</v>
      </c>
      <c r="AF51" s="8">
        <v>71.263810000000007</v>
      </c>
      <c r="AG51" s="8">
        <v>52.23545</v>
      </c>
      <c r="AH51" s="8">
        <v>86</v>
      </c>
      <c r="AI51" s="8">
        <v>85</v>
      </c>
      <c r="AJ51" s="8"/>
      <c r="AK51" s="1"/>
      <c r="AL51" s="1"/>
      <c r="AM51" s="1"/>
      <c r="AN51" s="1"/>
      <c r="AO51" s="1"/>
      <c r="AP51" s="1"/>
      <c r="AQ51" s="1"/>
      <c r="AR51" s="1"/>
      <c r="AS51" s="1"/>
      <c r="AT51" s="1"/>
    </row>
    <row r="52" spans="1:46">
      <c r="A52" s="156" t="str">
        <f>_xlfn.TEXTJOIN(",",TRUE,_xlfn._xlws.SORT(_xlfn.TEXTSPLIT(_xlfn.TEXTJOIN(",",TRUE,_xlfn._xlws.SORT($B52:$F52, 1, -1, FALSE)),"WWWWW",",")))</f>
        <v>Galahad21588,Glonk.MB,Kermitt.MB</v>
      </c>
      <c r="B52" s="153" t="s">
        <v>162</v>
      </c>
      <c r="C52" s="153" t="s">
        <v>96</v>
      </c>
      <c r="D52" s="153" t="s">
        <v>118</v>
      </c>
      <c r="E52" s="151"/>
      <c r="F52" s="153"/>
      <c r="G52" s="153" t="str">
        <f>IFERROR(VLOOKUP(Y9S1[[#This Row],[Player 1]],YEar9Table[],2,FALSE),0)</f>
        <v>TIER 2</v>
      </c>
      <c r="H52" s="162" t="str">
        <f>IFERROR(VLOOKUP(Y9S1[[#This Row],[Player 2]],YEar9Table[],2,FALSE),"")</f>
        <v>TIER 3</v>
      </c>
      <c r="I52" s="153" t="str">
        <f>IFERROR(VLOOKUP(Y9S1[[#This Row],[Player 3]],YEar9Table[],2,FALSE),"")</f>
        <v>TIER 4</v>
      </c>
      <c r="J52" s="153" t="str">
        <f>IFERROR(VLOOKUP(Y9S1[[#This Row],[Player 4]],YEar9Table[],2,FALSE),"")</f>
        <v/>
      </c>
      <c r="K52" s="159" t="str">
        <f>IFERROR(VLOOKUP(Y9S1[[#This Row],[Player 5]],YEar9Table[],2,FALSE),"")</f>
        <v/>
      </c>
      <c r="L52" s="40">
        <v>2</v>
      </c>
      <c r="M52" s="40">
        <v>1</v>
      </c>
      <c r="N52" s="40">
        <f>$L52+$M52</f>
        <v>3</v>
      </c>
      <c r="O52" s="50">
        <f>IFERROR(L52/(M52+L52),0)</f>
        <v>0.66666666666666663</v>
      </c>
      <c r="P52" s="104">
        <f>(((Y9S1[[#This Row],[Wins]]*1.3)-Y9S1[[#This Row],[Losses]])/SUM(Y9S1[Games Played]))*10</f>
        <v>6.1302681992337169E-2</v>
      </c>
      <c r="Q52" s="182" t="s">
        <v>267</v>
      </c>
      <c r="Y52" s="8" t="s">
        <v>104</v>
      </c>
      <c r="Z52" s="168"/>
      <c r="AA52" s="168"/>
      <c r="AB52" s="168"/>
      <c r="AC52" s="168"/>
      <c r="AD52" s="168"/>
      <c r="AE52" s="168"/>
      <c r="AF52" s="168"/>
      <c r="AG52" s="168"/>
      <c r="AH52" s="168"/>
      <c r="AI52" s="168"/>
      <c r="AJ52" s="8"/>
      <c r="AK52" s="1"/>
      <c r="AL52" s="1"/>
      <c r="AM52" s="1"/>
      <c r="AN52" s="1"/>
      <c r="AO52" s="1"/>
      <c r="AP52" s="1"/>
      <c r="AQ52" s="1"/>
      <c r="AR52" s="1"/>
      <c r="AS52" s="1"/>
      <c r="AT52" s="1"/>
    </row>
    <row r="53" spans="1:46">
      <c r="A53" s="156" t="str">
        <f>_xlfn.TEXTJOIN(",",TRUE,_xlfn._xlws.SORT(_xlfn.TEXTSPLIT(_xlfn.TEXTJOIN(",",TRUE,_xlfn._xlws.SORT($B53:$F53, 1, -1, FALSE)),"WWWWW",",")))</f>
        <v>Chromius.TAMU,Glonk.MB,Kermitt.MB,Strugg1er.,Timythiccums.MB</v>
      </c>
      <c r="B53" s="153" t="s">
        <v>77</v>
      </c>
      <c r="C53" s="153" t="s">
        <v>81</v>
      </c>
      <c r="D53" s="153" t="s">
        <v>118</v>
      </c>
      <c r="E53" s="151" t="s">
        <v>111</v>
      </c>
      <c r="F53" s="153" t="s">
        <v>162</v>
      </c>
      <c r="G53" s="153" t="str">
        <f>IFERROR(VLOOKUP(Y9S1[[#This Row],[Player 1]],YEar9Table[],2,FALSE),0)</f>
        <v>TIER 1</v>
      </c>
      <c r="H53" s="162" t="str">
        <f>IFERROR(VLOOKUP(Y9S1[[#This Row],[Player 2]],YEar9Table[],2,FALSE),"")</f>
        <v>TIER 6</v>
      </c>
      <c r="I53" s="153" t="str">
        <f>IFERROR(VLOOKUP(Y9S1[[#This Row],[Player 3]],YEar9Table[],2,FALSE),"")</f>
        <v>TIER 4</v>
      </c>
      <c r="J53" s="153" t="str">
        <f>IFERROR(VLOOKUP(Y9S1[[#This Row],[Player 4]],YEar9Table[],2,FALSE),"")</f>
        <v>TIER 8</v>
      </c>
      <c r="K53" s="159" t="str">
        <f>IFERROR(VLOOKUP(Y9S1[[#This Row],[Player 5]],YEar9Table[],2,FALSE),"")</f>
        <v>TIER 2</v>
      </c>
      <c r="L53" s="40">
        <v>2</v>
      </c>
      <c r="M53" s="40">
        <v>1</v>
      </c>
      <c r="N53" s="40">
        <f>$L53+$M53</f>
        <v>3</v>
      </c>
      <c r="O53" s="50">
        <f>IFERROR(L53/(M53+L53),0)</f>
        <v>0.66666666666666663</v>
      </c>
      <c r="P53" s="104">
        <f>(((Y9S1[[#This Row],[Wins]]*1.3)-Y9S1[[#This Row],[Losses]])/SUM(Y9S1[Games Played]))*10</f>
        <v>6.1302681992337169E-2</v>
      </c>
      <c r="Q53" s="182"/>
      <c r="Y53" s="8" t="s">
        <v>86</v>
      </c>
      <c r="Z53" s="8">
        <v>1.105634</v>
      </c>
      <c r="AA53" s="8">
        <v>1.2096769999999999</v>
      </c>
      <c r="AB53" s="8">
        <v>89</v>
      </c>
      <c r="AC53" s="8">
        <v>117</v>
      </c>
      <c r="AD53" s="8">
        <v>117</v>
      </c>
      <c r="AE53" s="8">
        <v>85</v>
      </c>
      <c r="AF53" s="8">
        <v>57.552500000000002</v>
      </c>
      <c r="AG53" s="8">
        <v>59.543999999999997</v>
      </c>
      <c r="AH53" s="8">
        <v>32</v>
      </c>
      <c r="AI53" s="8">
        <v>37</v>
      </c>
      <c r="AJ53" s="8"/>
    </row>
    <row r="54" spans="1:46">
      <c r="A54" s="156" t="str">
        <f>_xlfn.TEXTJOIN(",",TRUE,_xlfn._xlws.SORT(_xlfn.TEXTSPLIT(_xlfn.TEXTJOIN(",",TRUE,_xlfn._xlws.SORT($B54:$F54, 1, -1, FALSE)),"WWWWW",",")))</f>
        <v>Chromius.TAMU,Glonk.MB,NotLappland,TexAg21,Timythiccums.MB</v>
      </c>
      <c r="B54" s="153" t="s">
        <v>162</v>
      </c>
      <c r="C54" s="153" t="s">
        <v>188</v>
      </c>
      <c r="D54" s="153" t="s">
        <v>81</v>
      </c>
      <c r="E54" s="153" t="s">
        <v>77</v>
      </c>
      <c r="F54" s="153" t="s">
        <v>142</v>
      </c>
      <c r="G54" s="154" t="str">
        <f>IFERROR(VLOOKUP(Y9S1[[#This Row],[Player 1]],YEar9Table[],2,FALSE),0)</f>
        <v>TIER 2</v>
      </c>
      <c r="H54" s="162" t="str">
        <f>IFERROR(VLOOKUP(Y9S1[[#This Row],[Player 2]],YEar9Table[],2,FALSE),"")</f>
        <v>TIER 8</v>
      </c>
      <c r="I54" s="153" t="str">
        <f>IFERROR(VLOOKUP(Y9S1[[#This Row],[Player 3]],YEar9Table[],2,FALSE),"")</f>
        <v>TIER 6</v>
      </c>
      <c r="J54" s="153" t="str">
        <f>IFERROR(VLOOKUP(Y9S1[[#This Row],[Player 4]],YEar9Table[],2,FALSE),"")</f>
        <v>TIER 1</v>
      </c>
      <c r="K54" s="159" t="str">
        <f>IFERROR(VLOOKUP(Y9S1[[#This Row],[Player 5]],YEar9Table[],2,FALSE),"")</f>
        <v>TIER 8</v>
      </c>
      <c r="L54" s="40">
        <v>2</v>
      </c>
      <c r="M54" s="40">
        <v>1</v>
      </c>
      <c r="N54" s="40">
        <f>$L54+$M54</f>
        <v>3</v>
      </c>
      <c r="O54" s="50">
        <f>IFERROR(L54/(M54+L54),0)</f>
        <v>0.66666666666666663</v>
      </c>
      <c r="P54" s="103">
        <f>(((Y9S1[[#This Row],[Wins]]*1.3)-Y9S1[[#This Row],[Losses]])/SUM(Y9S1[Games Played]))*10</f>
        <v>6.1302681992337169E-2</v>
      </c>
      <c r="Q54" s="182"/>
      <c r="Y54" s="8" t="s">
        <v>111</v>
      </c>
      <c r="Z54" s="8">
        <v>1.035714</v>
      </c>
      <c r="AA54" s="8">
        <v>1.357143</v>
      </c>
      <c r="AB54" s="8">
        <v>125</v>
      </c>
      <c r="AC54" s="8">
        <v>206</v>
      </c>
      <c r="AD54" s="8">
        <v>196</v>
      </c>
      <c r="AE54" s="8">
        <v>127</v>
      </c>
      <c r="AF54" s="8">
        <v>60.464440000000003</v>
      </c>
      <c r="AG54" s="8">
        <v>70.633750000000006</v>
      </c>
      <c r="AH54" s="8">
        <v>54</v>
      </c>
      <c r="AI54" s="8">
        <v>53</v>
      </c>
      <c r="AJ54" s="8"/>
    </row>
    <row r="55" spans="1:46">
      <c r="A55" s="156" t="str">
        <f>_xlfn.TEXTJOIN(",",TRUE,_xlfn._xlws.SORT(_xlfn.TEXTSPLIT(_xlfn.TEXTJOIN(",",TRUE,_xlfn._xlws.SORT($B55:$F55, 1, -1, FALSE)),"WWWWW",",")))</f>
        <v>Chromius.TAMU,Galahad21588,Glonk.MB,Kermitt.MB,TexAg21</v>
      </c>
      <c r="B55" s="153" t="s">
        <v>77</v>
      </c>
      <c r="C55" s="153" t="s">
        <v>96</v>
      </c>
      <c r="D55" s="153" t="s">
        <v>188</v>
      </c>
      <c r="E55" s="153" t="s">
        <v>118</v>
      </c>
      <c r="F55" s="159" t="s">
        <v>162</v>
      </c>
      <c r="G55" s="154" t="str">
        <f>IFERROR(VLOOKUP(Y9S1[[#This Row],[Player 1]],YEar9Table[],2,FALSE),0)</f>
        <v>TIER 1</v>
      </c>
      <c r="H55" s="162" t="str">
        <f>IFERROR(VLOOKUP(Y9S1[[#This Row],[Player 2]],YEar9Table[],2,FALSE),"")</f>
        <v>TIER 3</v>
      </c>
      <c r="I55" s="153" t="str">
        <f>IFERROR(VLOOKUP(Y9S1[[#This Row],[Player 3]],YEar9Table[],2,FALSE),"")</f>
        <v>TIER 8</v>
      </c>
      <c r="J55" s="153" t="str">
        <f>IFERROR(VLOOKUP(Y9S1[[#This Row],[Player 4]],YEar9Table[],2,FALSE),"")</f>
        <v>TIER 4</v>
      </c>
      <c r="K55" s="159" t="str">
        <f>IFERROR(VLOOKUP(Y9S1[[#This Row],[Player 5]],YEar9Table[],2,FALSE),"")</f>
        <v>TIER 2</v>
      </c>
      <c r="L55" s="40">
        <v>2</v>
      </c>
      <c r="M55" s="40">
        <v>1</v>
      </c>
      <c r="N55" s="40">
        <f>$L55+$M55</f>
        <v>3</v>
      </c>
      <c r="O55" s="50">
        <f>IFERROR(L55/(M55+L55),0)</f>
        <v>0.66666666666666663</v>
      </c>
      <c r="P55" s="104">
        <f>(((Y9S1[[#This Row],[Wins]]*1.3)-Y9S1[[#This Row],[Losses]])/SUM(Y9S1[Games Played]))*10</f>
        <v>6.1302681992337169E-2</v>
      </c>
      <c r="Q55" s="182"/>
      <c r="Y55" s="8" t="s">
        <v>81</v>
      </c>
      <c r="Z55" s="8">
        <v>0.75</v>
      </c>
      <c r="AA55" s="8">
        <v>1.108333</v>
      </c>
      <c r="AB55" s="8">
        <v>72</v>
      </c>
      <c r="AC55" s="8">
        <v>116</v>
      </c>
      <c r="AD55" s="8">
        <v>105</v>
      </c>
      <c r="AE55" s="8">
        <v>83</v>
      </c>
      <c r="AF55" s="8">
        <v>51.889229999999998</v>
      </c>
      <c r="AG55" s="8">
        <v>69.180000000000007</v>
      </c>
      <c r="AH55" s="8">
        <v>26</v>
      </c>
      <c r="AI55" s="8">
        <v>35</v>
      </c>
      <c r="AJ55" s="8"/>
    </row>
    <row r="56" spans="1:46" ht="36">
      <c r="A56" s="156" t="str">
        <f>_xlfn.TEXTJOIN(",",TRUE,_xlfn._xlws.SORT(_xlfn.TEXTSPLIT(_xlfn.TEXTJOIN(",",TRUE,_xlfn._xlws.SORT($B56:$F56, 1, -1, FALSE)),"WWWWW",",")))</f>
        <v>Chromius.TAMU,EasterBallz--,Elyidian,Galahad21588,Kermitt.MB</v>
      </c>
      <c r="B56" s="153" t="s">
        <v>77</v>
      </c>
      <c r="C56" s="153" t="s">
        <v>234</v>
      </c>
      <c r="D56" s="153" t="s">
        <v>118</v>
      </c>
      <c r="E56" s="153" t="s">
        <v>96</v>
      </c>
      <c r="F56" s="192" t="s">
        <v>246</v>
      </c>
      <c r="G56" s="154" t="str">
        <f>IFERROR(VLOOKUP(Y9S1[[#This Row],[Player 1]],YEar9Table[],2,FALSE),0)</f>
        <v>TIER 1</v>
      </c>
      <c r="H56" s="162" t="str">
        <f>IFERROR(VLOOKUP(Y9S1[[#This Row],[Player 2]],YEar9Table[],2,FALSE),"")</f>
        <v>TIER 8</v>
      </c>
      <c r="I56" s="153" t="str">
        <f>IFERROR(VLOOKUP(Y9S1[[#This Row],[Player 3]],YEar9Table[],2,FALSE),"")</f>
        <v>TIER 4</v>
      </c>
      <c r="J56" s="153" t="str">
        <f>IFERROR(VLOOKUP(Y9S1[[#This Row],[Player 4]],YEar9Table[],2,FALSE),"")</f>
        <v>TIER 3</v>
      </c>
      <c r="K56" s="159" t="str">
        <f>IFERROR(VLOOKUP(Y9S1[[#This Row],[Player 5]],YEar9Table[],2,FALSE),"")</f>
        <v>TIER 8</v>
      </c>
      <c r="L56" s="40">
        <v>2</v>
      </c>
      <c r="M56" s="40">
        <v>1</v>
      </c>
      <c r="N56" s="40">
        <f>$L56+$M56</f>
        <v>3</v>
      </c>
      <c r="O56" s="50">
        <f>IFERROR(L56/(M56+L56),0)</f>
        <v>0.66666666666666663</v>
      </c>
      <c r="P56" s="104">
        <f>(((Y9S1[[#This Row],[Wins]]*1.3)-Y9S1[[#This Row],[Losses]])/SUM(Y9S1[Games Played]))*10</f>
        <v>6.1302681992337169E-2</v>
      </c>
      <c r="Q56" s="182" t="s">
        <v>268</v>
      </c>
      <c r="Y56" s="8" t="s">
        <v>109</v>
      </c>
      <c r="Z56" s="8">
        <v>0.61538499999999996</v>
      </c>
      <c r="AA56" s="8">
        <v>0.43055599999999999</v>
      </c>
      <c r="AB56" s="8">
        <v>43</v>
      </c>
      <c r="AC56" s="8">
        <v>57</v>
      </c>
      <c r="AD56" s="8">
        <v>53</v>
      </c>
      <c r="AE56" s="8">
        <v>39</v>
      </c>
      <c r="AF56" s="8">
        <v>36.272219999999997</v>
      </c>
      <c r="AG56" s="8">
        <v>46.745710000000003</v>
      </c>
      <c r="AH56" s="8">
        <v>20</v>
      </c>
      <c r="AI56" s="8">
        <v>17</v>
      </c>
      <c r="AJ56" s="8"/>
    </row>
    <row r="57" spans="1:46">
      <c r="A57" s="156" t="str">
        <f>_xlfn.TEXTJOIN(",",TRUE,_xlfn._xlws.SORT(_xlfn.TEXTSPLIT(_xlfn.TEXTJOIN(",",TRUE,_xlfn._xlws.SORT($B57:$F57, 1, -1, FALSE)),"WWWWW",",")))</f>
        <v>Chromius.TAMU,Elyidian,Glonk.MB,PincheConcha,Timythiccums.MB</v>
      </c>
      <c r="B57" s="153" t="s">
        <v>162</v>
      </c>
      <c r="C57" s="153" t="s">
        <v>91</v>
      </c>
      <c r="D57" s="153" t="s">
        <v>77</v>
      </c>
      <c r="E57" s="159" t="s">
        <v>234</v>
      </c>
      <c r="F57" s="153" t="s">
        <v>81</v>
      </c>
      <c r="G57" s="154" t="str">
        <f>IFERROR(VLOOKUP(Y9S1[[#This Row],[Player 1]],YEar9Table[],2,FALSE),0)</f>
        <v>TIER 2</v>
      </c>
      <c r="H57" s="162" t="str">
        <f>IFERROR(VLOOKUP(Y9S1[[#This Row],[Player 2]],YEar9Table[],2,FALSE),"")</f>
        <v>TIER 3</v>
      </c>
      <c r="I57" s="153" t="str">
        <f>IFERROR(VLOOKUP(Y9S1[[#This Row],[Player 3]],YEar9Table[],2,FALSE),"")</f>
        <v>TIER 1</v>
      </c>
      <c r="J57" s="153" t="str">
        <f>IFERROR(VLOOKUP(Y9S1[[#This Row],[Player 4]],YEar9Table[],2,FALSE),"")</f>
        <v>TIER 8</v>
      </c>
      <c r="K57" s="159" t="str">
        <f>IFERROR(VLOOKUP(Y9S1[[#This Row],[Player 5]],YEar9Table[],2,FALSE),"")</f>
        <v>TIER 6</v>
      </c>
      <c r="L57" s="40">
        <v>2</v>
      </c>
      <c r="M57" s="40">
        <v>1</v>
      </c>
      <c r="N57" s="40">
        <f>$L57+$M57</f>
        <v>3</v>
      </c>
      <c r="O57" s="50">
        <f>IFERROR(L57/(M57+L57),0)</f>
        <v>0.66666666666666663</v>
      </c>
      <c r="P57" s="104">
        <f>(((Y9S1[[#This Row],[Wins]]*1.3)-Y9S1[[#This Row],[Losses]])/SUM(Y9S1[Games Played]))*10</f>
        <v>6.1302681992337169E-2</v>
      </c>
      <c r="Q57" s="182"/>
      <c r="Y57" s="8" t="s">
        <v>138</v>
      </c>
      <c r="Z57" s="8">
        <v>1.3577980000000001</v>
      </c>
      <c r="AA57" s="8">
        <v>1.183486</v>
      </c>
      <c r="AB57" s="8">
        <v>72</v>
      </c>
      <c r="AC57" s="8">
        <v>80</v>
      </c>
      <c r="AD57" s="8">
        <v>89</v>
      </c>
      <c r="AE57" s="8">
        <v>59</v>
      </c>
      <c r="AF57" s="8">
        <v>60.985790000000001</v>
      </c>
      <c r="AG57" s="8">
        <v>61.638399999999997</v>
      </c>
      <c r="AH57" s="8">
        <v>35</v>
      </c>
      <c r="AI57" s="8">
        <v>34</v>
      </c>
      <c r="AJ57" s="8"/>
    </row>
    <row r="58" spans="1:46">
      <c r="A58" s="156" t="str">
        <f>_xlfn.TEXTJOIN(",",TRUE,_xlfn._xlws.SORT(_xlfn.TEXTSPLIT(_xlfn.TEXTJOIN(",",TRUE,_xlfn._xlws.SORT($B58:$F58, 1, -1, FALSE)),"WWWWW",",")))</f>
        <v>Chromius.TAMU,Colonizer.BU,Elyidian,Glonk.MB,Timythiccums.MB</v>
      </c>
      <c r="B58" s="153" t="s">
        <v>162</v>
      </c>
      <c r="C58" s="153" t="s">
        <v>154</v>
      </c>
      <c r="D58" s="153" t="s">
        <v>77</v>
      </c>
      <c r="E58" s="153" t="s">
        <v>234</v>
      </c>
      <c r="F58" s="153" t="s">
        <v>81</v>
      </c>
      <c r="G58" s="154" t="str">
        <f>IFERROR(VLOOKUP(Y9S1[[#This Row],[Player 1]],YEar9Table[],2,FALSE),0)</f>
        <v>TIER 2</v>
      </c>
      <c r="H58" s="162" t="str">
        <f>IFERROR(VLOOKUP(Y9S1[[#This Row],[Player 2]],YEar9Table[],2,FALSE),"")</f>
        <v>TIER 8</v>
      </c>
      <c r="I58" s="153" t="str">
        <f>IFERROR(VLOOKUP(Y9S1[[#This Row],[Player 3]],YEar9Table[],2,FALSE),"")</f>
        <v>TIER 1</v>
      </c>
      <c r="J58" s="153" t="str">
        <f>IFERROR(VLOOKUP(Y9S1[[#This Row],[Player 4]],YEar9Table[],2,FALSE),"")</f>
        <v>TIER 8</v>
      </c>
      <c r="K58" s="159" t="str">
        <f>IFERROR(VLOOKUP(Y9S1[[#This Row],[Player 5]],YEar9Table[],2,FALSE),"")</f>
        <v>TIER 6</v>
      </c>
      <c r="L58" s="40">
        <v>2</v>
      </c>
      <c r="M58" s="40">
        <v>1</v>
      </c>
      <c r="N58" s="40">
        <f>$L58+$M58</f>
        <v>3</v>
      </c>
      <c r="O58" s="50">
        <f>IFERROR(L58/(M58+L58),0)</f>
        <v>0.66666666666666663</v>
      </c>
      <c r="P58" s="104">
        <f>(((Y9S1[[#This Row],[Wins]]*1.3)-Y9S1[[#This Row],[Losses]])/SUM(Y9S1[Games Played]))*10</f>
        <v>6.1302681992337169E-2</v>
      </c>
      <c r="Q58" s="182"/>
      <c r="Y58" s="8" t="s">
        <v>96</v>
      </c>
      <c r="Z58" s="8">
        <v>0.72641500000000003</v>
      </c>
      <c r="AA58" s="8">
        <v>1.2765960000000001</v>
      </c>
      <c r="AB58" s="8">
        <v>68</v>
      </c>
      <c r="AC58" s="8">
        <v>87</v>
      </c>
      <c r="AD58" s="8">
        <v>105</v>
      </c>
      <c r="AE58" s="8">
        <v>49</v>
      </c>
      <c r="AF58" s="8">
        <v>45.047780000000003</v>
      </c>
      <c r="AG58" s="8">
        <v>55.70364</v>
      </c>
      <c r="AH58" s="8">
        <v>36</v>
      </c>
      <c r="AI58" s="8">
        <v>18</v>
      </c>
      <c r="AJ58" s="8"/>
    </row>
    <row r="59" spans="1:46">
      <c r="A59" s="156" t="str">
        <f>_xlfn.TEXTJOIN(",",TRUE,_xlfn._xlws.SORT(_xlfn.TEXTSPLIT(_xlfn.TEXTJOIN(",",TRUE,_xlfn._xlws.SORT($B59:$F59, 1, -1, FALSE)),"WWWWW",",")))</f>
        <v>Chromius.TAMU,Coolrocket.TAMU,Galahad21588,Glonk.MB,solias</v>
      </c>
      <c r="B59" s="153" t="s">
        <v>77</v>
      </c>
      <c r="C59" s="153" t="s">
        <v>162</v>
      </c>
      <c r="D59" s="153" t="s">
        <v>96</v>
      </c>
      <c r="E59" s="153" t="s">
        <v>138</v>
      </c>
      <c r="F59" s="153" t="s">
        <v>269</v>
      </c>
      <c r="G59" s="154" t="str">
        <f>IFERROR(VLOOKUP(Y9S1[[#This Row],[Player 1]],YEar9Table[],2,FALSE),0)</f>
        <v>TIER 1</v>
      </c>
      <c r="H59" s="162" t="str">
        <f>IFERROR(VLOOKUP(Y9S1[[#This Row],[Player 2]],YEar9Table[],2,FALSE),"")</f>
        <v>TIER 2</v>
      </c>
      <c r="I59" s="153" t="str">
        <f>IFERROR(VLOOKUP(Y9S1[[#This Row],[Player 3]],YEar9Table[],2,FALSE),"")</f>
        <v>TIER 3</v>
      </c>
      <c r="J59" s="153" t="str">
        <f>IFERROR(VLOOKUP(Y9S1[[#This Row],[Player 4]],YEar9Table[],2,FALSE),"")</f>
        <v>TIER 7</v>
      </c>
      <c r="K59" s="159" t="str">
        <f>IFERROR(VLOOKUP(Y9S1[[#This Row],[Player 5]],YEar9Table[],2,FALSE),"")</f>
        <v>TIER 8</v>
      </c>
      <c r="L59" s="40">
        <v>2</v>
      </c>
      <c r="M59" s="40">
        <v>1</v>
      </c>
      <c r="N59" s="40">
        <f>$L59+$M59</f>
        <v>3</v>
      </c>
      <c r="O59" s="50">
        <f>IFERROR(L59/(M59+L59),0)</f>
        <v>0.66666666666666663</v>
      </c>
      <c r="P59" s="103">
        <f>(((Y9S1[[#This Row],[Wins]]*1.3)-Y9S1[[#This Row],[Losses]])/SUM(Y9S1[Games Played]))*10</f>
        <v>6.1302681992337169E-2</v>
      </c>
      <c r="Q59" s="182"/>
      <c r="Y59" s="8" t="s">
        <v>140</v>
      </c>
      <c r="Z59" s="8">
        <v>1.4444440000000001</v>
      </c>
      <c r="AA59" s="8">
        <v>0.42857099999999998</v>
      </c>
      <c r="AB59" s="8">
        <v>4</v>
      </c>
      <c r="AC59" s="8">
        <v>8</v>
      </c>
      <c r="AD59" s="8">
        <v>7</v>
      </c>
      <c r="AE59" s="8">
        <v>4</v>
      </c>
      <c r="AF59" s="8">
        <v>60</v>
      </c>
      <c r="AG59" s="8">
        <v>50</v>
      </c>
      <c r="AH59" s="8">
        <v>1</v>
      </c>
      <c r="AI59" s="8">
        <v>3</v>
      </c>
      <c r="AJ59" s="8"/>
    </row>
    <row r="60" spans="1:46">
      <c r="A60" s="156" t="str">
        <f>_xlfn.TEXTJOIN(",",TRUE,_xlfn._xlws.SORT(_xlfn.TEXTSPLIT(_xlfn.TEXTJOIN(",",TRUE,_xlfn._xlws.SORT($B60:$F60, 1, -1, FALSE)),"WWWWW",",")))</f>
        <v>Chromius.TAMU,Colonizer.BU,Galahad21588,Glonk.MB,Kermitt.MB</v>
      </c>
      <c r="B60" s="153" t="s">
        <v>77</v>
      </c>
      <c r="C60" s="153" t="s">
        <v>162</v>
      </c>
      <c r="D60" s="153" t="s">
        <v>118</v>
      </c>
      <c r="E60" s="153" t="s">
        <v>154</v>
      </c>
      <c r="F60" s="153" t="s">
        <v>96</v>
      </c>
      <c r="G60" s="153" t="str">
        <f>IFERROR(VLOOKUP(Y9S1[[#This Row],[Player 1]],YEar9Table[],2,FALSE),0)</f>
        <v>TIER 1</v>
      </c>
      <c r="H60" s="162" t="str">
        <f>IFERROR(VLOOKUP(Y9S1[[#This Row],[Player 2]],YEar9Table[],2,FALSE),"")</f>
        <v>TIER 2</v>
      </c>
      <c r="I60" s="153" t="str">
        <f>IFERROR(VLOOKUP(Y9S1[[#This Row],[Player 3]],YEar9Table[],2,FALSE),"")</f>
        <v>TIER 4</v>
      </c>
      <c r="J60" s="153" t="str">
        <f>IFERROR(VLOOKUP(Y9S1[[#This Row],[Player 4]],YEar9Table[],2,FALSE),"")</f>
        <v>TIER 8</v>
      </c>
      <c r="K60" s="159" t="str">
        <f>IFERROR(VLOOKUP(Y9S1[[#This Row],[Player 5]],YEar9Table[],2,FALSE),"")</f>
        <v>TIER 3</v>
      </c>
      <c r="L60" s="40">
        <v>3</v>
      </c>
      <c r="M60" s="40">
        <v>2</v>
      </c>
      <c r="N60" s="40">
        <f>$L60+$M60</f>
        <v>5</v>
      </c>
      <c r="O60" s="50">
        <f>IFERROR(L60/(M60+L60),0)</f>
        <v>0.6</v>
      </c>
      <c r="P60" s="103">
        <f>(((Y9S1[[#This Row],[Wins]]*1.3)-Y9S1[[#This Row],[Losses]])/SUM(Y9S1[Games Played]))*10</f>
        <v>7.2796934865900387E-2</v>
      </c>
      <c r="Q60" s="183"/>
      <c r="Y60" s="8" t="s">
        <v>121</v>
      </c>
      <c r="Z60" s="8">
        <v>1.011236</v>
      </c>
      <c r="AA60" s="8">
        <v>1.1052630000000001</v>
      </c>
      <c r="AB60" s="8">
        <v>177</v>
      </c>
      <c r="AC60" s="8">
        <v>229</v>
      </c>
      <c r="AD60" s="8">
        <v>235</v>
      </c>
      <c r="AE60" s="8">
        <v>153</v>
      </c>
      <c r="AF60" s="8">
        <v>57.849330000000002</v>
      </c>
      <c r="AG60" s="8">
        <v>63.81935</v>
      </c>
      <c r="AH60" s="8">
        <v>67</v>
      </c>
      <c r="AI60" s="8">
        <v>61</v>
      </c>
      <c r="AJ60" s="8"/>
    </row>
    <row r="61" spans="1:46">
      <c r="A61" s="156" t="str">
        <f>_xlfn.TEXTJOIN(",",TRUE,_xlfn._xlws.SORT(_xlfn.TEXTSPLIT(_xlfn.TEXTJOIN(",",TRUE,_xlfn._xlws.SORT($B61:$F61, 1, -1, FALSE)),"WWWWW",",")))</f>
        <v>Colonizer.BU,Glonk.MB,TexAg21</v>
      </c>
      <c r="B61" s="153" t="s">
        <v>188</v>
      </c>
      <c r="C61" s="153" t="s">
        <v>162</v>
      </c>
      <c r="D61" s="153" t="s">
        <v>154</v>
      </c>
      <c r="E61" s="153"/>
      <c r="F61" s="153"/>
      <c r="G61" s="154" t="str">
        <f>IFERROR(VLOOKUP(Y9S1[[#This Row],[Player 1]],YEar9Table[],2,FALSE),0)</f>
        <v>TIER 8</v>
      </c>
      <c r="H61" s="162" t="str">
        <f>IFERROR(VLOOKUP(Y9S1[[#This Row],[Player 2]],YEar9Table[],2,FALSE),"")</f>
        <v>TIER 2</v>
      </c>
      <c r="I61" s="153" t="str">
        <f>IFERROR(VLOOKUP(Y9S1[[#This Row],[Player 3]],YEar9Table[],2,FALSE),"")</f>
        <v>TIER 8</v>
      </c>
      <c r="J61" s="153" t="str">
        <f>IFERROR(VLOOKUP(Y9S1[[#This Row],[Player 4]],YEar9Table[],2,FALSE),"")</f>
        <v/>
      </c>
      <c r="K61" s="159" t="str">
        <f>IFERROR(VLOOKUP(Y9S1[[#This Row],[Player 5]],YEar9Table[],2,FALSE),"")</f>
        <v/>
      </c>
      <c r="L61" s="40">
        <v>3</v>
      </c>
      <c r="M61" s="40">
        <v>2</v>
      </c>
      <c r="N61" s="40">
        <f>$L61+$M61</f>
        <v>5</v>
      </c>
      <c r="O61" s="50">
        <f>IFERROR(L61/(M61+L61),0)</f>
        <v>0.6</v>
      </c>
      <c r="P61" s="103">
        <f>(((Y9S1[[#This Row],[Wins]]*1.3)-Y9S1[[#This Row],[Losses]])/SUM(Y9S1[Games Played]))*10</f>
        <v>7.2796934865900387E-2</v>
      </c>
      <c r="Q61" s="182"/>
      <c r="Y61" s="8" t="s">
        <v>125</v>
      </c>
      <c r="Z61" s="8">
        <v>0.69565200000000005</v>
      </c>
      <c r="AA61" s="8">
        <v>0.730769</v>
      </c>
      <c r="AB61" s="8">
        <v>35</v>
      </c>
      <c r="AC61" s="8">
        <v>51</v>
      </c>
      <c r="AD61" s="8">
        <v>46</v>
      </c>
      <c r="AE61" s="8">
        <v>37</v>
      </c>
      <c r="AF61" s="8">
        <v>51.181249999999999</v>
      </c>
      <c r="AG61" s="8">
        <v>40.486669999999997</v>
      </c>
      <c r="AH61" s="8">
        <v>16</v>
      </c>
      <c r="AI61" s="8">
        <v>17</v>
      </c>
      <c r="AJ61" s="8"/>
    </row>
    <row r="62" spans="1:46">
      <c r="A62" s="156" t="str">
        <f>_xlfn.TEXTJOIN(",",TRUE,_xlfn._xlws.SORT(_xlfn.TEXTSPLIT(_xlfn.TEXTJOIN(",",TRUE,_xlfn._xlws.SORT($B62:$F62, 1, -1, FALSE)),"WWWWW",",")))</f>
        <v>Chromius.TAMU,Glonk.MB,Kermitt.MB,TexAg21,Timythiccums.MB</v>
      </c>
      <c r="B62" s="153" t="s">
        <v>77</v>
      </c>
      <c r="C62" s="153" t="s">
        <v>81</v>
      </c>
      <c r="D62" s="153" t="s">
        <v>118</v>
      </c>
      <c r="E62" s="153" t="s">
        <v>188</v>
      </c>
      <c r="F62" s="153" t="s">
        <v>162</v>
      </c>
      <c r="G62" s="153" t="str">
        <f>IFERROR(VLOOKUP(Y9S1[[#This Row],[Player 1]],YEar9Table[],2,FALSE),0)</f>
        <v>TIER 1</v>
      </c>
      <c r="H62" s="162" t="str">
        <f>IFERROR(VLOOKUP(Y9S1[[#This Row],[Player 2]],YEar9Table[],2,FALSE),"")</f>
        <v>TIER 6</v>
      </c>
      <c r="I62" s="153" t="str">
        <f>IFERROR(VLOOKUP(Y9S1[[#This Row],[Player 3]],YEar9Table[],2,FALSE),"")</f>
        <v>TIER 4</v>
      </c>
      <c r="J62" s="153" t="str">
        <f>IFERROR(VLOOKUP(Y9S1[[#This Row],[Player 4]],YEar9Table[],2,FALSE),"")</f>
        <v>TIER 8</v>
      </c>
      <c r="K62" s="159" t="str">
        <f>IFERROR(VLOOKUP(Y9S1[[#This Row],[Player 5]],YEar9Table[],2,FALSE),"")</f>
        <v>TIER 2</v>
      </c>
      <c r="L62" s="40">
        <v>2</v>
      </c>
      <c r="M62" s="40">
        <v>2</v>
      </c>
      <c r="N62" s="40">
        <f>$L62+$M62</f>
        <v>4</v>
      </c>
      <c r="O62" s="50">
        <f>IFERROR(L62/(M62+L62),0)</f>
        <v>0.5</v>
      </c>
      <c r="P62" s="103">
        <f>(((Y9S1[[#This Row],[Wins]]*1.3)-Y9S1[[#This Row],[Losses]])/SUM(Y9S1[Games Played]))*10</f>
        <v>2.298850574712644E-2</v>
      </c>
      <c r="Q62" s="182"/>
      <c r="Y62" s="8" t="s">
        <v>113</v>
      </c>
      <c r="Z62" s="8">
        <v>1.1333329999999999</v>
      </c>
      <c r="AA62" s="8">
        <v>0.9375</v>
      </c>
      <c r="AB62" s="8">
        <v>12</v>
      </c>
      <c r="AC62" s="8">
        <v>12</v>
      </c>
      <c r="AD62" s="8">
        <v>11</v>
      </c>
      <c r="AE62" s="8">
        <v>10</v>
      </c>
      <c r="AF62" s="8">
        <v>52.38</v>
      </c>
      <c r="AG62" s="8">
        <v>36.11</v>
      </c>
      <c r="AH62" s="8">
        <v>5</v>
      </c>
      <c r="AI62" s="8">
        <v>3</v>
      </c>
      <c r="AJ62" s="8"/>
    </row>
    <row r="63" spans="1:46">
      <c r="A63" s="156" t="str">
        <f>_xlfn.TEXTJOIN(",",TRUE,_xlfn._xlws.SORT(_xlfn.TEXTSPLIT(_xlfn.TEXTJOIN(",",TRUE,_xlfn._xlws.SORT($B63:$F63, 1, -1, FALSE)),"WWWWW",",")))</f>
        <v>Chromius.TAMU,Elyidian,Fallen.Rqnger,Glonk.MB,TexAg21</v>
      </c>
      <c r="B63" s="153" t="s">
        <v>77</v>
      </c>
      <c r="C63" s="153" t="s">
        <v>162</v>
      </c>
      <c r="D63" s="153" t="s">
        <v>188</v>
      </c>
      <c r="E63" s="153" t="s">
        <v>234</v>
      </c>
      <c r="F63" s="151" t="s">
        <v>86</v>
      </c>
      <c r="G63" s="154" t="str">
        <f>IFERROR(VLOOKUP(Y9S1[[#This Row],[Player 1]],YEar9Table[],2,FALSE),0)</f>
        <v>TIER 1</v>
      </c>
      <c r="H63" s="162" t="str">
        <f>IFERROR(VLOOKUP(Y9S1[[#This Row],[Player 2]],YEar9Table[],2,FALSE),"")</f>
        <v>TIER 2</v>
      </c>
      <c r="I63" s="153" t="str">
        <f>IFERROR(VLOOKUP(Y9S1[[#This Row],[Player 3]],YEar9Table[],2,FALSE),"")</f>
        <v>TIER 8</v>
      </c>
      <c r="J63" s="153" t="str">
        <f>IFERROR(VLOOKUP(Y9S1[[#This Row],[Player 4]],YEar9Table[],2,FALSE),"")</f>
        <v>TIER 8</v>
      </c>
      <c r="K63" s="159" t="str">
        <f>IFERROR(VLOOKUP(Y9S1[[#This Row],[Player 5]],YEar9Table[],2,FALSE),"")</f>
        <v>TIER 7</v>
      </c>
      <c r="L63" s="40">
        <v>2</v>
      </c>
      <c r="M63" s="40">
        <v>2</v>
      </c>
      <c r="N63" s="40">
        <f>$L63+$M63</f>
        <v>4</v>
      </c>
      <c r="O63" s="50">
        <f>IFERROR(L63/(M63+L63),0)</f>
        <v>0.5</v>
      </c>
      <c r="P63" s="103">
        <f>(((Y9S1[[#This Row],[Wins]]*1.3)-Y9S1[[#This Row],[Losses]])/SUM(Y9S1[Games Played]))*10</f>
        <v>2.298850574712644E-2</v>
      </c>
      <c r="Q63" s="182"/>
      <c r="Y63" s="8" t="s">
        <v>152</v>
      </c>
      <c r="Z63" s="8">
        <v>0.95045000000000002</v>
      </c>
      <c r="AA63" s="8">
        <v>0.96568600000000004</v>
      </c>
      <c r="AB63" s="8">
        <v>140</v>
      </c>
      <c r="AC63" s="8">
        <v>154</v>
      </c>
      <c r="AD63" s="8">
        <v>161</v>
      </c>
      <c r="AE63" s="8">
        <v>114</v>
      </c>
      <c r="AF63" s="8">
        <v>52.795000000000002</v>
      </c>
      <c r="AG63" s="8">
        <v>52.921999999999997</v>
      </c>
      <c r="AH63" s="8">
        <v>54</v>
      </c>
      <c r="AI63" s="8">
        <v>51</v>
      </c>
      <c r="AJ63" s="8"/>
    </row>
    <row r="64" spans="1:46">
      <c r="A64" s="156" t="str">
        <f>_xlfn.TEXTJOIN(",",TRUE,_xlfn._xlws.SORT(_xlfn.TEXTSPLIT(_xlfn.TEXTJOIN(",",TRUE,_xlfn._xlws.SORT($B64:$F64, 1, -1, FALSE)),"WWWWW",",")))</f>
        <v>Chromius.TAMU,Glonk.MB</v>
      </c>
      <c r="B64" s="153" t="s">
        <v>77</v>
      </c>
      <c r="C64" s="153" t="s">
        <v>162</v>
      </c>
      <c r="D64" s="153"/>
      <c r="E64" s="153"/>
      <c r="F64" s="153"/>
      <c r="G64" s="153" t="str">
        <f>IFERROR(VLOOKUP(Y9S1[[#This Row],[Player 1]],YEar9Table[],2,FALSE),0)</f>
        <v>TIER 1</v>
      </c>
      <c r="H64" s="162" t="str">
        <f>IFERROR(VLOOKUP(Y9S1[[#This Row],[Player 2]],YEar9Table[],2,FALSE),"")</f>
        <v>TIER 2</v>
      </c>
      <c r="I64" s="153" t="str">
        <f>IFERROR(VLOOKUP(Y9S1[[#This Row],[Player 3]],YEar9Table[],2,FALSE),"")</f>
        <v/>
      </c>
      <c r="J64" s="153" t="str">
        <f>IFERROR(VLOOKUP(Y9S1[[#This Row],[Player 4]],YEar9Table[],2,FALSE),"")</f>
        <v/>
      </c>
      <c r="K64" s="159" t="str">
        <f>IFERROR(VLOOKUP(Y9S1[[#This Row],[Player 5]],YEar9Table[],2,FALSE),"")</f>
        <v/>
      </c>
      <c r="L64" s="40">
        <v>1</v>
      </c>
      <c r="M64" s="40">
        <v>2</v>
      </c>
      <c r="N64" s="40">
        <f>$L64+$M64</f>
        <v>3</v>
      </c>
      <c r="O64" s="50">
        <f>IFERROR(L64/(M64+L64),0)</f>
        <v>0.33333333333333331</v>
      </c>
      <c r="P64" s="103">
        <f>(((Y9S1[[#This Row],[Wins]]*1.3)-Y9S1[[#This Row],[Losses]])/SUM(Y9S1[Games Played]))*10</f>
        <v>-2.6819923371647507E-2</v>
      </c>
      <c r="Q64" s="183"/>
      <c r="Y64" s="8" t="s">
        <v>154</v>
      </c>
      <c r="Z64" s="8">
        <v>0.8</v>
      </c>
      <c r="AA64" s="8">
        <v>0.77777799999999997</v>
      </c>
      <c r="AB64" s="8">
        <v>28</v>
      </c>
      <c r="AC64" s="8">
        <v>41</v>
      </c>
      <c r="AD64" s="8">
        <v>43</v>
      </c>
      <c r="AE64" s="8">
        <v>30</v>
      </c>
      <c r="AF64" s="8">
        <v>45.938000000000002</v>
      </c>
      <c r="AG64" s="8">
        <v>64.836669999999998</v>
      </c>
      <c r="AH64" s="8">
        <v>12</v>
      </c>
      <c r="AI64" s="8">
        <v>14</v>
      </c>
      <c r="AJ64" s="8"/>
    </row>
    <row r="65" spans="1:36">
      <c r="A65" s="156" t="str">
        <f>_xlfn.TEXTJOIN(",",TRUE,_xlfn._xlws.SORT(_xlfn.TEXTSPLIT(_xlfn.TEXTJOIN(",",TRUE,_xlfn._xlws.SORT($B65:$F65, 1, -1, FALSE)),"WWWWW",",")))</f>
        <v>Chromius.TAMU,Galahad21588,Glonk.MB,Kermitt.MB,NotLappland</v>
      </c>
      <c r="B65" s="153" t="s">
        <v>77</v>
      </c>
      <c r="C65" s="153" t="s">
        <v>162</v>
      </c>
      <c r="D65" s="153" t="s">
        <v>118</v>
      </c>
      <c r="E65" s="153" t="s">
        <v>96</v>
      </c>
      <c r="F65" s="153" t="s">
        <v>142</v>
      </c>
      <c r="G65" s="153" t="str">
        <f>IFERROR(VLOOKUP(Y9S1[[#This Row],[Player 1]],YEar9Table[],2,FALSE),0)</f>
        <v>TIER 1</v>
      </c>
      <c r="H65" s="162" t="str">
        <f>IFERROR(VLOOKUP(Y9S1[[#This Row],[Player 2]],YEar9Table[],2,FALSE),"")</f>
        <v>TIER 2</v>
      </c>
      <c r="I65" s="153" t="str">
        <f>IFERROR(VLOOKUP(Y9S1[[#This Row],[Player 3]],YEar9Table[],2,FALSE),"")</f>
        <v>TIER 4</v>
      </c>
      <c r="J65" s="153" t="str">
        <f>IFERROR(VLOOKUP(Y9S1[[#This Row],[Player 4]],YEar9Table[],2,FALSE),"")</f>
        <v>TIER 3</v>
      </c>
      <c r="K65" s="159" t="str">
        <f>IFERROR(VLOOKUP(Y9S1[[#This Row],[Player 5]],YEar9Table[],2,FALSE),"")</f>
        <v>TIER 8</v>
      </c>
      <c r="L65" s="40">
        <v>1</v>
      </c>
      <c r="M65" s="40">
        <v>1</v>
      </c>
      <c r="N65" s="40">
        <f>$L65+$M65</f>
        <v>2</v>
      </c>
      <c r="O65" s="50">
        <f>IFERROR(L65/(M65+L65),0)</f>
        <v>0.5</v>
      </c>
      <c r="P65" s="104">
        <f>(((Y9S1[[#This Row],[Wins]]*1.3)-Y9S1[[#This Row],[Losses]])/SUM(Y9S1[Games Played]))*10</f>
        <v>1.149425287356322E-2</v>
      </c>
      <c r="Q65" s="182"/>
      <c r="Y65" s="8" t="s">
        <v>142</v>
      </c>
      <c r="Z65" s="8">
        <v>1.338462</v>
      </c>
      <c r="AA65" s="8">
        <v>1.721311</v>
      </c>
      <c r="AB65" s="8">
        <v>41</v>
      </c>
      <c r="AC65" s="8">
        <v>51</v>
      </c>
      <c r="AD65" s="8">
        <v>55</v>
      </c>
      <c r="AE65" s="8">
        <v>37</v>
      </c>
      <c r="AF65" s="8">
        <v>62.818800000000003</v>
      </c>
      <c r="AG65" s="8">
        <v>70.013329999999996</v>
      </c>
      <c r="AH65" s="8">
        <v>16</v>
      </c>
      <c r="AI65" s="8">
        <v>12</v>
      </c>
      <c r="AJ65" s="8"/>
    </row>
    <row r="66" spans="1:36">
      <c r="A66" s="156" t="str">
        <f>_xlfn.TEXTJOIN(",",TRUE,_xlfn._xlws.SORT(_xlfn.TEXTSPLIT(_xlfn.TEXTJOIN(",",TRUE,_xlfn._xlws.SORT($B66:$F66, 1, -1, FALSE)),"WWWWW",",")))</f>
        <v>Chromius.TAMU,Kermitt.MB,Timythiccums.MB</v>
      </c>
      <c r="B66" s="153" t="s">
        <v>77</v>
      </c>
      <c r="C66" s="153" t="s">
        <v>81</v>
      </c>
      <c r="D66" s="153" t="s">
        <v>118</v>
      </c>
      <c r="E66" s="153"/>
      <c r="F66" s="159"/>
      <c r="G66" s="153" t="str">
        <f>IFERROR(VLOOKUP(Y9S1[[#This Row],[Player 1]],YEar9Table[],2,FALSE),0)</f>
        <v>TIER 1</v>
      </c>
      <c r="H66" s="162" t="str">
        <f>IFERROR(VLOOKUP(Y9S1[[#This Row],[Player 2]],YEar9Table[],2,FALSE),"")</f>
        <v>TIER 6</v>
      </c>
      <c r="I66" s="153" t="str">
        <f>IFERROR(VLOOKUP(Y9S1[[#This Row],[Player 3]],YEar9Table[],2,FALSE),"")</f>
        <v>TIER 4</v>
      </c>
      <c r="J66" s="153" t="str">
        <f>IFERROR(VLOOKUP(Y9S1[[#This Row],[Player 4]],YEar9Table[],2,FALSE),"")</f>
        <v/>
      </c>
      <c r="K66" s="159" t="str">
        <f>IFERROR(VLOOKUP(Y9S1[[#This Row],[Player 5]],YEar9Table[],2,FALSE),"")</f>
        <v/>
      </c>
      <c r="L66" s="40">
        <v>1</v>
      </c>
      <c r="M66" s="40">
        <v>1</v>
      </c>
      <c r="N66" s="40">
        <f>$L66+$M66</f>
        <v>2</v>
      </c>
      <c r="O66" s="50">
        <f>IFERROR(L66/(M66+L66),0)</f>
        <v>0.5</v>
      </c>
      <c r="P66" s="104">
        <f>(((Y9S1[[#This Row],[Wins]]*1.3)-Y9S1[[#This Row],[Losses]])/SUM(Y9S1[Games Played]))*10</f>
        <v>1.149425287356322E-2</v>
      </c>
      <c r="Q66" s="182"/>
      <c r="Y66" s="8" t="s">
        <v>144</v>
      </c>
      <c r="Z66" s="8">
        <v>0.64</v>
      </c>
      <c r="AA66" s="8">
        <v>0.47826099999999999</v>
      </c>
      <c r="AB66" s="8">
        <v>10</v>
      </c>
      <c r="AC66" s="8">
        <v>20</v>
      </c>
      <c r="AD66" s="8">
        <v>18</v>
      </c>
      <c r="AE66" s="8">
        <v>12</v>
      </c>
      <c r="AF66" s="8">
        <v>38.333570000000002</v>
      </c>
      <c r="AG66" s="8">
        <v>48.039409999999997</v>
      </c>
      <c r="AH66" s="8">
        <v>6</v>
      </c>
      <c r="AI66" s="8">
        <v>7</v>
      </c>
      <c r="AJ66" s="8"/>
    </row>
    <row r="67" spans="1:36">
      <c r="A67" s="156" t="str">
        <f>_xlfn.TEXTJOIN(",",TRUE,_xlfn._xlws.SORT(_xlfn.TEXTSPLIT(_xlfn.TEXTJOIN(",",TRUE,_xlfn._xlws.SORT($B67:$F67, 1, -1, FALSE)),"WWWWW",",")))</f>
        <v>Chromius.TAMU,Timythiccums.MB,Viests.</v>
      </c>
      <c r="B67" s="153" t="s">
        <v>77</v>
      </c>
      <c r="C67" s="153" t="s">
        <v>81</v>
      </c>
      <c r="D67" s="153" t="s">
        <v>185</v>
      </c>
      <c r="E67" s="153"/>
      <c r="F67" s="153"/>
      <c r="G67" s="153" t="str">
        <f>IFERROR(VLOOKUP(Y9S1[[#This Row],[Player 1]],YEar9Table[],2,FALSE),0)</f>
        <v>TIER 1</v>
      </c>
      <c r="H67" s="162" t="str">
        <f>IFERROR(VLOOKUP(Y9S1[[#This Row],[Player 2]],YEar9Table[],2,FALSE),"")</f>
        <v>TIER 6</v>
      </c>
      <c r="I67" s="153" t="str">
        <f>IFERROR(VLOOKUP(Y9S1[[#This Row],[Player 3]],YEar9Table[],2,FALSE),"")</f>
        <v>TIER 7</v>
      </c>
      <c r="J67" s="153" t="str">
        <f>IFERROR(VLOOKUP(Y9S1[[#This Row],[Player 4]],YEar9Table[],2,FALSE),"")</f>
        <v/>
      </c>
      <c r="K67" s="159" t="str">
        <f>IFERROR(VLOOKUP(Y9S1[[#This Row],[Player 5]],YEar9Table[],2,FALSE),"")</f>
        <v/>
      </c>
      <c r="L67" s="40">
        <v>1</v>
      </c>
      <c r="M67" s="40">
        <v>1</v>
      </c>
      <c r="N67" s="40">
        <f>$L67+$M67</f>
        <v>2</v>
      </c>
      <c r="O67" s="50">
        <f>IFERROR(L67/(M67+L67),0)</f>
        <v>0.5</v>
      </c>
      <c r="P67" s="104">
        <f>(((Y9S1[[#This Row],[Wins]]*1.3)-Y9S1[[#This Row],[Losses]])/SUM(Y9S1[Games Played]))*10</f>
        <v>1.149425287356322E-2</v>
      </c>
      <c r="Q67" s="182"/>
      <c r="Y67" s="8" t="s">
        <v>118</v>
      </c>
      <c r="Z67" s="8">
        <v>0.76881699999999997</v>
      </c>
      <c r="AA67" s="8">
        <v>0.94285699999999995</v>
      </c>
      <c r="AB67" s="8">
        <v>110</v>
      </c>
      <c r="AC67" s="8">
        <v>138</v>
      </c>
      <c r="AD67" s="8">
        <v>150</v>
      </c>
      <c r="AE67" s="8">
        <v>99</v>
      </c>
      <c r="AF67" s="8">
        <v>55.413179999999997</v>
      </c>
      <c r="AG67" s="8">
        <v>70.367890000000003</v>
      </c>
      <c r="AH67" s="8">
        <v>42</v>
      </c>
      <c r="AI67" s="8">
        <v>37</v>
      </c>
      <c r="AJ67" s="8"/>
    </row>
    <row r="68" spans="1:36">
      <c r="A68" s="156" t="str">
        <f>_xlfn.TEXTJOIN(",",TRUE,_xlfn._xlws.SORT(_xlfn.TEXTSPLIT(_xlfn.TEXTJOIN(",",TRUE,_xlfn._xlws.SORT($B68:$F68, 1, -1, FALSE)),"WWWWW",",")))</f>
        <v>Chromius.TAMU,Kermitt.MB,nobetterdough,Timythiccums.MB</v>
      </c>
      <c r="B68" s="153" t="s">
        <v>77</v>
      </c>
      <c r="C68" s="153" t="s">
        <v>81</v>
      </c>
      <c r="D68" s="153" t="s">
        <v>118</v>
      </c>
      <c r="E68" s="153" t="s">
        <v>179</v>
      </c>
      <c r="F68" s="153"/>
      <c r="G68" s="153" t="str">
        <f>IFERROR(VLOOKUP(Y9S1[[#This Row],[Player 1]],YEar9Table[],2,FALSE),0)</f>
        <v>TIER 1</v>
      </c>
      <c r="H68" s="153" t="str">
        <f>IFERROR(VLOOKUP(Y9S1[[#This Row],[Player 2]],YEar9Table[],2,FALSE),"")</f>
        <v>TIER 6</v>
      </c>
      <c r="I68" s="153" t="str">
        <f>IFERROR(VLOOKUP(Y9S1[[#This Row],[Player 3]],YEar9Table[],2,FALSE),"")</f>
        <v>TIER 4</v>
      </c>
      <c r="J68" s="153" t="str">
        <f>IFERROR(VLOOKUP(Y9S1[[#This Row],[Player 4]],YEar9Table[],2,FALSE),"")</f>
        <v>TIER 8</v>
      </c>
      <c r="K68" s="159" t="str">
        <f>IFERROR(VLOOKUP(Y9S1[[#This Row],[Player 5]],YEar9Table[],2,FALSE),"")</f>
        <v/>
      </c>
      <c r="L68" s="40">
        <v>1</v>
      </c>
      <c r="M68" s="40">
        <v>1</v>
      </c>
      <c r="N68" s="40">
        <f>$L68+$M68</f>
        <v>2</v>
      </c>
      <c r="O68" s="51">
        <f>IFERROR(L68/(M68+L68),0)</f>
        <v>0.5</v>
      </c>
      <c r="P68" s="104">
        <f>(((Y9S1[[#This Row],[Wins]]*1.3)-Y9S1[[#This Row],[Losses]])/SUM(Y9S1[Games Played]))*10</f>
        <v>1.149425287356322E-2</v>
      </c>
      <c r="Q68" s="182"/>
      <c r="Y68" s="8" t="s">
        <v>163</v>
      </c>
      <c r="Z68" s="8">
        <v>0.74026000000000003</v>
      </c>
      <c r="AA68" s="8">
        <v>0.90476199999999996</v>
      </c>
      <c r="AB68" s="8">
        <v>63</v>
      </c>
      <c r="AC68" s="8">
        <v>53</v>
      </c>
      <c r="AD68" s="8">
        <v>56</v>
      </c>
      <c r="AE68" s="8">
        <v>47</v>
      </c>
      <c r="AF68" s="8">
        <v>53.976669999999999</v>
      </c>
      <c r="AG68" s="8">
        <v>66.67</v>
      </c>
      <c r="AH68" s="8">
        <v>19</v>
      </c>
      <c r="AI68" s="8">
        <v>25</v>
      </c>
      <c r="AJ68" s="8"/>
    </row>
    <row r="69" spans="1:36">
      <c r="A69" s="156" t="str">
        <f>_xlfn.TEXTJOIN(",",TRUE,_xlfn._xlws.SORT(_xlfn.TEXTSPLIT(_xlfn.TEXTJOIN(",",TRUE,_xlfn._xlws.SORT($B69:$F69, 1, -1, FALSE)),"WWWWW",",")))</f>
        <v>Chromius.TAMU,Glonk.MB,Kermitt.MB,NotLappland,Viests.</v>
      </c>
      <c r="B69" s="153" t="s">
        <v>162</v>
      </c>
      <c r="C69" s="153" t="s">
        <v>77</v>
      </c>
      <c r="D69" s="153" t="s">
        <v>118</v>
      </c>
      <c r="E69" s="153" t="s">
        <v>142</v>
      </c>
      <c r="F69" s="153" t="s">
        <v>185</v>
      </c>
      <c r="G69" s="154" t="str">
        <f>IFERROR(VLOOKUP(Y9S1[[#This Row],[Player 1]],YEar9Table[],2,FALSE),0)</f>
        <v>TIER 2</v>
      </c>
      <c r="H69" s="162" t="str">
        <f>IFERROR(VLOOKUP(Y9S1[[#This Row],[Player 2]],YEar9Table[],2,FALSE),"")</f>
        <v>TIER 1</v>
      </c>
      <c r="I69" s="153" t="str">
        <f>IFERROR(VLOOKUP(Y9S1[[#This Row],[Player 3]],YEar9Table[],2,FALSE),"")</f>
        <v>TIER 4</v>
      </c>
      <c r="J69" s="153" t="str">
        <f>IFERROR(VLOOKUP(Y9S1[[#This Row],[Player 4]],YEar9Table[],2,FALSE),"")</f>
        <v>TIER 8</v>
      </c>
      <c r="K69" s="159" t="str">
        <f>IFERROR(VLOOKUP(Y9S1[[#This Row],[Player 5]],YEar9Table[],2,FALSE),"")</f>
        <v>TIER 7</v>
      </c>
      <c r="L69" s="40">
        <v>1</v>
      </c>
      <c r="M69" s="40">
        <v>1</v>
      </c>
      <c r="N69" s="40">
        <f>$L69+$M69</f>
        <v>2</v>
      </c>
      <c r="O69" s="50">
        <f>IFERROR(L69/(M69+L69),0)</f>
        <v>0.5</v>
      </c>
      <c r="P69" s="104">
        <f>(((Y9S1[[#This Row],[Wins]]*1.3)-Y9S1[[#This Row],[Losses]])/SUM(Y9S1[Games Played]))*10</f>
        <v>1.149425287356322E-2</v>
      </c>
      <c r="Q69" s="182"/>
      <c r="Y69" s="8" t="s">
        <v>150</v>
      </c>
      <c r="Z69" s="168"/>
      <c r="AA69" s="168"/>
      <c r="AB69" s="168"/>
      <c r="AC69" s="168"/>
      <c r="AD69" s="168"/>
      <c r="AE69" s="168"/>
      <c r="AF69" s="168"/>
      <c r="AG69" s="168"/>
      <c r="AH69" s="168"/>
      <c r="AI69" s="168"/>
      <c r="AJ69" s="8"/>
    </row>
    <row r="70" spans="1:36">
      <c r="A70" s="156" t="str">
        <f>_xlfn.TEXTJOIN(",",TRUE,_xlfn._xlws.SORT(_xlfn.TEXTSPLIT(_xlfn.TEXTJOIN(",",TRUE,_xlfn._xlws.SORT($B70:$E70, 1, -1, FALSE)),"WWWWW",",")))</f>
        <v>Blade2420,Chromius.TAMU,Glonk.MB,Jamato33</v>
      </c>
      <c r="B70" s="153" t="s">
        <v>77</v>
      </c>
      <c r="C70" s="153" t="s">
        <v>162</v>
      </c>
      <c r="D70" s="153" t="s">
        <v>233</v>
      </c>
      <c r="E70" s="165" t="s">
        <v>113</v>
      </c>
      <c r="F70" s="165" t="s">
        <v>234</v>
      </c>
      <c r="G70" s="154" t="str">
        <f>IFERROR(VLOOKUP(Y9S1[[#This Row],[Player 1]],YEar9Table[],2,FALSE),0)</f>
        <v>TIER 1</v>
      </c>
      <c r="H70" s="162" t="str">
        <f>IFERROR(VLOOKUP(Y9S1[[#This Row],[Player 2]],YEar9Table[],2,FALSE),"")</f>
        <v>TIER 2</v>
      </c>
      <c r="I70" s="153" t="str">
        <f>IFERROR(VLOOKUP(Y9S1[[#This Row],[Player 3]],YEar9Table[],2,FALSE),"")</f>
        <v>TIER 5</v>
      </c>
      <c r="J70" s="153" t="str">
        <f>IFERROR(VLOOKUP(Y9S1[[#This Row],[Player 4]],YEar9Table[],2,FALSE),"")</f>
        <v>TIER 6</v>
      </c>
      <c r="K70" s="159" t="str">
        <f>IFERROR(VLOOKUP(Y9S1[[#This Row],[Player 5]],YEar9Table[],2,FALSE),"")</f>
        <v>TIER 8</v>
      </c>
      <c r="L70" s="40">
        <v>1</v>
      </c>
      <c r="M70" s="40">
        <v>1</v>
      </c>
      <c r="N70" s="40">
        <f>$L70+$M70</f>
        <v>2</v>
      </c>
      <c r="O70" s="50">
        <f>IFERROR(L70/(M70+L70),0)</f>
        <v>0.5</v>
      </c>
      <c r="P70" s="103">
        <f>(((Y9S1[[#This Row],[Wins]]*1.3)-Y9S1[[#This Row],[Losses]])/SUM(Y9S1[Games Played]))*10</f>
        <v>1.149425287356322E-2</v>
      </c>
      <c r="Q70" s="182"/>
      <c r="Y70" s="8" t="s">
        <v>91</v>
      </c>
      <c r="Z70" s="8">
        <v>1.117057</v>
      </c>
      <c r="AA70" s="8">
        <v>1.331915</v>
      </c>
      <c r="AB70" s="8">
        <v>165</v>
      </c>
      <c r="AC70" s="8">
        <v>207</v>
      </c>
      <c r="AD70" s="8">
        <v>210</v>
      </c>
      <c r="AE70" s="8">
        <v>147</v>
      </c>
      <c r="AF70" s="8">
        <v>57.050330000000002</v>
      </c>
      <c r="AG70" s="8">
        <v>63.475630000000002</v>
      </c>
      <c r="AH70" s="8">
        <v>62</v>
      </c>
      <c r="AI70" s="8">
        <v>68</v>
      </c>
      <c r="AJ70" s="8"/>
    </row>
    <row r="71" spans="1:36">
      <c r="A71" s="156" t="str">
        <f>_xlfn.TEXTJOIN(",",TRUE,_xlfn._xlws.SORT(_xlfn.TEXTSPLIT(_xlfn.TEXTJOIN(",",TRUE,_xlfn._xlws.SORT($B71:$F71, 1, -1, FALSE)),"WWWWW",",")))</f>
        <v>Chromius.TAMU,Galahad21588,Glonk.MB,Jamato33,PincheConcha</v>
      </c>
      <c r="B71" s="153" t="s">
        <v>77</v>
      </c>
      <c r="C71" s="153" t="s">
        <v>91</v>
      </c>
      <c r="D71" s="153" t="s">
        <v>233</v>
      </c>
      <c r="E71" s="165" t="s">
        <v>96</v>
      </c>
      <c r="F71" s="165" t="s">
        <v>162</v>
      </c>
      <c r="G71" s="154" t="str">
        <f>IFERROR(VLOOKUP(Y9S1[[#This Row],[Player 1]],YEar9Table[],2,FALSE),0)</f>
        <v>TIER 1</v>
      </c>
      <c r="H71" s="162" t="str">
        <f>IFERROR(VLOOKUP(Y9S1[[#This Row],[Player 2]],YEar9Table[],2,FALSE),"")</f>
        <v>TIER 3</v>
      </c>
      <c r="I71" s="153" t="str">
        <f>IFERROR(VLOOKUP(Y9S1[[#This Row],[Player 3]],YEar9Table[],2,FALSE),"")</f>
        <v>TIER 5</v>
      </c>
      <c r="J71" s="153" t="str">
        <f>IFERROR(VLOOKUP(Y9S1[[#This Row],[Player 4]],YEar9Table[],2,FALSE),"")</f>
        <v>TIER 3</v>
      </c>
      <c r="K71" s="159" t="str">
        <f>IFERROR(VLOOKUP(Y9S1[[#This Row],[Player 5]],YEar9Table[],2,FALSE),"")</f>
        <v>TIER 2</v>
      </c>
      <c r="L71" s="40">
        <v>1</v>
      </c>
      <c r="M71" s="40">
        <v>1</v>
      </c>
      <c r="N71" s="40">
        <f>$L71+$M71</f>
        <v>2</v>
      </c>
      <c r="O71" s="50">
        <f>IFERROR(L71/(M71+L71),0)</f>
        <v>0.5</v>
      </c>
      <c r="P71" s="103">
        <f>(((Y9S1[[#This Row],[Wins]]*1.3)-Y9S1[[#This Row],[Losses]])/SUM(Y9S1[Games Played]))*10</f>
        <v>1.149425287356322E-2</v>
      </c>
      <c r="Q71" s="182"/>
      <c r="Y71" s="8" t="s">
        <v>148</v>
      </c>
      <c r="Z71" s="8">
        <v>0.65384600000000004</v>
      </c>
      <c r="AA71" s="8">
        <v>0.74418600000000001</v>
      </c>
      <c r="AB71" s="8">
        <v>20</v>
      </c>
      <c r="AC71" s="8">
        <v>44</v>
      </c>
      <c r="AD71" s="8">
        <v>36</v>
      </c>
      <c r="AE71" s="8">
        <v>27</v>
      </c>
      <c r="AF71" s="8">
        <v>29.176670000000001</v>
      </c>
      <c r="AG71" s="8">
        <v>55.294440000000002</v>
      </c>
      <c r="AH71" s="8">
        <v>9</v>
      </c>
      <c r="AI71" s="8">
        <v>14</v>
      </c>
      <c r="AJ71" s="8"/>
    </row>
    <row r="72" spans="1:36">
      <c r="A72" s="156" t="str">
        <f>_xlfn.TEXTJOIN(",",TRUE,_xlfn._xlws.SORT(_xlfn.TEXTSPLIT(_xlfn.TEXTJOIN(",",TRUE,_xlfn._xlws.SORT($B72:$F72, 1, -1, FALSE)),"WWWWW",",")))</f>
        <v>Chromius.TAMU,Elyidian,Glonk.MB,Strugg1er.,Viests.</v>
      </c>
      <c r="B72" s="153" t="s">
        <v>77</v>
      </c>
      <c r="C72" s="153" t="s">
        <v>162</v>
      </c>
      <c r="D72" s="1" t="s">
        <v>234</v>
      </c>
      <c r="E72" s="153" t="s">
        <v>111</v>
      </c>
      <c r="F72" s="1" t="s">
        <v>185</v>
      </c>
      <c r="G72" s="154" t="str">
        <f>IFERROR(VLOOKUP(Y9S1[[#This Row],[Player 1]],YEar9Table[],2,FALSE),0)</f>
        <v>TIER 1</v>
      </c>
      <c r="H72" s="162" t="str">
        <f>IFERROR(VLOOKUP(Y9S1[[#This Row],[Player 2]],YEar9Table[],2,FALSE),"")</f>
        <v>TIER 2</v>
      </c>
      <c r="I72" s="153" t="str">
        <f>IFERROR(VLOOKUP(Y9S1[[#This Row],[Player 3]],YEar9Table[],2,FALSE),"")</f>
        <v>TIER 8</v>
      </c>
      <c r="J72" s="153" t="str">
        <f>IFERROR(VLOOKUP(Y9S1[[#This Row],[Player 4]],YEar9Table[],2,FALSE),"")</f>
        <v>TIER 8</v>
      </c>
      <c r="K72" s="159" t="str">
        <f>IFERROR(VLOOKUP(Y9S1[[#This Row],[Player 5]],YEar9Table[],2,FALSE),"")</f>
        <v>TIER 7</v>
      </c>
      <c r="L72" s="40">
        <v>1</v>
      </c>
      <c r="M72" s="40">
        <v>1</v>
      </c>
      <c r="N72" s="40">
        <f>$L72+$M72</f>
        <v>2</v>
      </c>
      <c r="O72" s="50">
        <f>IFERROR(L72/(M72+L72),0)</f>
        <v>0.5</v>
      </c>
      <c r="P72" s="104">
        <f>(((Y9S1[[#This Row],[Wins]]*1.3)-Y9S1[[#This Row],[Losses]])/SUM(Y9S1[Games Played]))*10</f>
        <v>1.149425287356322E-2</v>
      </c>
      <c r="Q72" s="182"/>
      <c r="Y72" s="8" t="s">
        <v>164</v>
      </c>
      <c r="Z72" s="8">
        <v>1.3142860000000001</v>
      </c>
      <c r="AA72" s="8">
        <v>1.4848479999999999</v>
      </c>
      <c r="AB72" s="8">
        <v>19</v>
      </c>
      <c r="AC72" s="8">
        <v>28</v>
      </c>
      <c r="AD72" s="8">
        <v>33</v>
      </c>
      <c r="AE72" s="8">
        <v>17</v>
      </c>
      <c r="AF72" s="8">
        <v>62.351430000000001</v>
      </c>
      <c r="AG72" s="8">
        <v>72.120909999999995</v>
      </c>
      <c r="AH72" s="8">
        <v>10</v>
      </c>
      <c r="AI72" s="8">
        <v>9</v>
      </c>
      <c r="AJ72" s="8"/>
    </row>
    <row r="73" spans="1:36">
      <c r="A73" s="156" t="str">
        <f>_xlfn.TEXTJOIN(",",TRUE,_xlfn._xlws.SORT(_xlfn.TEXTSPLIT(_xlfn.TEXTJOIN(",",TRUE,_xlfn._xlws.SORT($B73:$F73, 1, -1, FALSE)),"WWWWW",",")))</f>
        <v>Chromius.TAMU,PincheConcha,Solias,Strugg1er.</v>
      </c>
      <c r="B73" s="153" t="s">
        <v>77</v>
      </c>
      <c r="C73" s="153" t="s">
        <v>253</v>
      </c>
      <c r="D73" s="151" t="s">
        <v>91</v>
      </c>
      <c r="E73" s="153" t="s">
        <v>111</v>
      </c>
      <c r="F73" s="1"/>
      <c r="G73" s="154" t="str">
        <f>IFERROR(VLOOKUP(Y9S1[[#This Row],[Player 1]],YEar9Table[],2,FALSE),0)</f>
        <v>TIER 1</v>
      </c>
      <c r="H73" s="162" t="str">
        <f>IFERROR(VLOOKUP(Y9S1[[#This Row],[Player 2]],YEar9Table[],2,FALSE),"")</f>
        <v>TIER 8</v>
      </c>
      <c r="I73" s="153" t="str">
        <f>IFERROR(VLOOKUP(Y9S1[[#This Row],[Player 3]],YEar9Table[],2,FALSE),"")</f>
        <v>TIER 3</v>
      </c>
      <c r="J73" s="153" t="str">
        <f>IFERROR(VLOOKUP(Y9S1[[#This Row],[Player 4]],YEar9Table[],2,FALSE),"")</f>
        <v>TIER 8</v>
      </c>
      <c r="K73" s="159" t="str">
        <f>IFERROR(VLOOKUP(Y9S1[[#This Row],[Player 5]],YEar9Table[],2,FALSE),"")</f>
        <v/>
      </c>
      <c r="L73" s="40">
        <v>1</v>
      </c>
      <c r="M73" s="40">
        <v>1</v>
      </c>
      <c r="N73" s="40">
        <f>$L73+$M73</f>
        <v>2</v>
      </c>
      <c r="O73" s="50">
        <f>IFERROR(L73/(M73+L73),0)</f>
        <v>0.5</v>
      </c>
      <c r="P73" s="104">
        <f>(((Y9S1[[#This Row],[Wins]]*1.3)-Y9S1[[#This Row],[Losses]])/SUM(Y9S1[Games Played]))*10</f>
        <v>1.149425287356322E-2</v>
      </c>
      <c r="Q73" s="182"/>
      <c r="Y73" s="80" t="s">
        <v>159</v>
      </c>
      <c r="Z73" s="168"/>
      <c r="AA73" s="168"/>
      <c r="AB73" s="168"/>
      <c r="AC73" s="168"/>
      <c r="AD73" s="168"/>
      <c r="AE73" s="168"/>
      <c r="AF73" s="168"/>
      <c r="AG73" s="168"/>
      <c r="AH73" s="168"/>
      <c r="AI73" s="168"/>
      <c r="AJ73" s="8"/>
    </row>
    <row r="74" spans="1:36">
      <c r="A74" s="156" t="str">
        <f>_xlfn.TEXTJOIN(",",TRUE,_xlfn._xlws.SORT(_xlfn.TEXTSPLIT(_xlfn.TEXTJOIN(",",TRUE,_xlfn._xlws.SORT($B74:$F74, 1, -1, FALSE)),"WWWWW",",")))</f>
        <v>Chromius.TAMU,Elyidian,Glonk.MB,TexAg21</v>
      </c>
      <c r="B74" s="153" t="s">
        <v>77</v>
      </c>
      <c r="C74" s="153" t="s">
        <v>188</v>
      </c>
      <c r="D74" s="153" t="s">
        <v>162</v>
      </c>
      <c r="E74" s="153" t="s">
        <v>234</v>
      </c>
      <c r="F74" s="151"/>
      <c r="G74" s="154" t="str">
        <f>IFERROR(VLOOKUP(Y9S1[[#This Row],[Player 1]],YEar9Table[],2,FALSE),0)</f>
        <v>TIER 1</v>
      </c>
      <c r="H74" s="162" t="str">
        <f>IFERROR(VLOOKUP(Y9S1[[#This Row],[Player 2]],YEar9Table[],2,FALSE),"")</f>
        <v>TIER 8</v>
      </c>
      <c r="I74" s="153" t="str">
        <f>IFERROR(VLOOKUP(Y9S1[[#This Row],[Player 3]],YEar9Table[],2,FALSE),"")</f>
        <v>TIER 2</v>
      </c>
      <c r="J74" s="153" t="str">
        <f>IFERROR(VLOOKUP(Y9S1[[#This Row],[Player 4]],YEar9Table[],2,FALSE),"")</f>
        <v>TIER 8</v>
      </c>
      <c r="K74" s="159" t="str">
        <f>IFERROR(VLOOKUP(Y9S1[[#This Row],[Player 5]],YEar9Table[],2,FALSE),"")</f>
        <v/>
      </c>
      <c r="L74" s="40">
        <v>1</v>
      </c>
      <c r="M74" s="40">
        <v>1</v>
      </c>
      <c r="N74" s="40">
        <f>$L74+$M74</f>
        <v>2</v>
      </c>
      <c r="O74" s="50">
        <f>IFERROR(L74/(M74+L74),0)</f>
        <v>0.5</v>
      </c>
      <c r="P74" s="104">
        <f>(((Y9S1[[#This Row],[Wins]]*1.3)-Y9S1[[#This Row],[Losses]])/SUM(Y9S1[Games Played]))*10</f>
        <v>1.149425287356322E-2</v>
      </c>
      <c r="Q74" s="182"/>
      <c r="Y74" s="82" t="s">
        <v>157</v>
      </c>
      <c r="Z74" s="168"/>
      <c r="AA74" s="168"/>
      <c r="AB74" s="168"/>
      <c r="AC74" s="168"/>
      <c r="AD74" s="168"/>
      <c r="AE74" s="168"/>
      <c r="AF74" s="168"/>
      <c r="AG74" s="168"/>
      <c r="AH74" s="168"/>
      <c r="AI74" s="168"/>
      <c r="AJ74" s="8"/>
    </row>
    <row r="75" spans="1:36">
      <c r="A75" s="156" t="str">
        <f>_xlfn.TEXTJOIN(",",TRUE,_xlfn._xlws.SORT(_xlfn.TEXTSPLIT(_xlfn.TEXTJOIN(",",TRUE,_xlfn._xlws.SORT($B75:$F75, 1, -1, FALSE)),"WWWWW",",")))</f>
        <v>Chromius.TAMU,EasterBallz--,Elyidian,Galahad21588,Wh1pl4sh_117</v>
      </c>
      <c r="B75" s="153" t="s">
        <v>77</v>
      </c>
      <c r="C75" s="153" t="s">
        <v>234</v>
      </c>
      <c r="D75" s="185" t="s">
        <v>248</v>
      </c>
      <c r="E75" s="153" t="s">
        <v>96</v>
      </c>
      <c r="F75" s="185" t="s">
        <v>246</v>
      </c>
      <c r="G75" s="154" t="str">
        <f>IFERROR(VLOOKUP(Y9S1[[#This Row],[Player 1]],YEar9Table[],2,FALSE),0)</f>
        <v>TIER 1</v>
      </c>
      <c r="H75" s="162" t="str">
        <f>IFERROR(VLOOKUP(Y9S1[[#This Row],[Player 2]],YEar9Table[],2,FALSE),"")</f>
        <v>TIER 8</v>
      </c>
      <c r="I75" s="153" t="str">
        <f>IFERROR(VLOOKUP(Y9S1[[#This Row],[Player 3]],YEar9Table[],2,FALSE),"")</f>
        <v>TIER 8</v>
      </c>
      <c r="J75" s="153" t="str">
        <f>IFERROR(VLOOKUP(Y9S1[[#This Row],[Player 4]],YEar9Table[],2,FALSE),"")</f>
        <v>TIER 3</v>
      </c>
      <c r="K75" s="159" t="str">
        <f>IFERROR(VLOOKUP(Y9S1[[#This Row],[Player 5]],YEar9Table[],2,FALSE),"")</f>
        <v>TIER 8</v>
      </c>
      <c r="L75" s="40">
        <v>1</v>
      </c>
      <c r="M75" s="40">
        <v>1</v>
      </c>
      <c r="N75" s="40">
        <f>$L75+$M75</f>
        <v>2</v>
      </c>
      <c r="O75" s="50">
        <f>IFERROR(L75/(M75+L75),0)</f>
        <v>0.5</v>
      </c>
      <c r="P75" s="104">
        <f>(((Y9S1[[#This Row],[Wins]]*1.3)-Y9S1[[#This Row],[Losses]])/SUM(Y9S1[Games Played]))*10</f>
        <v>1.149425287356322E-2</v>
      </c>
      <c r="Q75" s="182" t="s">
        <v>270</v>
      </c>
      <c r="Y75" s="8" t="s">
        <v>100</v>
      </c>
      <c r="Z75" s="8">
        <v>0.95762700000000001</v>
      </c>
      <c r="AA75" s="8">
        <v>1.4224140000000001</v>
      </c>
      <c r="AB75" s="8">
        <v>82</v>
      </c>
      <c r="AC75" s="8">
        <v>81</v>
      </c>
      <c r="AD75" s="8">
        <v>103</v>
      </c>
      <c r="AE75" s="8">
        <v>76</v>
      </c>
      <c r="AF75" s="8">
        <v>54.493929999999999</v>
      </c>
      <c r="AG75" s="8">
        <v>67.217240000000004</v>
      </c>
      <c r="AH75" s="8">
        <v>33</v>
      </c>
      <c r="AI75" s="8">
        <v>32</v>
      </c>
      <c r="AJ75" s="8"/>
    </row>
    <row r="76" spans="1:36">
      <c r="A76" s="156" t="str">
        <f>_xlfn.TEXTJOIN(",",TRUE,_xlfn._xlws.SORT(_xlfn.TEXTSPLIT(_xlfn.TEXTJOIN(",",TRUE,_xlfn._xlws.SORT($B76:$F76, 1, -1, FALSE)),"WWWWW",",")))</f>
        <v>Blade2420,Chromius.TAMU,Fallen.Rqnger,hawaiianpunch56,HostMal0ne</v>
      </c>
      <c r="B76" s="153" t="s">
        <v>77</v>
      </c>
      <c r="C76" s="153" t="s">
        <v>235</v>
      </c>
      <c r="D76" s="153" t="s">
        <v>86</v>
      </c>
      <c r="E76" s="153" t="s">
        <v>113</v>
      </c>
      <c r="F76" s="153" t="s">
        <v>250</v>
      </c>
      <c r="G76" s="154" t="str">
        <f>IFERROR(VLOOKUP(Y9S1[[#This Row],[Player 1]],YEar9Table[],2,FALSE),0)</f>
        <v>TIER 1</v>
      </c>
      <c r="H76" s="162" t="str">
        <f>IFERROR(VLOOKUP(Y9S1[[#This Row],[Player 2]],YEar9Table[],2,FALSE),"")</f>
        <v>TIER 1</v>
      </c>
      <c r="I76" s="153" t="str">
        <f>IFERROR(VLOOKUP(Y9S1[[#This Row],[Player 3]],YEar9Table[],2,FALSE),"")</f>
        <v>TIER 7</v>
      </c>
      <c r="J76" s="153" t="str">
        <f>IFERROR(VLOOKUP(Y9S1[[#This Row],[Player 4]],YEar9Table[],2,FALSE),"")</f>
        <v>TIER 6</v>
      </c>
      <c r="K76" s="159" t="str">
        <f>IFERROR(VLOOKUP(Y9S1[[#This Row],[Player 5]],YEar9Table[],2,FALSE),"")</f>
        <v>TIER 8</v>
      </c>
      <c r="L76" s="40">
        <v>1</v>
      </c>
      <c r="M76" s="40">
        <v>1</v>
      </c>
      <c r="N76" s="40">
        <f>$L76+$M76</f>
        <v>2</v>
      </c>
      <c r="O76" s="50">
        <f>IFERROR(L76/(M76+L76),0)</f>
        <v>0.5</v>
      </c>
      <c r="P76" s="104">
        <f>(((Y9S1[[#This Row],[Wins]]*1.3)-Y9S1[[#This Row],[Losses]])/SUM(Y9S1[Games Played]))*10</f>
        <v>1.149425287356322E-2</v>
      </c>
      <c r="Q76" s="182"/>
      <c r="Y76" s="8" t="s">
        <v>155</v>
      </c>
      <c r="Z76" s="168"/>
      <c r="AA76" s="168"/>
      <c r="AB76" s="168"/>
      <c r="AC76" s="168"/>
      <c r="AD76" s="168"/>
      <c r="AE76" s="168"/>
      <c r="AF76" s="168"/>
      <c r="AG76" s="168"/>
      <c r="AH76" s="168"/>
      <c r="AI76" s="168"/>
      <c r="AJ76" s="8"/>
    </row>
    <row r="77" spans="1:36">
      <c r="A77" s="156" t="str">
        <f>_xlfn.TEXTJOIN(",",TRUE,_xlfn._xlws.SORT(_xlfn.TEXTSPLIT(_xlfn.TEXTJOIN(",",TRUE,_xlfn._xlws.SORT($B77:$F77, 1, -1, FALSE)),"WWWWW",",")))</f>
        <v>Chromius.TAMU,Fallen.Rqnger,Galahad21588,Glonk.MB,Kermitt.MB</v>
      </c>
      <c r="B77" s="153" t="s">
        <v>77</v>
      </c>
      <c r="C77" s="153" t="s">
        <v>162</v>
      </c>
      <c r="D77" s="153" t="s">
        <v>118</v>
      </c>
      <c r="E77" s="153" t="s">
        <v>96</v>
      </c>
      <c r="F77" s="153" t="s">
        <v>86</v>
      </c>
      <c r="G77" s="153" t="str">
        <f>IFERROR(VLOOKUP(Y9S1[[#This Row],[Player 1]],YEar9Table[],2,FALSE),0)</f>
        <v>TIER 1</v>
      </c>
      <c r="H77" s="162" t="str">
        <f>IFERROR(VLOOKUP(Y9S1[[#This Row],[Player 2]],YEar9Table[],2,FALSE),"")</f>
        <v>TIER 2</v>
      </c>
      <c r="I77" s="153" t="str">
        <f>IFERROR(VLOOKUP(Y9S1[[#This Row],[Player 3]],YEar9Table[],2,FALSE),"")</f>
        <v>TIER 4</v>
      </c>
      <c r="J77" s="153" t="str">
        <f>IFERROR(VLOOKUP(Y9S1[[#This Row],[Player 4]],YEar9Table[],2,FALSE),"")</f>
        <v>TIER 3</v>
      </c>
      <c r="K77" s="159" t="str">
        <f>IFERROR(VLOOKUP(Y9S1[[#This Row],[Player 5]],YEar9Table[],2,FALSE),"")</f>
        <v>TIER 7</v>
      </c>
      <c r="L77" s="40">
        <v>1</v>
      </c>
      <c r="M77" s="40">
        <v>1</v>
      </c>
      <c r="N77" s="40">
        <f>$L77+$M77</f>
        <v>2</v>
      </c>
      <c r="O77" s="50">
        <f>IFERROR(L77/(M77+L77),0)</f>
        <v>0.5</v>
      </c>
      <c r="P77" s="104">
        <f>(((Y9S1[[#This Row],[Wins]]*1.3)-Y9S1[[#This Row],[Losses]])/SUM(Y9S1[Games Played]))*10</f>
        <v>1.149425287356322E-2</v>
      </c>
      <c r="Q77" s="182"/>
      <c r="Y77" s="8" t="s">
        <v>123</v>
      </c>
      <c r="Z77" s="168"/>
      <c r="AA77" s="168"/>
      <c r="AB77" s="168"/>
      <c r="AC77" s="168"/>
      <c r="AD77" s="168"/>
      <c r="AE77" s="168"/>
      <c r="AF77" s="168"/>
      <c r="AG77" s="168"/>
      <c r="AH77" s="168"/>
      <c r="AI77" s="168"/>
      <c r="AJ77" s="8"/>
    </row>
    <row r="78" spans="1:36">
      <c r="A78" s="156" t="str">
        <f>_xlfn.TEXTJOIN(",",TRUE,_xlfn._xlws.SORT(_xlfn.TEXTSPLIT(_xlfn.TEXTJOIN(",",TRUE,_xlfn._xlws.SORT($B78:$F78, 1, -1, FALSE)),"WWWWW",",")))</f>
        <v>Glonk.MB,Kermitt.MB,PincheConcha</v>
      </c>
      <c r="B78" s="153" t="s">
        <v>162</v>
      </c>
      <c r="C78" s="153" t="s">
        <v>118</v>
      </c>
      <c r="D78" s="153" t="s">
        <v>91</v>
      </c>
      <c r="E78" s="153"/>
      <c r="F78" s="153"/>
      <c r="G78" s="154" t="str">
        <f>IFERROR(VLOOKUP(Y9S1[[#This Row],[Player 1]],YEar9Table[],2,FALSE),0)</f>
        <v>TIER 2</v>
      </c>
      <c r="H78" s="162" t="str">
        <f>IFERROR(VLOOKUP(Y9S1[[#This Row],[Player 2]],YEar9Table[],2,FALSE),"")</f>
        <v>TIER 4</v>
      </c>
      <c r="I78" s="153" t="str">
        <f>IFERROR(VLOOKUP(Y9S1[[#This Row],[Player 3]],YEar9Table[],2,FALSE),"")</f>
        <v>TIER 3</v>
      </c>
      <c r="J78" s="153" t="str">
        <f>IFERROR(VLOOKUP(Y9S1[[#This Row],[Player 4]],YEar9Table[],2,FALSE),"")</f>
        <v/>
      </c>
      <c r="K78" s="159" t="str">
        <f>IFERROR(VLOOKUP(Y9S1[[#This Row],[Player 5]],YEar9Table[],2,FALSE),"")</f>
        <v/>
      </c>
      <c r="L78" s="40">
        <v>1</v>
      </c>
      <c r="M78" s="40">
        <v>1</v>
      </c>
      <c r="N78" s="40">
        <f>$L78+$M78</f>
        <v>2</v>
      </c>
      <c r="O78" s="50">
        <f>IFERROR(L78/(M78+L78),0)</f>
        <v>0.5</v>
      </c>
      <c r="P78" s="104">
        <f>(((Y9S1[[#This Row],[Wins]]*1.3)-Y9S1[[#This Row],[Losses]])/SUM(Y9S1[Games Played]))*10</f>
        <v>1.149425287356322E-2</v>
      </c>
      <c r="Q78" s="182"/>
      <c r="Y78" s="8" t="s">
        <v>165</v>
      </c>
      <c r="Z78" s="8">
        <v>1.1707320000000001</v>
      </c>
      <c r="AA78" s="8">
        <v>1.628571</v>
      </c>
      <c r="AB78" s="8">
        <v>54</v>
      </c>
      <c r="AC78" s="8">
        <v>59</v>
      </c>
      <c r="AD78" s="8">
        <v>69</v>
      </c>
      <c r="AE78" s="8">
        <v>44</v>
      </c>
      <c r="AF78" s="8">
        <v>63.366669999999999</v>
      </c>
      <c r="AG78" s="8">
        <v>60.261249999999997</v>
      </c>
      <c r="AH78" s="8">
        <v>23</v>
      </c>
      <c r="AI78" s="8">
        <v>17</v>
      </c>
      <c r="AJ78" s="8"/>
    </row>
    <row r="79" spans="1:36">
      <c r="A79" s="156" t="str">
        <f>_xlfn.TEXTJOIN(",",TRUE,_xlfn._xlws.SORT(_xlfn.TEXTSPLIT(_xlfn.TEXTJOIN(",",TRUE,_xlfn._xlws.SORT($B79:$F79, 1, -1, FALSE)),"WWWWW",",")))</f>
        <v>BoomerJet123,Chromius.TAMU,Glonk.MB,Kermitt.MB,TexAg21</v>
      </c>
      <c r="B79" s="153" t="s">
        <v>77</v>
      </c>
      <c r="C79" s="153" t="s">
        <v>162</v>
      </c>
      <c r="D79" s="153" t="s">
        <v>188</v>
      </c>
      <c r="E79" s="153" t="s">
        <v>118</v>
      </c>
      <c r="F79" s="153" t="s">
        <v>271</v>
      </c>
      <c r="G79" s="154" t="str">
        <f>IFERROR(VLOOKUP(Y9S1[[#This Row],[Player 1]],YEar9Table[],2,FALSE),0)</f>
        <v>TIER 1</v>
      </c>
      <c r="H79" s="162" t="str">
        <f>IFERROR(VLOOKUP(Y9S1[[#This Row],[Player 2]],YEar9Table[],2,FALSE),"")</f>
        <v>TIER 2</v>
      </c>
      <c r="I79" s="153" t="str">
        <f>IFERROR(VLOOKUP(Y9S1[[#This Row],[Player 3]],YEar9Table[],2,FALSE),"")</f>
        <v>TIER 8</v>
      </c>
      <c r="J79" s="153" t="str">
        <f>IFERROR(VLOOKUP(Y9S1[[#This Row],[Player 4]],YEar9Table[],2,FALSE),"")</f>
        <v>TIER 4</v>
      </c>
      <c r="K79" s="159" t="str">
        <f>IFERROR(VLOOKUP(Y9S1[[#This Row],[Player 5]],YEar9Table[],2,FALSE),"")</f>
        <v>TIER 8</v>
      </c>
      <c r="L79" s="40">
        <v>1</v>
      </c>
      <c r="M79" s="40">
        <v>1</v>
      </c>
      <c r="N79" s="40">
        <f>$L79+$M79</f>
        <v>2</v>
      </c>
      <c r="O79" s="50">
        <f>IFERROR(L79/(M79+L79),0)</f>
        <v>0.5</v>
      </c>
      <c r="P79" s="103">
        <f>(((Y9S1[[#This Row],[Wins]]*1.3)-Y9S1[[#This Row],[Losses]])/SUM(Y9S1[Games Played]))*10</f>
        <v>1.149425287356322E-2</v>
      </c>
      <c r="Q79" s="182"/>
      <c r="Y79" s="8" t="s">
        <v>190</v>
      </c>
      <c r="Z79" s="168"/>
      <c r="AA79" s="168"/>
      <c r="AB79" s="168"/>
      <c r="AC79" s="168"/>
      <c r="AD79" s="168"/>
      <c r="AE79" s="168"/>
      <c r="AF79" s="168"/>
      <c r="AG79" s="168"/>
      <c r="AH79" s="168"/>
      <c r="AI79" s="168"/>
      <c r="AJ79" s="8"/>
    </row>
    <row r="80" spans="1:36">
      <c r="A80" s="156" t="str">
        <f>_xlfn.TEXTJOIN(",",TRUE,_xlfn._xlws.SORT(_xlfn.TEXTSPLIT(_xlfn.TEXTJOIN(",",TRUE,_xlfn._xlws.SORT($B80:$F80, 1, -1, FALSE)),"WWWWW",",")))</f>
        <v>Boomerjet123,Chromius.TAMU,Fallen.Rqnger,Galahad21588,Koyeetchi</v>
      </c>
      <c r="B80" s="153" t="s">
        <v>77</v>
      </c>
      <c r="C80" s="153" t="s">
        <v>86</v>
      </c>
      <c r="D80" s="151" t="s">
        <v>144</v>
      </c>
      <c r="E80" s="153" t="s">
        <v>96</v>
      </c>
      <c r="F80" s="153" t="s">
        <v>109</v>
      </c>
      <c r="G80" s="154" t="str">
        <f>IFERROR(VLOOKUP(Y9S1[[#This Row],[Player 1]],YEar9Table[],2,FALSE),0)</f>
        <v>TIER 1</v>
      </c>
      <c r="H80" s="162" t="str">
        <f>IFERROR(VLOOKUP(Y9S1[[#This Row],[Player 2]],YEar9Table[],2,FALSE),"")</f>
        <v>TIER 7</v>
      </c>
      <c r="I80" s="153" t="str">
        <f>IFERROR(VLOOKUP(Y9S1[[#This Row],[Player 3]],YEar9Table[],2,FALSE),"")</f>
        <v>TIER 8</v>
      </c>
      <c r="J80" s="153" t="str">
        <f>IFERROR(VLOOKUP(Y9S1[[#This Row],[Player 4]],YEar9Table[],2,FALSE),"")</f>
        <v>TIER 3</v>
      </c>
      <c r="K80" s="159" t="str">
        <f>IFERROR(VLOOKUP(Y9S1[[#This Row],[Player 5]],YEar9Table[],2,FALSE),"")</f>
        <v>TIER 8</v>
      </c>
      <c r="L80" s="40">
        <v>2</v>
      </c>
      <c r="M80" s="40">
        <v>2</v>
      </c>
      <c r="N80" s="40">
        <f>$L80+$M80</f>
        <v>4</v>
      </c>
      <c r="O80" s="50">
        <f>IFERROR(L80/(M80+L80),0)</f>
        <v>0.5</v>
      </c>
      <c r="P80" s="104">
        <f>(((Y9S1[[#This Row],[Wins]]*1.3)-Y9S1[[#This Row],[Losses]])/SUM(Y9S1[Games Played]))*10</f>
        <v>2.298850574712644E-2</v>
      </c>
      <c r="Q80" s="182"/>
      <c r="Y80" s="194" t="s">
        <v>272</v>
      </c>
      <c r="Z80" s="8">
        <v>0.46710499999999999</v>
      </c>
      <c r="AA80" s="8">
        <v>0.504</v>
      </c>
      <c r="AB80" s="8">
        <v>79</v>
      </c>
      <c r="AC80" s="8">
        <v>111</v>
      </c>
      <c r="AD80" s="8">
        <v>97</v>
      </c>
      <c r="AE80" s="8">
        <v>85</v>
      </c>
      <c r="AF80" s="8">
        <v>30.664290000000001</v>
      </c>
      <c r="AG80" s="8">
        <v>46.242730000000002</v>
      </c>
      <c r="AH80" s="8">
        <v>33</v>
      </c>
      <c r="AI80" s="8">
        <v>37</v>
      </c>
      <c r="AJ80" s="8"/>
    </row>
    <row r="81" spans="1:36">
      <c r="A81" s="156" t="str">
        <f>_xlfn.TEXTJOIN(",",TRUE,_xlfn._xlws.SORT(_xlfn.TEXTSPLIT(_xlfn.TEXTJOIN(",",TRUE,_xlfn._xlws.SORT($B81:$F81, 1, -1, FALSE)),"WWWWW",",")))</f>
        <v>Glonk.MB,TexAg21</v>
      </c>
      <c r="B81" s="153" t="s">
        <v>162</v>
      </c>
      <c r="C81" s="153" t="s">
        <v>188</v>
      </c>
      <c r="D81" s="153"/>
      <c r="E81" s="153"/>
      <c r="F81" s="153"/>
      <c r="G81" s="154" t="str">
        <f>IFERROR(VLOOKUP(Y9S1[[#This Row],[Player 1]],YEar9Table[],2,FALSE),0)</f>
        <v>TIER 2</v>
      </c>
      <c r="H81" s="162" t="str">
        <f>IFERROR(VLOOKUP(Y9S1[[#This Row],[Player 2]],YEar9Table[],2,FALSE),"")</f>
        <v>TIER 8</v>
      </c>
      <c r="I81" s="153" t="str">
        <f>IFERROR(VLOOKUP(Y9S1[[#This Row],[Player 3]],YEar9Table[],2,FALSE),"")</f>
        <v/>
      </c>
      <c r="J81" s="153" t="str">
        <f>IFERROR(VLOOKUP(Y9S1[[#This Row],[Player 4]],YEar9Table[],2,FALSE),"")</f>
        <v/>
      </c>
      <c r="K81" s="159" t="str">
        <f>IFERROR(VLOOKUP(Y9S1[[#This Row],[Player 5]],YEar9Table[],2,FALSE),"")</f>
        <v/>
      </c>
      <c r="L81" s="40">
        <v>4</v>
      </c>
      <c r="M81" s="40">
        <v>8</v>
      </c>
      <c r="N81" s="40">
        <f>$L81+$M81</f>
        <v>12</v>
      </c>
      <c r="O81" s="50">
        <f>IFERROR(L81/(M81+L81),0)</f>
        <v>0.33333333333333331</v>
      </c>
      <c r="P81" s="103">
        <f>(((Y9S1[[#This Row],[Wins]]*1.3)-Y9S1[[#This Row],[Losses]])/SUM(Y9S1[Games Played]))*10</f>
        <v>-0.10727969348659003</v>
      </c>
      <c r="Q81" s="182"/>
      <c r="Y81" s="8" t="s">
        <v>186</v>
      </c>
      <c r="Z81" s="8">
        <v>0.43478299999999998</v>
      </c>
      <c r="AA81" s="8">
        <v>0.88</v>
      </c>
      <c r="AB81" s="8">
        <v>32</v>
      </c>
      <c r="AC81" s="8">
        <v>38</v>
      </c>
      <c r="AD81" s="8">
        <v>38</v>
      </c>
      <c r="AE81" s="8">
        <v>32</v>
      </c>
      <c r="AF81" s="8">
        <v>60.592500000000001</v>
      </c>
      <c r="AG81" s="8">
        <v>64.92</v>
      </c>
      <c r="AH81" s="8">
        <v>14</v>
      </c>
      <c r="AI81" s="8">
        <v>13</v>
      </c>
      <c r="AJ81" s="8"/>
    </row>
    <row r="82" spans="1:36">
      <c r="A82" s="156" t="str">
        <f>_xlfn.TEXTJOIN(",",TRUE,_xlfn._xlws.SORT(_xlfn.TEXTSPLIT(_xlfn.TEXTJOIN(",",TRUE,_xlfn._xlws.SORT($B82:$F82, 1, -1, FALSE)),"WWWWW",",")))</f>
        <v>Chromius.TAMU,Jamato32,Scamped.,Strugg1er.,Timythiccums.MB</v>
      </c>
      <c r="B82" s="153" t="s">
        <v>77</v>
      </c>
      <c r="C82" s="153" t="s">
        <v>245</v>
      </c>
      <c r="D82" s="153" t="s">
        <v>81</v>
      </c>
      <c r="E82" s="153" t="s">
        <v>111</v>
      </c>
      <c r="F82" s="153" t="s">
        <v>273</v>
      </c>
      <c r="G82" s="154" t="str">
        <f>IFERROR(VLOOKUP(Y9S1[[#This Row],[Player 1]],YEar9Table[],2,FALSE),0)</f>
        <v>TIER 1</v>
      </c>
      <c r="H82" s="162" t="str">
        <f>IFERROR(VLOOKUP(Y9S1[[#This Row],[Player 2]],YEar9Table[],2,FALSE),"")</f>
        <v>TIER 8</v>
      </c>
      <c r="I82" s="153" t="str">
        <f>IFERROR(VLOOKUP(Y9S1[[#This Row],[Player 3]],YEar9Table[],2,FALSE),"")</f>
        <v>TIER 6</v>
      </c>
      <c r="J82" s="153" t="str">
        <f>IFERROR(VLOOKUP(Y9S1[[#This Row],[Player 4]],YEar9Table[],2,FALSE),"")</f>
        <v>TIER 8</v>
      </c>
      <c r="K82" s="159" t="str">
        <f>IFERROR(VLOOKUP(Y9S1[[#This Row],[Player 5]],YEar9Table[],2,FALSE),"")</f>
        <v/>
      </c>
      <c r="L82" s="40">
        <v>2</v>
      </c>
      <c r="M82" s="40">
        <v>3</v>
      </c>
      <c r="N82" s="40">
        <f>$L82+$M82</f>
        <v>5</v>
      </c>
      <c r="O82" s="50">
        <f>IFERROR(L82/(M82+L82),0)</f>
        <v>0.4</v>
      </c>
      <c r="P82" s="103">
        <f>(((Y9S1[[#This Row],[Wins]]*1.3)-Y9S1[[#This Row],[Losses]])/SUM(Y9S1[Games Played]))*10</f>
        <v>-1.5325670498084287E-2</v>
      </c>
      <c r="Q82" s="182"/>
      <c r="Y82" s="8" t="s">
        <v>253</v>
      </c>
      <c r="Z82" s="168"/>
      <c r="AA82" s="168"/>
      <c r="AB82" s="168"/>
      <c r="AC82" s="168"/>
      <c r="AD82" s="168"/>
      <c r="AE82" s="168"/>
      <c r="AF82" s="168"/>
      <c r="AG82" s="168"/>
      <c r="AH82" s="168"/>
      <c r="AI82" s="168"/>
      <c r="AJ82" s="8"/>
    </row>
    <row r="83" spans="1:36">
      <c r="A83" s="156" t="str">
        <f>_xlfn.TEXTJOIN(",",TRUE,_xlfn._xlws.SORT(_xlfn.TEXTSPLIT(_xlfn.TEXTJOIN(",",TRUE,_xlfn._xlws.SORT($B83:$F83, 1, -1, FALSE)),"WWWWW",",")))</f>
        <v>Chromius.TAMU,Kermitt.MB,mason10_10,nobetterdough,Timythiccums.MB</v>
      </c>
      <c r="B83" s="153" t="s">
        <v>77</v>
      </c>
      <c r="C83" s="153" t="s">
        <v>81</v>
      </c>
      <c r="D83" s="153" t="s">
        <v>118</v>
      </c>
      <c r="E83" s="153" t="s">
        <v>179</v>
      </c>
      <c r="F83" s="153" t="s">
        <v>163</v>
      </c>
      <c r="G83" s="153" t="str">
        <f>IFERROR(VLOOKUP(Y9S1[[#This Row],[Player 1]],YEar9Table[],2,FALSE),0)</f>
        <v>TIER 1</v>
      </c>
      <c r="H83" s="162" t="str">
        <f>IFERROR(VLOOKUP(Y9S1[[#This Row],[Player 2]],YEar9Table[],2,FALSE),"")</f>
        <v>TIER 6</v>
      </c>
      <c r="I83" s="153" t="str">
        <f>IFERROR(VLOOKUP(Y9S1[[#This Row],[Player 3]],YEar9Table[],2,FALSE),"")</f>
        <v>TIER 4</v>
      </c>
      <c r="J83" s="153" t="str">
        <f>IFERROR(VLOOKUP(Y9S1[[#This Row],[Player 4]],YEar9Table[],2,FALSE),"")</f>
        <v>TIER 8</v>
      </c>
      <c r="K83" s="159" t="str">
        <f>IFERROR(VLOOKUP(Y9S1[[#This Row],[Player 5]],YEar9Table[],2,FALSE),"")</f>
        <v>TIER 8</v>
      </c>
      <c r="L83" s="40">
        <v>1</v>
      </c>
      <c r="M83" s="40">
        <v>2</v>
      </c>
      <c r="N83" s="40">
        <f>$L83+$M83</f>
        <v>3</v>
      </c>
      <c r="O83" s="50">
        <f>IFERROR(L83/(M83+L83),0)</f>
        <v>0.33333333333333331</v>
      </c>
      <c r="P83" s="104">
        <f>(((Y9S1[[#This Row],[Wins]]*1.3)-Y9S1[[#This Row],[Losses]])/SUM(Y9S1[Games Played]))*10</f>
        <v>-2.6819923371647507E-2</v>
      </c>
      <c r="Q83" s="182"/>
      <c r="Y83" s="84" t="s">
        <v>233</v>
      </c>
      <c r="Z83" s="8">
        <v>0.65217400000000003</v>
      </c>
      <c r="AA83" s="8">
        <v>0.96590900000000002</v>
      </c>
      <c r="AB83" s="8">
        <v>58</v>
      </c>
      <c r="AC83" s="8">
        <v>71</v>
      </c>
      <c r="AD83" s="8">
        <v>86</v>
      </c>
      <c r="AE83" s="8">
        <v>50</v>
      </c>
      <c r="AF83" s="8">
        <v>44.790669999999999</v>
      </c>
      <c r="AG83" s="8">
        <v>65.98733</v>
      </c>
      <c r="AH83" s="8">
        <v>29</v>
      </c>
      <c r="AI83" s="8">
        <v>17</v>
      </c>
      <c r="AJ83" s="8"/>
    </row>
    <row r="84" spans="1:36">
      <c r="A84" s="156" t="str">
        <f>_xlfn.TEXTJOIN(",",TRUE,_xlfn._xlws.SORT(_xlfn.TEXTSPLIT(_xlfn.TEXTJOIN(",",TRUE,_xlfn._xlws.SORT($B84:$F84, 1, -1, FALSE)),"WWWWW",",")))</f>
        <v>Chromius.TAMU,Coolrocket.TAMU,Glonk.MB,Kermitt.MB,Solias</v>
      </c>
      <c r="B84" s="153" t="s">
        <v>77</v>
      </c>
      <c r="C84" s="153" t="s">
        <v>162</v>
      </c>
      <c r="D84" s="153" t="s">
        <v>118</v>
      </c>
      <c r="E84" s="153" t="s">
        <v>138</v>
      </c>
      <c r="F84" s="153" t="s">
        <v>253</v>
      </c>
      <c r="G84" s="154" t="str">
        <f>IFERROR(VLOOKUP(Y9S1[[#This Row],[Player 1]],YEar9Table[],2,FALSE),0)</f>
        <v>TIER 1</v>
      </c>
      <c r="H84" s="162" t="str">
        <f>IFERROR(VLOOKUP(Y9S1[[#This Row],[Player 2]],YEar9Table[],2,FALSE),"")</f>
        <v>TIER 2</v>
      </c>
      <c r="I84" s="153" t="str">
        <f>IFERROR(VLOOKUP(Y9S1[[#This Row],[Player 3]],YEar9Table[],2,FALSE),"")</f>
        <v>TIER 4</v>
      </c>
      <c r="J84" s="153" t="str">
        <f>IFERROR(VLOOKUP(Y9S1[[#This Row],[Player 4]],YEar9Table[],2,FALSE),"")</f>
        <v>TIER 7</v>
      </c>
      <c r="K84" s="159" t="str">
        <f>IFERROR(VLOOKUP(Y9S1[[#This Row],[Player 5]],YEar9Table[],2,FALSE),"")</f>
        <v>TIER 8</v>
      </c>
      <c r="L84" s="40">
        <v>1</v>
      </c>
      <c r="M84" s="40">
        <v>2</v>
      </c>
      <c r="N84" s="40">
        <f>$L84+$M84</f>
        <v>3</v>
      </c>
      <c r="O84" s="50">
        <f>IFERROR(L84/(M84+L84),0)</f>
        <v>0.33333333333333331</v>
      </c>
      <c r="P84" s="104">
        <f>(((Y9S1[[#This Row],[Wins]]*1.3)-Y9S1[[#This Row],[Losses]])/SUM(Y9S1[Games Played]))*10</f>
        <v>-2.6819923371647507E-2</v>
      </c>
      <c r="Q84" s="182"/>
      <c r="Y84" s="164" t="s">
        <v>245</v>
      </c>
      <c r="Z84" s="8">
        <v>1.121429</v>
      </c>
      <c r="AA84" s="8">
        <v>1.3919999999999999</v>
      </c>
      <c r="AB84" s="8">
        <v>169</v>
      </c>
      <c r="AC84" s="8">
        <v>250</v>
      </c>
      <c r="AD84" s="8">
        <v>251</v>
      </c>
      <c r="AE84" s="8">
        <v>158</v>
      </c>
      <c r="AF84" s="8">
        <v>50.12321</v>
      </c>
      <c r="AG84" s="8">
        <v>65.539670000000001</v>
      </c>
      <c r="AH84" s="8">
        <v>77</v>
      </c>
      <c r="AI84" s="8">
        <v>80</v>
      </c>
      <c r="AJ84" s="8"/>
    </row>
    <row r="85" spans="1:36">
      <c r="A85" s="156" t="str">
        <f>_xlfn.TEXTJOIN(",",TRUE,_xlfn._xlws.SORT(_xlfn.TEXTSPLIT(_xlfn.TEXTJOIN(",",TRUE,_xlfn._xlws.SORT($B85:$F85, 1, -1, FALSE)),"WWWWW",",")))</f>
        <v>AkusNightmare,Chromius.TAMU,Kermitt.MB,PincheConcha,Viests.</v>
      </c>
      <c r="B85" s="153" t="s">
        <v>77</v>
      </c>
      <c r="C85" s="153" t="s">
        <v>91</v>
      </c>
      <c r="D85" s="153" t="s">
        <v>232</v>
      </c>
      <c r="E85" s="153" t="s">
        <v>118</v>
      </c>
      <c r="F85" s="153" t="s">
        <v>185</v>
      </c>
      <c r="G85" s="154" t="str">
        <f>IFERROR(VLOOKUP(Y9S1[[#This Row],[Player 1]],YEar9Table[],2,FALSE),0)</f>
        <v>TIER 1</v>
      </c>
      <c r="H85" s="162" t="str">
        <f>IFERROR(VLOOKUP(Y9S1[[#This Row],[Player 2]],YEar9Table[],2,FALSE),"")</f>
        <v>TIER 3</v>
      </c>
      <c r="I85" s="153" t="str">
        <f>IFERROR(VLOOKUP(Y9S1[[#This Row],[Player 3]],YEar9Table[],2,FALSE),"")</f>
        <v>TIER 7</v>
      </c>
      <c r="J85" s="153" t="str">
        <f>IFERROR(VLOOKUP(Y9S1[[#This Row],[Player 4]],YEar9Table[],2,FALSE),"")</f>
        <v>TIER 4</v>
      </c>
      <c r="K85" s="159" t="str">
        <f>IFERROR(VLOOKUP(Y9S1[[#This Row],[Player 5]],YEar9Table[],2,FALSE),"")</f>
        <v>TIER 7</v>
      </c>
      <c r="L85" s="40">
        <v>1</v>
      </c>
      <c r="M85" s="40">
        <v>2</v>
      </c>
      <c r="N85" s="40">
        <f>$L85+$M85</f>
        <v>3</v>
      </c>
      <c r="O85" s="50">
        <f>IFERROR(L85/(M85+L85),0)</f>
        <v>0.33333333333333331</v>
      </c>
      <c r="P85" s="104">
        <f>(((Y9S1[[#This Row],[Wins]]*1.3)-Y9S1[[#This Row],[Losses]])/SUM(Y9S1[Games Played]))*10</f>
        <v>-2.6819923371647507E-2</v>
      </c>
      <c r="Q85" s="182"/>
      <c r="Y85" s="166" t="s">
        <v>232</v>
      </c>
      <c r="Z85" s="8">
        <v>1.043668</v>
      </c>
      <c r="AA85" s="8">
        <v>0.95121999999999995</v>
      </c>
      <c r="AB85" s="8">
        <v>118</v>
      </c>
      <c r="AC85" s="8">
        <v>180</v>
      </c>
      <c r="AD85" s="8">
        <v>157</v>
      </c>
      <c r="AE85" s="8">
        <v>152</v>
      </c>
      <c r="AF85" s="8">
        <v>66.14067</v>
      </c>
      <c r="AG85" s="8">
        <v>50.819290000000002</v>
      </c>
      <c r="AH85" s="8">
        <v>49</v>
      </c>
      <c r="AI85" s="8">
        <v>61</v>
      </c>
      <c r="AJ85" s="8"/>
    </row>
    <row r="86" spans="1:36">
      <c r="A86" s="156" t="str">
        <f>_xlfn.TEXTJOIN(",",TRUE,_xlfn._xlws.SORT(_xlfn.TEXTSPLIT(_xlfn.TEXTJOIN(",",TRUE,_xlfn._xlws.SORT($B86:$F86, 1, -1, FALSE)),"WWWWW",",")))</f>
        <v>Chromius.TAMU,Glonk.MB,Kermitt.MB,Timythiccums.MB</v>
      </c>
      <c r="B86" s="153" t="s">
        <v>77</v>
      </c>
      <c r="C86" s="153" t="s">
        <v>162</v>
      </c>
      <c r="D86" s="153" t="s">
        <v>118</v>
      </c>
      <c r="E86" s="153" t="s">
        <v>81</v>
      </c>
      <c r="F86" s="153"/>
      <c r="G86" s="154" t="str">
        <f>IFERROR(VLOOKUP(Y9S1[[#This Row],[Player 1]],YEar9Table[],2,FALSE),0)</f>
        <v>TIER 1</v>
      </c>
      <c r="H86" s="162" t="str">
        <f>IFERROR(VLOOKUP(Y9S1[[#This Row],[Player 2]],YEar9Table[],2,FALSE),"")</f>
        <v>TIER 2</v>
      </c>
      <c r="I86" s="153" t="str">
        <f>IFERROR(VLOOKUP(Y9S1[[#This Row],[Player 3]],YEar9Table[],2,FALSE),"")</f>
        <v>TIER 4</v>
      </c>
      <c r="J86" s="153" t="str">
        <f>IFERROR(VLOOKUP(Y9S1[[#This Row],[Player 4]],YEar9Table[],2,FALSE),"")</f>
        <v>TIER 6</v>
      </c>
      <c r="K86" s="159" t="str">
        <f>IFERROR(VLOOKUP(Y9S1[[#This Row],[Player 5]],YEar9Table[],2,FALSE),"")</f>
        <v/>
      </c>
      <c r="L86" s="40">
        <v>2</v>
      </c>
      <c r="M86" s="40">
        <v>2</v>
      </c>
      <c r="N86" s="40">
        <f>$L86+$M86</f>
        <v>4</v>
      </c>
      <c r="O86" s="50">
        <f>IFERROR(L86/(M86+L86),0)</f>
        <v>0.5</v>
      </c>
      <c r="P86" s="103">
        <f>(((Y9S1[[#This Row],[Wins]]*1.3)-Y9S1[[#This Row],[Losses]])/SUM(Y9S1[Games Played]))*10</f>
        <v>2.298850574712644E-2</v>
      </c>
      <c r="Q86" s="182"/>
      <c r="Y86" s="8" t="s">
        <v>255</v>
      </c>
      <c r="Z86" s="168"/>
      <c r="AA86" s="168"/>
      <c r="AB86" s="168"/>
      <c r="AC86" s="168"/>
      <c r="AD86" s="168"/>
      <c r="AE86" s="168"/>
      <c r="AF86" s="168"/>
      <c r="AG86" s="168"/>
      <c r="AH86" s="168"/>
      <c r="AI86" s="168"/>
      <c r="AJ86" s="8"/>
    </row>
    <row r="87" spans="1:36">
      <c r="A87" s="156" t="str">
        <f>_xlfn.TEXTJOIN(",",TRUE,_xlfn._xlws.SORT(_xlfn.TEXTSPLIT(_xlfn.TEXTJOIN(",",TRUE,_xlfn._xlws.SORT($B87:$F87, 1, -1, FALSE)),"WWWWW",",")))</f>
        <v>Chromius.TAMU,Glonk.MB,nobetterdough,TexAg21</v>
      </c>
      <c r="B87" s="153" t="s">
        <v>77</v>
      </c>
      <c r="C87" s="153" t="s">
        <v>162</v>
      </c>
      <c r="D87" s="153" t="s">
        <v>188</v>
      </c>
      <c r="E87" s="153" t="s">
        <v>179</v>
      </c>
      <c r="F87" s="153"/>
      <c r="G87" s="154" t="str">
        <f>IFERROR(VLOOKUP(Y9S1[[#This Row],[Player 1]],YEar9Table[],2,FALSE),0)</f>
        <v>TIER 1</v>
      </c>
      <c r="H87" s="162" t="str">
        <f>IFERROR(VLOOKUP(Y9S1[[#This Row],[Player 2]],YEar9Table[],2,FALSE),"")</f>
        <v>TIER 2</v>
      </c>
      <c r="I87" s="153" t="str">
        <f>IFERROR(VLOOKUP(Y9S1[[#This Row],[Player 3]],YEar9Table[],2,FALSE),"")</f>
        <v>TIER 8</v>
      </c>
      <c r="J87" s="153" t="str">
        <f>IFERROR(VLOOKUP(Y9S1[[#This Row],[Player 4]],YEar9Table[],2,FALSE),"")</f>
        <v>TIER 8</v>
      </c>
      <c r="K87" s="159" t="str">
        <f>IFERROR(VLOOKUP(Y9S1[[#This Row],[Player 5]],YEar9Table[],2,FALSE),"")</f>
        <v/>
      </c>
      <c r="L87" s="40"/>
      <c r="M87" s="40">
        <v>1</v>
      </c>
      <c r="N87" s="40">
        <f>$L87+$M87</f>
        <v>1</v>
      </c>
      <c r="O87" s="50">
        <f>IFERROR(L87/(M87+L87),0)</f>
        <v>0</v>
      </c>
      <c r="P87" s="103">
        <f>(((Y9S1[[#This Row],[Wins]]*1.3)-Y9S1[[#This Row],[Losses]])/SUM(Y9S1[Games Played]))*10</f>
        <v>-3.8314176245210725E-2</v>
      </c>
      <c r="Q87" s="182"/>
      <c r="Y87" s="8" t="s">
        <v>234</v>
      </c>
      <c r="Z87" s="8">
        <v>0.826816</v>
      </c>
      <c r="AA87" s="8">
        <v>0.85014400000000001</v>
      </c>
      <c r="AB87" s="8">
        <v>209</v>
      </c>
      <c r="AC87" s="8">
        <v>288</v>
      </c>
      <c r="AD87" s="8">
        <v>271</v>
      </c>
      <c r="AE87" s="8">
        <v>211</v>
      </c>
      <c r="AF87" s="8">
        <v>60.425559999999997</v>
      </c>
      <c r="AG87" s="8">
        <v>36.022860000000001</v>
      </c>
      <c r="AH87" s="8">
        <v>82</v>
      </c>
      <c r="AI87" s="8">
        <v>86</v>
      </c>
      <c r="AJ87" s="8"/>
    </row>
    <row r="88" spans="1:36">
      <c r="A88" s="156" t="str">
        <f>_xlfn.TEXTJOIN(",",TRUE,_xlfn._xlws.SORT(_xlfn.TEXTSPLIT(_xlfn.TEXTJOIN(",",TRUE,_xlfn._xlws.SORT($B88:$F88, 1, -1, FALSE)),"WWWWW",",")))</f>
        <v>Chromius.TAMU,Glonk.MB,TexAg21</v>
      </c>
      <c r="B88" s="153" t="s">
        <v>77</v>
      </c>
      <c r="C88" s="153" t="s">
        <v>162</v>
      </c>
      <c r="D88" s="153" t="s">
        <v>188</v>
      </c>
      <c r="E88" s="153"/>
      <c r="F88" s="153"/>
      <c r="G88" s="154" t="str">
        <f>IFERROR(VLOOKUP(Y9S1[[#This Row],[Player 1]],YEar9Table[],2,FALSE),0)</f>
        <v>TIER 1</v>
      </c>
      <c r="H88" s="162" t="str">
        <f>IFERROR(VLOOKUP(Y9S1[[#This Row],[Player 2]],YEar9Table[],2,FALSE),"")</f>
        <v>TIER 2</v>
      </c>
      <c r="I88" s="153" t="str">
        <f>IFERROR(VLOOKUP(Y9S1[[#This Row],[Player 3]],YEar9Table[],2,FALSE),"")</f>
        <v>TIER 8</v>
      </c>
      <c r="J88" s="153" t="str">
        <f>IFERROR(VLOOKUP(Y9S1[[#This Row],[Player 4]],YEar9Table[],2,FALSE),"")</f>
        <v/>
      </c>
      <c r="K88" s="159" t="str">
        <f>IFERROR(VLOOKUP(Y9S1[[#This Row],[Player 5]],YEar9Table[],2,FALSE),"")</f>
        <v/>
      </c>
      <c r="L88" s="40">
        <v>3</v>
      </c>
      <c r="M88" s="40">
        <v>3</v>
      </c>
      <c r="N88" s="40">
        <f>$L88+$M88</f>
        <v>6</v>
      </c>
      <c r="O88" s="50">
        <f>IFERROR(L88/(M88+L88),0)</f>
        <v>0.5</v>
      </c>
      <c r="P88" s="103">
        <f>(((Y9S1[[#This Row],[Wins]]*1.3)-Y9S1[[#This Row],[Losses]])/SUM(Y9S1[Games Played]))*10</f>
        <v>3.4482758620689669E-2</v>
      </c>
      <c r="Q88" s="182"/>
      <c r="Y88" s="172" t="s">
        <v>246</v>
      </c>
      <c r="Z88" s="8">
        <v>0.92</v>
      </c>
      <c r="AA88" s="8">
        <v>1.1617649999999999</v>
      </c>
      <c r="AB88" s="8">
        <v>87</v>
      </c>
      <c r="AC88" s="8">
        <v>129</v>
      </c>
      <c r="AD88" s="8">
        <v>130</v>
      </c>
      <c r="AE88" s="8">
        <v>86</v>
      </c>
      <c r="AF88" s="8">
        <v>52.142220000000002</v>
      </c>
      <c r="AG88" s="8">
        <v>56.858890000000002</v>
      </c>
      <c r="AH88" s="8">
        <v>34</v>
      </c>
      <c r="AI88" s="8">
        <v>30</v>
      </c>
      <c r="AJ88" s="8"/>
    </row>
    <row r="89" spans="1:36">
      <c r="A89" s="156" t="str">
        <f>_xlfn.TEXTJOIN(",",TRUE,_xlfn._xlws.SORT(_xlfn.TEXTSPLIT(_xlfn.TEXTJOIN(",",TRUE,_xlfn._xlws.SORT($B89:$F89, 1, -1, FALSE)),"WWWWW",",")))</f>
        <v>Batman268,Chromius.TAMU,Joehashish.TAMU,PincheConcha,Solias</v>
      </c>
      <c r="B89" s="153" t="s">
        <v>77</v>
      </c>
      <c r="C89" s="153" t="s">
        <v>91</v>
      </c>
      <c r="D89" s="153" t="s">
        <v>265</v>
      </c>
      <c r="E89" s="153" t="s">
        <v>256</v>
      </c>
      <c r="F89" s="153" t="s">
        <v>253</v>
      </c>
      <c r="G89" s="154" t="str">
        <f>IFERROR(VLOOKUP(Y9S1[[#This Row],[Player 1]],YEar9Table[],2,FALSE),0)</f>
        <v>TIER 1</v>
      </c>
      <c r="H89" s="162" t="str">
        <f>IFERROR(VLOOKUP(Y9S1[[#This Row],[Player 2]],YEar9Table[],2,FALSE),"")</f>
        <v>TIER 3</v>
      </c>
      <c r="I89" s="153" t="str">
        <f>IFERROR(VLOOKUP(Y9S1[[#This Row],[Player 3]],YEar9Table[],2,FALSE),"")</f>
        <v>TIER 8</v>
      </c>
      <c r="J89" s="153" t="str">
        <f>IFERROR(VLOOKUP(Y9S1[[#This Row],[Player 4]],YEar9Table[],2,FALSE),"")</f>
        <v>TIER 8</v>
      </c>
      <c r="K89" s="159" t="str">
        <f>IFERROR(VLOOKUP(Y9S1[[#This Row],[Player 5]],YEar9Table[],2,FALSE),"")</f>
        <v>TIER 8</v>
      </c>
      <c r="L89" s="40">
        <v>1</v>
      </c>
      <c r="M89" s="40">
        <v>2</v>
      </c>
      <c r="N89" s="40">
        <f>$L89+$M89</f>
        <v>3</v>
      </c>
      <c r="O89" s="50">
        <f>IFERROR(L89/(M89+L89),0)</f>
        <v>0.33333333333333331</v>
      </c>
      <c r="P89" s="104">
        <f>(((Y9S1[[#This Row],[Wins]]*1.3)-Y9S1[[#This Row],[Losses]])/SUM(Y9S1[Games Played]))*10</f>
        <v>-2.6819923371647507E-2</v>
      </c>
      <c r="Q89" s="182"/>
      <c r="Y89" s="166" t="s">
        <v>248</v>
      </c>
      <c r="Z89" s="8">
        <v>0.58385100000000001</v>
      </c>
      <c r="AA89" s="8">
        <v>0.84931500000000004</v>
      </c>
      <c r="AB89" s="8">
        <v>89</v>
      </c>
      <c r="AC89" s="8">
        <v>122</v>
      </c>
      <c r="AD89" s="8">
        <v>111</v>
      </c>
      <c r="AE89" s="8">
        <v>88</v>
      </c>
      <c r="AF89" s="8">
        <v>54.171939999999999</v>
      </c>
      <c r="AG89" s="8">
        <v>58.722000000000001</v>
      </c>
      <c r="AH89" s="8">
        <v>34</v>
      </c>
      <c r="AI89" s="8">
        <v>36</v>
      </c>
      <c r="AJ89" s="8"/>
    </row>
    <row r="90" spans="1:36">
      <c r="A90" s="156" t="str">
        <f>_xlfn.TEXTJOIN(",",TRUE,_xlfn._xlws.SORT(_xlfn.TEXTSPLIT(_xlfn.TEXTJOIN(",",TRUE,_xlfn._xlws.SORT($B90:$F90, 1, -1, FALSE)),"WWWWW",",")))</f>
        <v>Chromius.TAMU,Glonk.MB,nobetterdough,Timythiccums.MB</v>
      </c>
      <c r="B90" s="153" t="s">
        <v>77</v>
      </c>
      <c r="C90" s="197" t="s">
        <v>162</v>
      </c>
      <c r="D90" s="153" t="s">
        <v>179</v>
      </c>
      <c r="E90" s="153" t="s">
        <v>81</v>
      </c>
      <c r="F90" s="153"/>
      <c r="G90" s="154" t="str">
        <f>IFERROR(VLOOKUP(Y9S1[[#This Row],[Player 1]],YEar9Table[],2,FALSE),0)</f>
        <v>TIER 1</v>
      </c>
      <c r="H90" s="162" t="str">
        <f>IFERROR(VLOOKUP(Y9S1[[#This Row],[Player 2]],YEar9Table[],2,FALSE),"")</f>
        <v>TIER 2</v>
      </c>
      <c r="I90" s="153" t="str">
        <f>IFERROR(VLOOKUP(Y9S1[[#This Row],[Player 3]],YEar9Table[],2,FALSE),"")</f>
        <v>TIER 8</v>
      </c>
      <c r="J90" s="153" t="str">
        <f>IFERROR(VLOOKUP(Y9S1[[#This Row],[Player 4]],YEar9Table[],2,FALSE),"")</f>
        <v>TIER 6</v>
      </c>
      <c r="K90" s="159" t="str">
        <f>IFERROR(VLOOKUP(Y9S1[[#This Row],[Player 5]],YEar9Table[],2,FALSE),"")</f>
        <v/>
      </c>
      <c r="L90" s="40">
        <v>1</v>
      </c>
      <c r="M90" s="40">
        <v>1</v>
      </c>
      <c r="N90" s="40">
        <f>$L90+$M90</f>
        <v>2</v>
      </c>
      <c r="O90" s="50">
        <f>IFERROR(L90/(M90+L90),0)</f>
        <v>0.5</v>
      </c>
      <c r="P90" s="104">
        <f>(((Y9S1[[#This Row],[Wins]]*1.3)-Y9S1[[#This Row],[Losses]])/SUM(Y9S1[Games Played]))*10</f>
        <v>1.149425287356322E-2</v>
      </c>
      <c r="Q90" s="182"/>
      <c r="Y90" s="8" t="s">
        <v>235</v>
      </c>
      <c r="Z90" s="8">
        <v>1.0208699999999999</v>
      </c>
      <c r="AA90" s="8">
        <v>1.503401</v>
      </c>
      <c r="AB90" s="8">
        <v>292</v>
      </c>
      <c r="AC90" s="8">
        <v>447</v>
      </c>
      <c r="AD90" s="8">
        <v>418</v>
      </c>
      <c r="AE90" s="8">
        <v>283</v>
      </c>
      <c r="AF90" s="8">
        <v>56.199719999999999</v>
      </c>
      <c r="AG90" s="8">
        <v>68.351470000000006</v>
      </c>
      <c r="AH90" s="8">
        <v>125</v>
      </c>
      <c r="AI90" s="8">
        <v>136</v>
      </c>
      <c r="AJ90" s="8"/>
    </row>
    <row r="91" spans="1:36">
      <c r="A91" s="156" t="str">
        <f>_xlfn.TEXTJOIN(",",TRUE,_xlfn._xlws.SORT(_xlfn.TEXTSPLIT(_xlfn.TEXTJOIN(",",TRUE,_xlfn._xlws.SORT($B91:$F91, 1, -1, FALSE)),"WWWWW",",")))</f>
        <v>Glonk.MB</v>
      </c>
      <c r="B91" s="153" t="s">
        <v>162</v>
      </c>
      <c r="C91" s="151"/>
      <c r="D91" s="151"/>
      <c r="E91" s="151"/>
      <c r="F91" s="151"/>
      <c r="G91" s="153" t="str">
        <f>IFERROR(VLOOKUP(Y9S1[[#This Row],[Player 1]],YEar9Table[],2,FALSE),0)</f>
        <v>TIER 2</v>
      </c>
      <c r="H91" s="162" t="str">
        <f>IFERROR(VLOOKUP(Y9S1[[#This Row],[Player 2]],YEar9Table[],2,FALSE),"")</f>
        <v/>
      </c>
      <c r="I91" s="153" t="str">
        <f>IFERROR(VLOOKUP(Y9S1[[#This Row],[Player 3]],YEar9Table[],2,FALSE),"")</f>
        <v/>
      </c>
      <c r="J91" s="153" t="str">
        <f>IFERROR(VLOOKUP(Y9S1[[#This Row],[Player 4]],YEar9Table[],2,FALSE),"")</f>
        <v/>
      </c>
      <c r="K91" s="159" t="str">
        <f>IFERROR(VLOOKUP(Y9S1[[#This Row],[Player 5]],YEar9Table[],2,FALSE),"")</f>
        <v/>
      </c>
      <c r="L91" s="40">
        <v>4</v>
      </c>
      <c r="M91" s="40">
        <v>10</v>
      </c>
      <c r="N91" s="40">
        <f>$L91+$M91</f>
        <v>14</v>
      </c>
      <c r="O91" s="50">
        <f>IFERROR(L91/(M91+L91),0)</f>
        <v>0.2857142857142857</v>
      </c>
      <c r="P91" s="103">
        <f>(((Y9S1[[#This Row],[Wins]]*1.3)-Y9S1[[#This Row],[Losses]])/SUM(Y9S1[Games Played]))*10</f>
        <v>-0.18390804597701149</v>
      </c>
      <c r="Q91" s="183" t="s">
        <v>274</v>
      </c>
      <c r="Y91" s="8" t="s">
        <v>250</v>
      </c>
      <c r="Z91" s="8"/>
      <c r="AA91" s="8"/>
      <c r="AB91" s="8"/>
      <c r="AC91" s="8"/>
      <c r="AD91" s="8"/>
      <c r="AE91" s="8"/>
      <c r="AF91" s="8"/>
      <c r="AG91" s="8"/>
      <c r="AH91" s="8"/>
      <c r="AI91" s="8"/>
      <c r="AJ91" s="8"/>
    </row>
    <row r="92" spans="1:36">
      <c r="A92" s="156" t="str">
        <f>_xlfn.TEXTJOIN(",",TRUE,_xlfn._xlws.SORT(_xlfn.TEXTSPLIT(_xlfn.TEXTJOIN(",",TRUE,_xlfn._xlws.SORT($B92:$F92, 1, -1, FALSE)),"WWWWW",",")))</f>
        <v>Chromius.TAMU,Fallen.Rqnger,Glonk.MB,TexAg21</v>
      </c>
      <c r="B92" s="153" t="s">
        <v>77</v>
      </c>
      <c r="C92" s="153" t="s">
        <v>162</v>
      </c>
      <c r="D92" s="151" t="s">
        <v>86</v>
      </c>
      <c r="E92" s="151" t="s">
        <v>188</v>
      </c>
      <c r="F92" s="151"/>
      <c r="G92" s="153" t="str">
        <f>IFERROR(VLOOKUP(Y9S1[[#This Row],[Player 1]],YEar9Table[],2,FALSE),0)</f>
        <v>TIER 1</v>
      </c>
      <c r="H92" s="162" t="str">
        <f>IFERROR(VLOOKUP(Y9S1[[#This Row],[Player 2]],YEar9Table[],2,FALSE),"")</f>
        <v>TIER 2</v>
      </c>
      <c r="I92" s="153" t="str">
        <f>IFERROR(VLOOKUP(Y9S1[[#This Row],[Player 3]],YEar9Table[],2,FALSE),"")</f>
        <v>TIER 7</v>
      </c>
      <c r="J92" s="153" t="str">
        <f>IFERROR(VLOOKUP(Y9S1[[#This Row],[Player 4]],YEar9Table[],2,FALSE),"")</f>
        <v>TIER 8</v>
      </c>
      <c r="K92" s="159" t="str">
        <f>IFERROR(VLOOKUP(Y9S1[[#This Row],[Player 5]],YEar9Table[],2,FALSE),"")</f>
        <v/>
      </c>
      <c r="L92" s="40">
        <v>1</v>
      </c>
      <c r="M92" s="40">
        <v>3</v>
      </c>
      <c r="N92" s="40">
        <f>$L92+$M92</f>
        <v>4</v>
      </c>
      <c r="O92" s="50">
        <f>IFERROR(L92/(M92+L92),0)</f>
        <v>0.25</v>
      </c>
      <c r="P92" s="104">
        <f>(((Y9S1[[#This Row],[Wins]]*1.3)-Y9S1[[#This Row],[Losses]])/SUM(Y9S1[Games Played]))*10</f>
        <v>-6.5134099616858232E-2</v>
      </c>
      <c r="Q92" s="182"/>
      <c r="Y92" s="8" t="s">
        <v>256</v>
      </c>
      <c r="Z92" s="8"/>
      <c r="AA92" s="8"/>
      <c r="AB92" s="8"/>
      <c r="AC92" s="8"/>
      <c r="AD92" s="8"/>
      <c r="AE92" s="8"/>
      <c r="AF92" s="8"/>
      <c r="AG92" s="8"/>
      <c r="AH92" s="8"/>
      <c r="AI92" s="8"/>
      <c r="AJ92" s="8"/>
    </row>
    <row r="93" spans="1:36" ht="24">
      <c r="A93" s="156" t="str">
        <f>_xlfn.TEXTJOIN(",",TRUE,_xlfn._xlws.SORT(_xlfn.TEXTSPLIT(_xlfn.TEXTJOIN(",",TRUE,_xlfn._xlws.SORT($B93:$F93, 1, -1, FALSE)),"WWWWW",",")))</f>
        <v>Chromius.TAMU,Elyidian,Glonk.MB,PincheConcha,TexAg21</v>
      </c>
      <c r="B93" s="153" t="s">
        <v>77</v>
      </c>
      <c r="C93" s="153" t="s">
        <v>162</v>
      </c>
      <c r="D93" s="151" t="s">
        <v>234</v>
      </c>
      <c r="E93" s="151" t="s">
        <v>188</v>
      </c>
      <c r="F93" s="151" t="s">
        <v>91</v>
      </c>
      <c r="G93" s="154" t="str">
        <f>IFERROR(VLOOKUP(Y9S1[[#This Row],[Player 1]],YEar9Table[],2,FALSE),0)</f>
        <v>TIER 1</v>
      </c>
      <c r="H93" s="162" t="str">
        <f>IFERROR(VLOOKUP(Y9S1[[#This Row],[Player 2]],YEar9Table[],2,FALSE),"")</f>
        <v>TIER 2</v>
      </c>
      <c r="I93" s="153" t="str">
        <f>IFERROR(VLOOKUP(Y9S1[[#This Row],[Player 3]],YEar9Table[],2,FALSE),"")</f>
        <v>TIER 8</v>
      </c>
      <c r="J93" s="153" t="str">
        <f>IFERROR(VLOOKUP(Y9S1[[#This Row],[Player 4]],YEar9Table[],2,FALSE),"")</f>
        <v>TIER 8</v>
      </c>
      <c r="K93" s="159" t="str">
        <f>IFERROR(VLOOKUP(Y9S1[[#This Row],[Player 5]],YEar9Table[],2,FALSE),"")</f>
        <v>TIER 3</v>
      </c>
      <c r="L93" s="40">
        <v>0</v>
      </c>
      <c r="M93" s="40">
        <v>5</v>
      </c>
      <c r="N93" s="40">
        <f>$L93+$M93</f>
        <v>5</v>
      </c>
      <c r="O93" s="50">
        <f>IFERROR(L93/(M93+L93),0)</f>
        <v>0</v>
      </c>
      <c r="P93" s="103">
        <f>(((Y9S1[[#This Row],[Wins]]*1.3)-Y9S1[[#This Row],[Losses]])/SUM(Y9S1[Games Played]))*10</f>
        <v>-0.19157088122605362</v>
      </c>
      <c r="Q93" s="182" t="s">
        <v>275</v>
      </c>
      <c r="Y93" s="84" t="s">
        <v>258</v>
      </c>
      <c r="Z93" s="8"/>
      <c r="AA93" s="8"/>
      <c r="AB93" s="8"/>
      <c r="AC93" s="8"/>
      <c r="AD93" s="8"/>
      <c r="AE93" s="8"/>
      <c r="AF93" s="8"/>
      <c r="AG93" s="8"/>
      <c r="AH93" s="8"/>
      <c r="AI93" s="8"/>
      <c r="AJ93" s="8"/>
    </row>
    <row r="94" spans="1:36">
      <c r="A94" s="156" t="str">
        <f>_xlfn.TEXTJOIN(",",TRUE,_xlfn._xlws.SORT(_xlfn.TEXTSPLIT(_xlfn.TEXTJOIN(",",TRUE,_xlfn._xlws.SORT($B94:$F94, 1, -1, FALSE)),"WWWWW",",")))</f>
        <v>Chromius.TAMU,Coolrocket.TAMU,Glonk.MB,nobetterdough,Timythiccums.MB</v>
      </c>
      <c r="B94" s="153" t="s">
        <v>77</v>
      </c>
      <c r="C94" s="153" t="s">
        <v>162</v>
      </c>
      <c r="D94" s="1" t="s">
        <v>138</v>
      </c>
      <c r="E94" s="151" t="s">
        <v>179</v>
      </c>
      <c r="F94" s="151" t="s">
        <v>81</v>
      </c>
      <c r="G94" s="153" t="str">
        <f>IFERROR(VLOOKUP(Y9S1[[#This Row],[Player 1]],YEar9Table[],2,FALSE),0)</f>
        <v>TIER 1</v>
      </c>
      <c r="H94" s="162" t="str">
        <f>IFERROR(VLOOKUP(Y9S1[[#This Row],[Player 2]],YEar9Table[],2,FALSE),"")</f>
        <v>TIER 2</v>
      </c>
      <c r="I94" s="153" t="str">
        <f>IFERROR(VLOOKUP(Y9S1[[#This Row],[Player 3]],YEar9Table[],2,FALSE),"")</f>
        <v>TIER 7</v>
      </c>
      <c r="J94" s="153" t="str">
        <f>IFERROR(VLOOKUP(Y9S1[[#This Row],[Player 4]],YEar9Table[],2,FALSE),"")</f>
        <v>TIER 8</v>
      </c>
      <c r="K94" s="159" t="str">
        <f>IFERROR(VLOOKUP(Y9S1[[#This Row],[Player 5]],YEar9Table[],2,FALSE),"")</f>
        <v>TIER 6</v>
      </c>
      <c r="L94" s="40">
        <v>0</v>
      </c>
      <c r="M94" s="40">
        <v>2</v>
      </c>
      <c r="N94" s="40">
        <f>$L94+$M94</f>
        <v>2</v>
      </c>
      <c r="O94" s="50">
        <f>IFERROR(L94/(M94+L94),0)</f>
        <v>0</v>
      </c>
      <c r="P94" s="104">
        <f>(((Y9S1[[#This Row],[Wins]]*1.3)-Y9S1[[#This Row],[Losses]])/SUM(Y9S1[Games Played]))*10</f>
        <v>-7.662835249042145E-2</v>
      </c>
      <c r="Q94" s="182"/>
      <c r="Y94" s="8" t="s">
        <v>259</v>
      </c>
      <c r="Z94" s="8"/>
      <c r="AA94" s="8"/>
      <c r="AB94" s="8"/>
      <c r="AC94" s="8"/>
      <c r="AD94" s="8"/>
      <c r="AE94" s="8"/>
      <c r="AF94" s="8"/>
      <c r="AG94" s="8"/>
      <c r="AH94" s="8"/>
      <c r="AI94" s="8"/>
      <c r="AJ94" s="8"/>
    </row>
    <row r="95" spans="1:36">
      <c r="A95" s="156" t="str">
        <f>_xlfn.TEXTJOIN(",",TRUE,_xlfn._xlws.SORT(_xlfn.TEXTSPLIT(_xlfn.TEXTJOIN(",",TRUE,_xlfn._xlws.SORT($B95:$F95, 1, -1, FALSE)),"WWWWW",",")))</f>
        <v>Chromius.TAMU,Glonk.MB,Kermitt.MB,nobetterdough,Timythiccums.MB</v>
      </c>
      <c r="B95" s="153" t="s">
        <v>77</v>
      </c>
      <c r="C95" s="153" t="s">
        <v>162</v>
      </c>
      <c r="D95" s="151" t="s">
        <v>118</v>
      </c>
      <c r="E95" s="151" t="s">
        <v>81</v>
      </c>
      <c r="F95" s="151" t="s">
        <v>179</v>
      </c>
      <c r="G95" s="153" t="str">
        <f>IFERROR(VLOOKUP(Y9S1[[#This Row],[Player 1]],YEar9Table[],2,FALSE),0)</f>
        <v>TIER 1</v>
      </c>
      <c r="H95" s="162" t="str">
        <f>IFERROR(VLOOKUP(Y9S1[[#This Row],[Player 2]],YEar9Table[],2,FALSE),"")</f>
        <v>TIER 2</v>
      </c>
      <c r="I95" s="153" t="str">
        <f>IFERROR(VLOOKUP(Y9S1[[#This Row],[Player 3]],YEar9Table[],2,FALSE),"")</f>
        <v>TIER 4</v>
      </c>
      <c r="J95" s="153" t="str">
        <f>IFERROR(VLOOKUP(Y9S1[[#This Row],[Player 4]],YEar9Table[],2,FALSE),"")</f>
        <v>TIER 6</v>
      </c>
      <c r="K95" s="159" t="str">
        <f>IFERROR(VLOOKUP(Y9S1[[#This Row],[Player 5]],YEar9Table[],2,FALSE),"")</f>
        <v>TIER 8</v>
      </c>
      <c r="L95" s="40">
        <v>0</v>
      </c>
      <c r="M95" s="40">
        <v>2</v>
      </c>
      <c r="N95" s="40">
        <f>$L95+$M95</f>
        <v>2</v>
      </c>
      <c r="O95" s="50">
        <f>IFERROR(L95/(M95+L95),0)</f>
        <v>0</v>
      </c>
      <c r="P95" s="103">
        <f>(((Y9S1[[#This Row],[Wins]]*1.3)-Y9S1[[#This Row],[Losses]])/SUM(Y9S1[Games Played]))*10</f>
        <v>-7.662835249042145E-2</v>
      </c>
      <c r="Q95" s="182"/>
      <c r="Y95" s="164" t="s">
        <v>260</v>
      </c>
      <c r="Z95" s="8"/>
      <c r="AA95" s="8"/>
      <c r="AB95" s="8"/>
      <c r="AC95" s="8"/>
      <c r="AD95" s="8"/>
      <c r="AE95" s="8"/>
      <c r="AF95" s="8"/>
      <c r="AG95" s="8"/>
      <c r="AH95" s="8"/>
      <c r="AI95" s="8"/>
      <c r="AJ95" s="8"/>
    </row>
    <row r="96" spans="1:36">
      <c r="A96" s="156" t="str">
        <f>_xlfn.TEXTJOIN(",",TRUE,_xlfn._xlws.SORT(_xlfn.TEXTSPLIT(_xlfn.TEXTJOIN(",",TRUE,_xlfn._xlws.SORT($B96:$F96, 1, -1, FALSE)),"WWWWW",",")))</f>
        <v>Chromius.TAMU,Kermitt.MB,nobetterdough,TexAg21,Timythiccums.MB</v>
      </c>
      <c r="B96" s="153" t="s">
        <v>77</v>
      </c>
      <c r="C96" s="153" t="s">
        <v>81</v>
      </c>
      <c r="D96" s="151" t="s">
        <v>118</v>
      </c>
      <c r="E96" s="151" t="s">
        <v>188</v>
      </c>
      <c r="F96" s="151" t="s">
        <v>179</v>
      </c>
      <c r="G96" s="153" t="str">
        <f>IFERROR(VLOOKUP(Y9S1[[#This Row],[Player 1]],YEar9Table[],2,FALSE),0)</f>
        <v>TIER 1</v>
      </c>
      <c r="H96" s="162" t="str">
        <f>IFERROR(VLOOKUP(Y9S1[[#This Row],[Player 2]],YEar9Table[],2,FALSE),"")</f>
        <v>TIER 6</v>
      </c>
      <c r="I96" s="153" t="str">
        <f>IFERROR(VLOOKUP(Y9S1[[#This Row],[Player 3]],YEar9Table[],2,FALSE),"")</f>
        <v>TIER 4</v>
      </c>
      <c r="J96" s="153" t="str">
        <f>IFERROR(VLOOKUP(Y9S1[[#This Row],[Player 4]],YEar9Table[],2,FALSE),"")</f>
        <v>TIER 8</v>
      </c>
      <c r="K96" s="159" t="str">
        <f>IFERROR(VLOOKUP(Y9S1[[#This Row],[Player 5]],YEar9Table[],2,FALSE),"")</f>
        <v>TIER 8</v>
      </c>
      <c r="L96" s="113">
        <v>0</v>
      </c>
      <c r="M96" s="113">
        <v>2</v>
      </c>
      <c r="N96" s="113">
        <f>$L96+$M96</f>
        <v>2</v>
      </c>
      <c r="O96" s="50">
        <f>IFERROR(L96/(M96+L96),0)</f>
        <v>0</v>
      </c>
      <c r="P96" s="104">
        <f>(((Y9S1[[#This Row],[Wins]]*1.3)-Y9S1[[#This Row],[Losses]])/SUM(Y9S1[Games Played]))*10</f>
        <v>-7.662835249042145E-2</v>
      </c>
      <c r="Q96" s="182"/>
    </row>
    <row r="97" spans="1:17">
      <c r="A97" s="156" t="str">
        <f>_xlfn.TEXTJOIN(",",TRUE,_xlfn._xlws.SORT(_xlfn.TEXTSPLIT(_xlfn.TEXTJOIN(",",TRUE,_xlfn._xlws.SORT($C97:$F97, 1, -1, FALSE)),"WWWWW",",")))</f>
        <v>Elyidian,mason10_10,nobetterdough,TexAg21</v>
      </c>
      <c r="B97" s="153" t="s">
        <v>77</v>
      </c>
      <c r="C97" s="151" t="s">
        <v>163</v>
      </c>
      <c r="D97" s="151" t="s">
        <v>234</v>
      </c>
      <c r="E97" s="151" t="s">
        <v>179</v>
      </c>
      <c r="F97" s="151" t="s">
        <v>188</v>
      </c>
      <c r="G97" s="154" t="str">
        <f>IFERROR(VLOOKUP(Y9S1[[#This Row],[Player 1]],YEar9Table[],2,FALSE),0)</f>
        <v>TIER 1</v>
      </c>
      <c r="H97" s="162" t="str">
        <f>IFERROR(VLOOKUP(Y9S1[[#This Row],[Player 2]],YEar9Table[],2,FALSE),"")</f>
        <v>TIER 8</v>
      </c>
      <c r="I97" s="153" t="str">
        <f>IFERROR(VLOOKUP(Y9S1[[#This Row],[Player 3]],YEar9Table[],2,FALSE),"")</f>
        <v>TIER 8</v>
      </c>
      <c r="J97" s="153" t="str">
        <f>IFERROR(VLOOKUP(Y9S1[[#This Row],[Player 4]],YEar9Table[],2,FALSE),"")</f>
        <v>TIER 8</v>
      </c>
      <c r="K97" s="159" t="str">
        <f>IFERROR(VLOOKUP(Y9S1[[#This Row],[Player 5]],YEar9Table[],2,FALSE),"")</f>
        <v>TIER 8</v>
      </c>
      <c r="L97" s="40">
        <v>0</v>
      </c>
      <c r="M97" s="40">
        <v>2</v>
      </c>
      <c r="N97" s="40">
        <f>$L97+$M97</f>
        <v>2</v>
      </c>
      <c r="O97" s="50">
        <f>IFERROR(L97/(M97+L97),0)</f>
        <v>0</v>
      </c>
      <c r="P97" s="104">
        <f>(((Y9S1[[#This Row],[Wins]]*1.3)-Y9S1[[#This Row],[Losses]])/SUM(Y9S1[Games Played]))*10</f>
        <v>-7.662835249042145E-2</v>
      </c>
      <c r="Q97" s="182"/>
    </row>
    <row r="98" spans="1:17">
      <c r="A98" s="156" t="str">
        <f>_xlfn.TEXTJOIN(",",TRUE,_xlfn._xlws.SORT(_xlfn.TEXTSPLIT(_xlfn.TEXTJOIN(",",TRUE,_xlfn._xlws.SORT($B98:$F98, 1, -1, FALSE)),"WWWWW",",")))</f>
        <v>Chromius.TAMU,Kermitt.MB,Strugg1er.,Timythiccums.MB</v>
      </c>
      <c r="B98" s="153" t="s">
        <v>77</v>
      </c>
      <c r="C98" s="151" t="s">
        <v>81</v>
      </c>
      <c r="D98" s="151" t="s">
        <v>118</v>
      </c>
      <c r="E98" s="151" t="s">
        <v>111</v>
      </c>
      <c r="F98" s="151"/>
      <c r="G98" s="153" t="str">
        <f>IFERROR(VLOOKUP(Y9S1[[#This Row],[Player 1]],YEar9Table[],2,FALSE),0)</f>
        <v>TIER 1</v>
      </c>
      <c r="H98" s="162" t="str">
        <f>IFERROR(VLOOKUP(Y9S1[[#This Row],[Player 2]],YEar9Table[],2,FALSE),"")</f>
        <v>TIER 6</v>
      </c>
      <c r="I98" s="153" t="str">
        <f>IFERROR(VLOOKUP(Y9S1[[#This Row],[Player 3]],YEar9Table[],2,FALSE),"")</f>
        <v>TIER 4</v>
      </c>
      <c r="J98" s="153" t="str">
        <f>IFERROR(VLOOKUP(Y9S1[[#This Row],[Player 4]],YEar9Table[],2,FALSE),"")</f>
        <v>TIER 8</v>
      </c>
      <c r="K98" s="159" t="str">
        <f>IFERROR(VLOOKUP(Y9S1[[#This Row],[Player 5]],YEar9Table[],2,FALSE),"")</f>
        <v/>
      </c>
      <c r="L98" s="40">
        <v>0</v>
      </c>
      <c r="M98" s="40">
        <v>2</v>
      </c>
      <c r="N98" s="40">
        <f>$L98+$M98</f>
        <v>2</v>
      </c>
      <c r="O98" s="50">
        <f>IFERROR(L98/(M98+L98),0)</f>
        <v>0</v>
      </c>
      <c r="P98" s="104">
        <f>(((Y9S1[[#This Row],[Wins]]*1.3)-Y9S1[[#This Row],[Losses]])/SUM(Y9S1[Games Played]))*10</f>
        <v>-7.662835249042145E-2</v>
      </c>
      <c r="Q98" s="182"/>
    </row>
    <row r="99" spans="1:17">
      <c r="A99" s="156" t="str">
        <f>_xlfn.TEXTJOIN(",",TRUE,_xlfn._xlws.SORT(_xlfn.TEXTSPLIT(_xlfn.TEXTJOIN(",",TRUE,_xlfn._xlws.SORT($B99:$F99, 1, -1, FALSE)),"WWWWW",",")))</f>
        <v>Elyidian,Glonk.MB,zhusch</v>
      </c>
      <c r="B99" s="153" t="s">
        <v>162</v>
      </c>
      <c r="C99" s="151" t="s">
        <v>234</v>
      </c>
      <c r="D99" s="191" t="s">
        <v>259</v>
      </c>
      <c r="E99" s="151"/>
      <c r="F99" s="151"/>
      <c r="G99" s="154" t="str">
        <f>IFERROR(VLOOKUP(Y9S1[[#This Row],[Player 1]],YEar9Table[],2,FALSE),0)</f>
        <v>TIER 2</v>
      </c>
      <c r="H99" s="162" t="str">
        <f>IFERROR(VLOOKUP(Y9S1[[#This Row],[Player 2]],YEar9Table[],2,FALSE),"")</f>
        <v>TIER 8</v>
      </c>
      <c r="I99" s="153" t="str">
        <f>IFERROR(VLOOKUP(Y9S1[[#This Row],[Player 3]],YEar9Table[],2,FALSE),"")</f>
        <v>TIER 8</v>
      </c>
      <c r="J99" s="153" t="str">
        <f>IFERROR(VLOOKUP(Y9S1[[#This Row],[Player 4]],YEar9Table[],2,FALSE),"")</f>
        <v/>
      </c>
      <c r="K99" s="159" t="str">
        <f>IFERROR(VLOOKUP(Y9S1[[#This Row],[Player 5]],YEar9Table[],2,FALSE),"")</f>
        <v/>
      </c>
      <c r="L99" s="40">
        <v>0</v>
      </c>
      <c r="M99" s="40">
        <v>1</v>
      </c>
      <c r="N99" s="40">
        <f>$L99+$M99</f>
        <v>1</v>
      </c>
      <c r="O99" s="50">
        <f>IFERROR(L99/(M99+L99),0)</f>
        <v>0</v>
      </c>
      <c r="P99" s="104">
        <f>(((Y9S1[[#This Row],[Wins]]*1.3)-Y9S1[[#This Row],[Losses]])/SUM(Y9S1[Games Played]))*10</f>
        <v>-3.8314176245210725E-2</v>
      </c>
      <c r="Q99" s="182" t="s">
        <v>261</v>
      </c>
    </row>
    <row r="100" spans="1:17">
      <c r="A100" s="156" t="str">
        <f>_xlfn.TEXTJOIN(",",TRUE,_xlfn._xlws.SORT(_xlfn.TEXTSPLIT(_xlfn.TEXTJOIN(",",TRUE,_xlfn._xlws.SORT($B100:$F100, 1, -1, FALSE)),"WWWWW",",")))</f>
        <v>Coolrocket.TAMU,Elyidian,Fallen.Rqnger,Glonk.MB,Timythiccums.MB</v>
      </c>
      <c r="B100" s="153" t="s">
        <v>138</v>
      </c>
      <c r="C100" s="151" t="s">
        <v>162</v>
      </c>
      <c r="D100" s="151" t="s">
        <v>86</v>
      </c>
      <c r="E100" s="151" t="s">
        <v>234</v>
      </c>
      <c r="F100" s="151" t="s">
        <v>81</v>
      </c>
      <c r="G100" s="154" t="str">
        <f>IFERROR(VLOOKUP(Y9S1[[#This Row],[Player 1]],YEar9Table[],2,FALSE),0)</f>
        <v>TIER 7</v>
      </c>
      <c r="H100" s="162" t="str">
        <f>IFERROR(VLOOKUP(Y9S1[[#This Row],[Player 2]],YEar9Table[],2,FALSE),"")</f>
        <v>TIER 2</v>
      </c>
      <c r="I100" s="153" t="str">
        <f>IFERROR(VLOOKUP(Y9S1[[#This Row],[Player 3]],YEar9Table[],2,FALSE),"")</f>
        <v>TIER 7</v>
      </c>
      <c r="J100" s="153" t="str">
        <f>IFERROR(VLOOKUP(Y9S1[[#This Row],[Player 4]],YEar9Table[],2,FALSE),"")</f>
        <v>TIER 8</v>
      </c>
      <c r="K100" s="159" t="str">
        <f>IFERROR(VLOOKUP(Y9S1[[#This Row],[Player 5]],YEar9Table[],2,FALSE),"")</f>
        <v>TIER 6</v>
      </c>
      <c r="L100" s="40">
        <v>0</v>
      </c>
      <c r="M100" s="40">
        <v>1</v>
      </c>
      <c r="N100" s="40">
        <f>$L100+$M100</f>
        <v>1</v>
      </c>
      <c r="O100" s="50">
        <f>IFERROR(L100/(M100+L100),0)</f>
        <v>0</v>
      </c>
      <c r="P100" s="104">
        <f>(((Y9S1[[#This Row],[Wins]]*1.3)-Y9S1[[#This Row],[Losses]])/SUM(Y9S1[Games Played]))*10</f>
        <v>-3.8314176245210725E-2</v>
      </c>
      <c r="Q100" s="182"/>
    </row>
    <row r="101" spans="1:17">
      <c r="A101" s="156" t="str">
        <f>_xlfn.TEXTJOIN(",",TRUE,_xlfn._xlws.SORT(_xlfn.TEXTSPLIT(_xlfn.TEXTJOIN(",",TRUE,_xlfn._xlws.SORT($B101:$F101, 1, -1, FALSE)),"WWWWW",",")))</f>
        <v>Elyidian,Glonk.MB,TexAg21</v>
      </c>
      <c r="B101" s="153" t="s">
        <v>162</v>
      </c>
      <c r="C101" s="151" t="s">
        <v>188</v>
      </c>
      <c r="D101" s="151" t="s">
        <v>234</v>
      </c>
      <c r="E101" s="151"/>
      <c r="F101" s="151"/>
      <c r="G101" s="154" t="str">
        <f>IFERROR(VLOOKUP(Y9S1[[#This Row],[Player 1]],YEar9Table[],2,FALSE),0)</f>
        <v>TIER 2</v>
      </c>
      <c r="H101" s="162" t="str">
        <f>IFERROR(VLOOKUP(Y9S1[[#This Row],[Player 2]],YEar9Table[],2,FALSE),"")</f>
        <v>TIER 8</v>
      </c>
      <c r="I101" s="153" t="str">
        <f>IFERROR(VLOOKUP(Y9S1[[#This Row],[Player 3]],YEar9Table[],2,FALSE),"")</f>
        <v>TIER 8</v>
      </c>
      <c r="J101" s="153" t="str">
        <f>IFERROR(VLOOKUP(Y9S1[[#This Row],[Player 4]],YEar9Table[],2,FALSE),"")</f>
        <v/>
      </c>
      <c r="K101" s="159" t="str">
        <f>IFERROR(VLOOKUP(Y9S1[[#This Row],[Player 5]],YEar9Table[],2,FALSE),"")</f>
        <v/>
      </c>
      <c r="L101" s="40">
        <v>0</v>
      </c>
      <c r="M101" s="40">
        <v>1</v>
      </c>
      <c r="N101" s="40">
        <f>$L101+$M101</f>
        <v>1</v>
      </c>
      <c r="O101" s="50">
        <f>IFERROR(L101/(M101+L101),0)</f>
        <v>0</v>
      </c>
      <c r="P101" s="104">
        <f>(((Y9S1[[#This Row],[Wins]]*1.3)-Y9S1[[#This Row],[Losses]])/SUM(Y9S1[Games Played]))*10</f>
        <v>-3.8314176245210725E-2</v>
      </c>
      <c r="Q101" s="182"/>
    </row>
    <row r="102" spans="1:17">
      <c r="A102" s="156" t="str">
        <f>_xlfn.TEXTJOIN(",",TRUE,_xlfn._xlws.SORT(_xlfn.TEXTSPLIT(_xlfn.TEXTJOIN(",",TRUE,_xlfn._xlws.SORT($B102:$F102, 1, -1, FALSE)),"WWWWW",",")))</f>
        <v>Colonizer.BU,Elyidian,Glonk.MB,Wh1pl4sh_117</v>
      </c>
      <c r="B102" s="151" t="s">
        <v>234</v>
      </c>
      <c r="C102" s="191" t="s">
        <v>248</v>
      </c>
      <c r="D102" s="151" t="s">
        <v>162</v>
      </c>
      <c r="E102" s="151" t="s">
        <v>154</v>
      </c>
      <c r="F102" s="151"/>
      <c r="G102" s="154" t="str">
        <f>IFERROR(VLOOKUP(Y9S1[[#This Row],[Player 1]],YEar9Table[],2,FALSE),0)</f>
        <v>TIER 8</v>
      </c>
      <c r="H102" s="162" t="str">
        <f>IFERROR(VLOOKUP(Y9S1[[#This Row],[Player 2]],YEar9Table[],2,FALSE),"")</f>
        <v>TIER 8</v>
      </c>
      <c r="I102" s="153" t="str">
        <f>IFERROR(VLOOKUP(Y9S1[[#This Row],[Player 3]],YEar9Table[],2,FALSE),"")</f>
        <v>TIER 2</v>
      </c>
      <c r="J102" s="153" t="str">
        <f>IFERROR(VLOOKUP(Y9S1[[#This Row],[Player 4]],YEar9Table[],2,FALSE),"")</f>
        <v>TIER 8</v>
      </c>
      <c r="K102" s="159" t="str">
        <f>IFERROR(VLOOKUP(Y9S1[[#This Row],[Player 5]],YEar9Table[],2,FALSE),"")</f>
        <v/>
      </c>
      <c r="L102" s="40">
        <v>0</v>
      </c>
      <c r="M102" s="40">
        <v>1</v>
      </c>
      <c r="N102" s="40">
        <f>$L102+$M102</f>
        <v>1</v>
      </c>
      <c r="O102" s="50">
        <f>IFERROR(L102/(M102+L102),0)</f>
        <v>0</v>
      </c>
      <c r="P102" s="103">
        <f>(((Y9S1[[#This Row],[Wins]]*1.3)-Y9S1[[#This Row],[Losses]])/SUM(Y9S1[Games Played]))*10</f>
        <v>-3.8314176245210725E-2</v>
      </c>
      <c r="Q102" s="182"/>
    </row>
    <row r="103" spans="1:17">
      <c r="A103" s="156" t="str">
        <f>_xlfn.TEXTJOIN(",",TRUE,_xlfn._xlws.SORT(_xlfn.TEXTSPLIT(_xlfn.TEXTJOIN(",",TRUE,_xlfn._xlws.SORT($B103:$F103, 1, -1, FALSE)),"WWWWW",",")))</f>
        <v>Colonizer.BU,Glonk.MB</v>
      </c>
      <c r="B103" s="153" t="s">
        <v>162</v>
      </c>
      <c r="C103" s="151" t="s">
        <v>154</v>
      </c>
      <c r="D103" s="151"/>
      <c r="E103" s="151"/>
      <c r="F103" s="151"/>
      <c r="G103" s="154" t="str">
        <f>IFERROR(VLOOKUP(Y9S1[[#This Row],[Player 1]],YEar9Table[],2,FALSE),0)</f>
        <v>TIER 2</v>
      </c>
      <c r="H103" s="162" t="str">
        <f>IFERROR(VLOOKUP(Y9S1[[#This Row],[Player 2]],YEar9Table[],2,FALSE),"")</f>
        <v>TIER 8</v>
      </c>
      <c r="I103" s="153" t="str">
        <f>IFERROR(VLOOKUP(Y9S1[[#This Row],[Player 3]],YEar9Table[],2,FALSE),"")</f>
        <v/>
      </c>
      <c r="J103" s="153" t="str">
        <f>IFERROR(VLOOKUP(Y9S1[[#This Row],[Player 4]],YEar9Table[],2,FALSE),"")</f>
        <v/>
      </c>
      <c r="K103" s="159" t="str">
        <f>IFERROR(VLOOKUP(Y9S1[[#This Row],[Player 5]],YEar9Table[],2,FALSE),"")</f>
        <v/>
      </c>
      <c r="L103" s="40">
        <v>0</v>
      </c>
      <c r="M103" s="40">
        <v>1</v>
      </c>
      <c r="N103" s="40">
        <f>$L103+$M103</f>
        <v>1</v>
      </c>
      <c r="O103" s="50">
        <f>IFERROR(L103/(M103+L103),0)</f>
        <v>0</v>
      </c>
      <c r="P103" s="104">
        <f>(((Y9S1[[#This Row],[Wins]]*1.3)-Y9S1[[#This Row],[Losses]])/SUM(Y9S1[Games Played]))*10</f>
        <v>-3.8314176245210725E-2</v>
      </c>
      <c r="Q103" s="182"/>
    </row>
    <row r="104" spans="1:17">
      <c r="A104" s="156" t="str">
        <f>_xlfn.TEXTJOIN(",",TRUE,_xlfn._xlws.SORT(_xlfn.TEXTSPLIT(_xlfn.TEXTJOIN(",",TRUE,_xlfn._xlws.SORT($B104:$F104, 1, -1, FALSE)),"WWWWW",",")))</f>
        <v>Boomerjet123,Chromius.TAMU,Coolrocket.TAMU,Galahad21588,Timythiccums.MB</v>
      </c>
      <c r="B104" s="151" t="s">
        <v>77</v>
      </c>
      <c r="C104" s="151" t="s">
        <v>96</v>
      </c>
      <c r="D104" s="153" t="s">
        <v>138</v>
      </c>
      <c r="E104" s="151" t="s">
        <v>109</v>
      </c>
      <c r="F104" s="151" t="s">
        <v>81</v>
      </c>
      <c r="G104" s="153" t="str">
        <f>IFERROR(VLOOKUP(Y9S1[[#This Row],[Player 1]],YEar9Table[],2,FALSE),0)</f>
        <v>TIER 1</v>
      </c>
      <c r="H104" s="162" t="str">
        <f>IFERROR(VLOOKUP(Y9S1[[#This Row],[Player 2]],YEar9Table[],2,FALSE),"")</f>
        <v>TIER 3</v>
      </c>
      <c r="I104" s="153" t="str">
        <f>IFERROR(VLOOKUP(Y9S1[[#This Row],[Player 3]],YEar9Table[],2,FALSE),"")</f>
        <v>TIER 7</v>
      </c>
      <c r="J104" s="153" t="str">
        <f>IFERROR(VLOOKUP(Y9S1[[#This Row],[Player 4]],YEar9Table[],2,FALSE),"")</f>
        <v>TIER 8</v>
      </c>
      <c r="K104" s="159" t="str">
        <f>IFERROR(VLOOKUP(Y9S1[[#This Row],[Player 5]],YEar9Table[],2,FALSE),"")</f>
        <v>TIER 6</v>
      </c>
      <c r="L104" s="40">
        <v>0</v>
      </c>
      <c r="M104" s="40">
        <v>1</v>
      </c>
      <c r="N104" s="40">
        <f>$L104+$M104</f>
        <v>1</v>
      </c>
      <c r="O104" s="50">
        <f>IFERROR(L104/(M104+L104),0)</f>
        <v>0</v>
      </c>
      <c r="P104" s="104">
        <f>(((Y9S1[[#This Row],[Wins]]*1.3)-Y9S1[[#This Row],[Losses]])/SUM(Y9S1[Games Played]))*10</f>
        <v>-3.8314176245210725E-2</v>
      </c>
      <c r="Q104" s="182"/>
    </row>
    <row r="105" spans="1:17">
      <c r="A105" s="156" t="str">
        <f>_xlfn.TEXTJOIN(",",TRUE,_xlfn._xlws.SORT(_xlfn.TEXTSPLIT(_xlfn.TEXTJOIN(",",TRUE,_xlfn._xlws.SORT($B105:$F105, 1, -1, FALSE)),"WWWWW",",")))</f>
        <v>Chromius.TAMU,Fallen.Rqnger,Glonk.MB,Viests.</v>
      </c>
      <c r="B105" s="151" t="s">
        <v>77</v>
      </c>
      <c r="C105" s="151" t="s">
        <v>162</v>
      </c>
      <c r="D105" s="151" t="s">
        <v>86</v>
      </c>
      <c r="E105" s="151" t="s">
        <v>185</v>
      </c>
      <c r="F105" s="151"/>
      <c r="G105" s="153" t="str">
        <f>IFERROR(VLOOKUP(Y9S1[[#This Row],[Player 1]],YEar9Table[],2,FALSE),0)</f>
        <v>TIER 1</v>
      </c>
      <c r="H105" s="162" t="str">
        <f>IFERROR(VLOOKUP(Y9S1[[#This Row],[Player 2]],YEar9Table[],2,FALSE),"")</f>
        <v>TIER 2</v>
      </c>
      <c r="I105" s="153" t="str">
        <f>IFERROR(VLOOKUP(Y9S1[[#This Row],[Player 3]],YEar9Table[],2,FALSE),"")</f>
        <v>TIER 7</v>
      </c>
      <c r="J105" s="153" t="str">
        <f>IFERROR(VLOOKUP(Y9S1[[#This Row],[Player 4]],YEar9Table[],2,FALSE),"")</f>
        <v>TIER 7</v>
      </c>
      <c r="K105" s="159" t="str">
        <f>IFERROR(VLOOKUP(Y9S1[[#This Row],[Player 5]],YEar9Table[],2,FALSE),"")</f>
        <v/>
      </c>
      <c r="L105" s="40">
        <v>0</v>
      </c>
      <c r="M105" s="40">
        <v>1</v>
      </c>
      <c r="N105" s="40">
        <f>$L105+$M105</f>
        <v>1</v>
      </c>
      <c r="O105" s="50">
        <f>IFERROR(L105/(M105+L105),0)</f>
        <v>0</v>
      </c>
      <c r="P105" s="104">
        <f>(((Y9S1[[#This Row],[Wins]]*1.3)-Y9S1[[#This Row],[Losses]])/SUM(Y9S1[Games Played]))*10</f>
        <v>-3.8314176245210725E-2</v>
      </c>
      <c r="Q105" s="182"/>
    </row>
    <row r="106" spans="1:17">
      <c r="A106" s="156" t="str">
        <f>_xlfn.TEXTJOIN(",",TRUE,_xlfn._xlws.SORT(_xlfn.TEXTSPLIT(_xlfn.TEXTJOIN(",",TRUE,_xlfn._xlws.SORT($B106:$F106, 1, -1, FALSE)),"WWWWW",",")))</f>
        <v>Chromius.TAMU,Glonk.MB,Jamato33,Viests.</v>
      </c>
      <c r="B106" s="151" t="s">
        <v>77</v>
      </c>
      <c r="C106" s="151" t="s">
        <v>162</v>
      </c>
      <c r="D106" s="151" t="s">
        <v>185</v>
      </c>
      <c r="E106" s="151" t="s">
        <v>233</v>
      </c>
      <c r="F106" s="151"/>
      <c r="G106" s="154" t="str">
        <f>IFERROR(VLOOKUP(Y9S1[[#This Row],[Player 1]],YEar9Table[],2,FALSE),0)</f>
        <v>TIER 1</v>
      </c>
      <c r="H106" s="162" t="str">
        <f>IFERROR(VLOOKUP(Y9S1[[#This Row],[Player 2]],YEar9Table[],2,FALSE),"")</f>
        <v>TIER 2</v>
      </c>
      <c r="I106" s="153" t="str">
        <f>IFERROR(VLOOKUP(Y9S1[[#This Row],[Player 3]],YEar9Table[],2,FALSE),"")</f>
        <v>TIER 7</v>
      </c>
      <c r="J106" s="153" t="str">
        <f>IFERROR(VLOOKUP(Y9S1[[#This Row],[Player 4]],YEar9Table[],2,FALSE),"")</f>
        <v>TIER 5</v>
      </c>
      <c r="K106" s="159" t="str">
        <f>IFERROR(VLOOKUP(Y9S1[[#This Row],[Player 5]],YEar9Table[],2,FALSE),"")</f>
        <v/>
      </c>
      <c r="L106" s="40">
        <v>0</v>
      </c>
      <c r="M106" s="40">
        <v>1</v>
      </c>
      <c r="N106" s="40">
        <f>$L106+$M106</f>
        <v>1</v>
      </c>
      <c r="O106" s="50">
        <f>IFERROR(L106/(M106+L106),0)</f>
        <v>0</v>
      </c>
      <c r="P106" s="103">
        <f>(((Y9S1[[#This Row],[Wins]]*1.3)-Y9S1[[#This Row],[Losses]])/SUM(Y9S1[Games Played]))*10</f>
        <v>-3.8314176245210725E-2</v>
      </c>
      <c r="Q106" s="182"/>
    </row>
    <row r="107" spans="1:17">
      <c r="A107" s="156" t="str">
        <f>_xlfn.TEXTJOIN(",",TRUE,_xlfn._xlws.SORT(_xlfn.TEXTSPLIT(_xlfn.TEXTJOIN(",",TRUE,_xlfn._xlws.SORT($B107:$F107, 1, -1, FALSE)),"WWWWW",",")))</f>
        <v>Boomerjet123,Chromius.TAMU,Fallen.Rqnger,Glonk.MB,TexAg21</v>
      </c>
      <c r="B107" s="151" t="s">
        <v>77</v>
      </c>
      <c r="C107" s="151" t="s">
        <v>162</v>
      </c>
      <c r="D107" s="151" t="s">
        <v>86</v>
      </c>
      <c r="E107" s="151" t="s">
        <v>109</v>
      </c>
      <c r="F107" s="151" t="s">
        <v>188</v>
      </c>
      <c r="G107" s="153" t="str">
        <f>IFERROR(VLOOKUP(Y9S1[[#This Row],[Player 1]],YEar9Table[],2,FALSE),0)</f>
        <v>TIER 1</v>
      </c>
      <c r="H107" s="162" t="str">
        <f>IFERROR(VLOOKUP(Y9S1[[#This Row],[Player 2]],YEar9Table[],2,FALSE),"")</f>
        <v>TIER 2</v>
      </c>
      <c r="I107" s="153" t="str">
        <f>IFERROR(VLOOKUP(Y9S1[[#This Row],[Player 3]],YEar9Table[],2,FALSE),"")</f>
        <v>TIER 7</v>
      </c>
      <c r="J107" s="153" t="str">
        <f>IFERROR(VLOOKUP(Y9S1[[#This Row],[Player 4]],YEar9Table[],2,FALSE),"")</f>
        <v>TIER 8</v>
      </c>
      <c r="K107" s="159" t="str">
        <f>IFERROR(VLOOKUP(Y9S1[[#This Row],[Player 5]],YEar9Table[],2,FALSE),"")</f>
        <v>TIER 8</v>
      </c>
      <c r="L107" s="40">
        <v>0</v>
      </c>
      <c r="M107" s="40">
        <v>1</v>
      </c>
      <c r="N107" s="40">
        <f>$L107+$M107</f>
        <v>1</v>
      </c>
      <c r="O107" s="50">
        <f>IFERROR(L107/(M107+L107),0)</f>
        <v>0</v>
      </c>
      <c r="P107" s="104">
        <f>(((Y9S1[[#This Row],[Wins]]*1.3)-Y9S1[[#This Row],[Losses]])/SUM(Y9S1[Games Played]))*10</f>
        <v>-3.8314176245210725E-2</v>
      </c>
      <c r="Q107" s="182"/>
    </row>
    <row r="108" spans="1:17">
      <c r="A108" s="156" t="str">
        <f>_xlfn.TEXTJOIN(",",TRUE,_xlfn._xlws.SORT(_xlfn.TEXTSPLIT(_xlfn.TEXTJOIN(",",TRUE,_xlfn._xlws.SORT($B108:$F108, 1, -1, FALSE)),"WWWWW",",")))</f>
        <v>Chromius.TAMU,Glonk.MB,NotLappland,Timythiccums.MB</v>
      </c>
      <c r="B108" s="151" t="s">
        <v>77</v>
      </c>
      <c r="C108" s="151" t="s">
        <v>162</v>
      </c>
      <c r="D108" s="151" t="s">
        <v>142</v>
      </c>
      <c r="E108" s="151" t="s">
        <v>81</v>
      </c>
      <c r="F108" s="151"/>
      <c r="G108" s="154" t="str">
        <f>IFERROR(VLOOKUP(Y9S1[[#This Row],[Player 1]],YEar9Table[],2,FALSE),0)</f>
        <v>TIER 1</v>
      </c>
      <c r="H108" s="162" t="str">
        <f>IFERROR(VLOOKUP(Y9S1[[#This Row],[Player 2]],YEar9Table[],2,FALSE),"")</f>
        <v>TIER 2</v>
      </c>
      <c r="I108" s="153" t="str">
        <f>IFERROR(VLOOKUP(Y9S1[[#This Row],[Player 3]],YEar9Table[],2,FALSE),"")</f>
        <v>TIER 8</v>
      </c>
      <c r="J108" s="153" t="str">
        <f>IFERROR(VLOOKUP(Y9S1[[#This Row],[Player 4]],YEar9Table[],2,FALSE),"")</f>
        <v>TIER 6</v>
      </c>
      <c r="K108" s="159" t="str">
        <f>IFERROR(VLOOKUP(Y9S1[[#This Row],[Player 5]],YEar9Table[],2,FALSE),"")</f>
        <v/>
      </c>
      <c r="L108" s="40">
        <v>0</v>
      </c>
      <c r="M108" s="40">
        <v>1</v>
      </c>
      <c r="N108" s="40">
        <f>$L108+$M108</f>
        <v>1</v>
      </c>
      <c r="O108" s="50">
        <f>IFERROR(L108/(M108+L108),0)</f>
        <v>0</v>
      </c>
      <c r="P108" s="103">
        <f>(((Y9S1[[#This Row],[Wins]]*1.3)-Y9S1[[#This Row],[Losses]])/SUM(Y9S1[Games Played]))*10</f>
        <v>-3.8314176245210725E-2</v>
      </c>
      <c r="Q108" s="182"/>
    </row>
    <row r="109" spans="1:17">
      <c r="A109" s="156" t="str">
        <f>_xlfn.TEXTJOIN(",",TRUE,_xlfn._xlws.SORT(_xlfn.TEXTSPLIT(_xlfn.TEXTJOIN(",",TRUE,_xlfn._xlws.SORT($B109:$F109, 1, -1, FALSE)),"WWWWW",",")))</f>
        <v>Chromius.TAMU,Glonk.MB,Jamato32,Strugg1er.,Timythiccums.MB</v>
      </c>
      <c r="B109" s="151" t="s">
        <v>77</v>
      </c>
      <c r="C109" s="151" t="s">
        <v>162</v>
      </c>
      <c r="D109" s="151" t="s">
        <v>81</v>
      </c>
      <c r="E109" s="151" t="s">
        <v>111</v>
      </c>
      <c r="F109" s="151" t="s">
        <v>273</v>
      </c>
      <c r="G109" s="154" t="str">
        <f>IFERROR(VLOOKUP(Y9S1[[#This Row],[Player 1]],YEar9Table[],2,FALSE),0)</f>
        <v>TIER 1</v>
      </c>
      <c r="H109" s="162" t="str">
        <f>IFERROR(VLOOKUP(Y9S1[[#This Row],[Player 2]],YEar9Table[],2,FALSE),"")</f>
        <v>TIER 2</v>
      </c>
      <c r="I109" s="153" t="str">
        <f>IFERROR(VLOOKUP(Y9S1[[#This Row],[Player 3]],YEar9Table[],2,FALSE),"")</f>
        <v>TIER 6</v>
      </c>
      <c r="J109" s="153" t="str">
        <f>IFERROR(VLOOKUP(Y9S1[[#This Row],[Player 4]],YEar9Table[],2,FALSE),"")</f>
        <v>TIER 8</v>
      </c>
      <c r="K109" s="159" t="str">
        <f>IFERROR(VLOOKUP(Y9S1[[#This Row],[Player 5]],YEar9Table[],2,FALSE),"")</f>
        <v/>
      </c>
      <c r="L109" s="40">
        <v>0</v>
      </c>
      <c r="M109" s="40">
        <v>1</v>
      </c>
      <c r="N109" s="40">
        <f>$L109+$M109</f>
        <v>1</v>
      </c>
      <c r="O109" s="50">
        <f>IFERROR(L109/(M109+L109),0)</f>
        <v>0</v>
      </c>
      <c r="P109" s="103">
        <f>(((Y9S1[[#This Row],[Wins]]*1.3)-Y9S1[[#This Row],[Losses]])/SUM(Y9S1[Games Played]))*10</f>
        <v>-3.8314176245210725E-2</v>
      </c>
      <c r="Q109" s="182"/>
    </row>
    <row r="110" spans="1:17">
      <c r="A110" s="156" t="str">
        <f>_xlfn.TEXTJOIN(",",TRUE,_xlfn._xlws.SORT(_xlfn.TEXTSPLIT(_xlfn.TEXTJOIN(",",TRUE,_xlfn._xlws.SORT($B110:$F110, 1, -1, FALSE)),"WWWWW",",")))</f>
        <v>Chromius.TAMU,Glonk.MB,Jamato33,Timythiccums.MB,Viests.</v>
      </c>
      <c r="B110" s="151" t="s">
        <v>77</v>
      </c>
      <c r="C110" s="151" t="s">
        <v>162</v>
      </c>
      <c r="D110" s="151" t="s">
        <v>81</v>
      </c>
      <c r="E110" s="151" t="s">
        <v>185</v>
      </c>
      <c r="F110" s="151" t="s">
        <v>233</v>
      </c>
      <c r="G110" s="154" t="str">
        <f>IFERROR(VLOOKUP(Y9S1[[#This Row],[Player 1]],YEar9Table[],2,FALSE),0)</f>
        <v>TIER 1</v>
      </c>
      <c r="H110" s="162" t="str">
        <f>IFERROR(VLOOKUP(Y9S1[[#This Row],[Player 2]],YEar9Table[],2,FALSE),"")</f>
        <v>TIER 2</v>
      </c>
      <c r="I110" s="153" t="str">
        <f>IFERROR(VLOOKUP(Y9S1[[#This Row],[Player 3]],YEar9Table[],2,FALSE),"")</f>
        <v>TIER 6</v>
      </c>
      <c r="J110" s="153" t="str">
        <f>IFERROR(VLOOKUP(Y9S1[[#This Row],[Player 4]],YEar9Table[],2,FALSE),"")</f>
        <v>TIER 7</v>
      </c>
      <c r="K110" s="159" t="str">
        <f>IFERROR(VLOOKUP(Y9S1[[#This Row],[Player 5]],YEar9Table[],2,FALSE),"")</f>
        <v>TIER 5</v>
      </c>
      <c r="L110" s="40">
        <v>0</v>
      </c>
      <c r="M110" s="40">
        <v>1</v>
      </c>
      <c r="N110" s="40">
        <f>$L110+$M110</f>
        <v>1</v>
      </c>
      <c r="O110" s="50">
        <f>IFERROR(L110/(M110+L110),0)</f>
        <v>0</v>
      </c>
      <c r="P110" s="103">
        <f>(((Y9S1[[#This Row],[Wins]]*1.3)-Y9S1[[#This Row],[Losses]])/SUM(Y9S1[Games Played]))*10</f>
        <v>-3.8314176245210725E-2</v>
      </c>
      <c r="Q110" s="182"/>
    </row>
    <row r="111" spans="1:17">
      <c r="A111" s="156" t="str">
        <f>_xlfn.TEXTJOIN(",",TRUE,_xlfn._xlws.SORT(_xlfn.TEXTSPLIT(_xlfn.TEXTJOIN(",",TRUE,_xlfn._xlws.SORT($B111:$F111, 1, -1, FALSE)),"WWWWW",",")))</f>
        <v>Chromius.TAMU,Colonizer.BU,Glonk.MB,Kermitt.MB,NotLappland</v>
      </c>
      <c r="B111" s="151" t="s">
        <v>77</v>
      </c>
      <c r="C111" s="151" t="s">
        <v>162</v>
      </c>
      <c r="D111" s="151" t="s">
        <v>118</v>
      </c>
      <c r="E111" s="151" t="s">
        <v>154</v>
      </c>
      <c r="F111" s="151" t="s">
        <v>142</v>
      </c>
      <c r="G111" s="154" t="str">
        <f>IFERROR(VLOOKUP(Y9S1[[#This Row],[Player 1]],YEar9Table[],2,FALSE),0)</f>
        <v>TIER 1</v>
      </c>
      <c r="H111" s="162" t="str">
        <f>IFERROR(VLOOKUP(Y9S1[[#This Row],[Player 2]],YEar9Table[],2,FALSE),"")</f>
        <v>TIER 2</v>
      </c>
      <c r="I111" s="153" t="str">
        <f>IFERROR(VLOOKUP(Y9S1[[#This Row],[Player 3]],YEar9Table[],2,FALSE),"")</f>
        <v>TIER 4</v>
      </c>
      <c r="J111" s="153" t="str">
        <f>IFERROR(VLOOKUP(Y9S1[[#This Row],[Player 4]],YEar9Table[],2,FALSE),"")</f>
        <v>TIER 8</v>
      </c>
      <c r="K111" s="159" t="str">
        <f>IFERROR(VLOOKUP(Y9S1[[#This Row],[Player 5]],YEar9Table[],2,FALSE),"")</f>
        <v>TIER 8</v>
      </c>
      <c r="L111" s="40">
        <v>0</v>
      </c>
      <c r="M111" s="40">
        <v>1</v>
      </c>
      <c r="N111" s="40">
        <f>$L111+$M111</f>
        <v>1</v>
      </c>
      <c r="O111" s="50">
        <f>IFERROR(L111/(M111+L111),0)</f>
        <v>0</v>
      </c>
      <c r="P111" s="103">
        <f>(((Y9S1[[#This Row],[Wins]]*1.3)-Y9S1[[#This Row],[Losses]])/SUM(Y9S1[Games Played]))*10</f>
        <v>-3.8314176245210725E-2</v>
      </c>
      <c r="Q111" s="182"/>
    </row>
    <row r="112" spans="1:17">
      <c r="A112" s="156" t="str">
        <f>_xlfn.TEXTJOIN(",",TRUE,_xlfn._xlws.SORT(_xlfn.TEXTSPLIT(_xlfn.TEXTJOIN(",",TRUE,_xlfn._xlws.SORT($B112:$F112, 1, -1, FALSE)),"WWWWW",",")))</f>
        <v>Blade2420,Chromius.TAMU,Galahad21588,Glonk.MB,Jamato33</v>
      </c>
      <c r="B112" s="151" t="s">
        <v>77</v>
      </c>
      <c r="C112" s="151" t="s">
        <v>162</v>
      </c>
      <c r="D112" s="151" t="s">
        <v>96</v>
      </c>
      <c r="E112" s="151" t="s">
        <v>233</v>
      </c>
      <c r="F112" s="151" t="s">
        <v>113</v>
      </c>
      <c r="G112" s="154" t="str">
        <f>IFERROR(VLOOKUP(Y9S1[[#This Row],[Player 1]],YEar9Table[],2,FALSE),0)</f>
        <v>TIER 1</v>
      </c>
      <c r="H112" s="162" t="str">
        <f>IFERROR(VLOOKUP(Y9S1[[#This Row],[Player 2]],YEar9Table[],2,FALSE),"")</f>
        <v>TIER 2</v>
      </c>
      <c r="I112" s="153" t="str">
        <f>IFERROR(VLOOKUP(Y9S1[[#This Row],[Player 3]],YEar9Table[],2,FALSE),"")</f>
        <v>TIER 3</v>
      </c>
      <c r="J112" s="153" t="str">
        <f>IFERROR(VLOOKUP(Y9S1[[#This Row],[Player 4]],YEar9Table[],2,FALSE),"")</f>
        <v>TIER 5</v>
      </c>
      <c r="K112" s="159" t="str">
        <f>IFERROR(VLOOKUP(Y9S1[[#This Row],[Player 5]],YEar9Table[],2,FALSE),"")</f>
        <v>TIER 6</v>
      </c>
      <c r="L112" s="40">
        <v>0</v>
      </c>
      <c r="M112" s="40">
        <v>1</v>
      </c>
      <c r="N112" s="40">
        <f>$L112+$M112</f>
        <v>1</v>
      </c>
      <c r="O112" s="50">
        <f>IFERROR(L112/(M112+L112),0)</f>
        <v>0</v>
      </c>
      <c r="P112" s="103">
        <f>(((Y9S1[[#This Row],[Wins]]*1.3)-Y9S1[[#This Row],[Losses]])/SUM(Y9S1[Games Played]))*10</f>
        <v>-3.8314176245210725E-2</v>
      </c>
      <c r="Q112" s="182"/>
    </row>
    <row r="113" spans="1:17">
      <c r="A113" s="156" t="str">
        <f>_xlfn.TEXTJOIN(",",TRUE,_xlfn._xlws.SORT(_xlfn.TEXTSPLIT(_xlfn.TEXTJOIN(",",TRUE,_xlfn._xlws.SORT($B113:$F113, 1, -1, FALSE)),"WWWWW",",")))</f>
        <v>Chromius.TAMU,Elyidian,Galahad21588,Jamato33,PincheConcha</v>
      </c>
      <c r="B113" s="153" t="s">
        <v>77</v>
      </c>
      <c r="C113" s="151" t="s">
        <v>91</v>
      </c>
      <c r="D113" s="151" t="s">
        <v>233</v>
      </c>
      <c r="E113" s="151" t="s">
        <v>96</v>
      </c>
      <c r="F113" s="151" t="s">
        <v>234</v>
      </c>
      <c r="G113" s="154" t="str">
        <f>IFERROR(VLOOKUP(Y9S1[[#This Row],[Player 1]],YEar9Table[],2,FALSE),0)</f>
        <v>TIER 1</v>
      </c>
      <c r="H113" s="162" t="str">
        <f>IFERROR(VLOOKUP(Y9S1[[#This Row],[Player 2]],YEar9Table[],2,FALSE),"")</f>
        <v>TIER 3</v>
      </c>
      <c r="I113" s="153" t="str">
        <f>IFERROR(VLOOKUP(Y9S1[[#This Row],[Player 3]],YEar9Table[],2,FALSE),"")</f>
        <v>TIER 5</v>
      </c>
      <c r="J113" s="153" t="str">
        <f>IFERROR(VLOOKUP(Y9S1[[#This Row],[Player 4]],YEar9Table[],2,FALSE),"")</f>
        <v>TIER 3</v>
      </c>
      <c r="K113" s="159" t="str">
        <f>IFERROR(VLOOKUP(Y9S1[[#This Row],[Player 5]],YEar9Table[],2,FALSE),"")</f>
        <v>TIER 8</v>
      </c>
      <c r="L113" s="40">
        <v>0</v>
      </c>
      <c r="M113" s="40">
        <v>1</v>
      </c>
      <c r="N113" s="40">
        <f>$L113+$M113</f>
        <v>1</v>
      </c>
      <c r="O113" s="50">
        <f>IFERROR(L113/(M113+L113),0)</f>
        <v>0</v>
      </c>
      <c r="P113" s="103">
        <f>(((Y9S1[[#This Row],[Wins]]*1.3)-Y9S1[[#This Row],[Losses]])/SUM(Y9S1[Games Played]))*10</f>
        <v>-3.8314176245210725E-2</v>
      </c>
      <c r="Q113" s="182"/>
    </row>
    <row r="114" spans="1:17">
      <c r="A114" s="156" t="str">
        <f>_xlfn.TEXTJOIN(",",TRUE,_xlfn._xlws.SORT(_xlfn.TEXTSPLIT(_xlfn.TEXTJOIN(",",TRUE,_xlfn._xlws.SORT($B114:$F114, 1, -1, FALSE)),"WWWWW",",")))</f>
        <v>Boomerjet123,Chromius.TAMU,Glonk.MB,PincheConcha,wisesteyes.TAMU</v>
      </c>
      <c r="B114" s="151" t="s">
        <v>77</v>
      </c>
      <c r="C114" s="151" t="s">
        <v>162</v>
      </c>
      <c r="D114" s="151" t="s">
        <v>109</v>
      </c>
      <c r="E114" s="151" t="s">
        <v>91</v>
      </c>
      <c r="F114" s="151" t="s">
        <v>276</v>
      </c>
      <c r="G114" s="154" t="str">
        <f>IFERROR(VLOOKUP(Y9S1[[#This Row],[Player 1]],YEar9Table[],2,FALSE),0)</f>
        <v>TIER 1</v>
      </c>
      <c r="H114" s="162" t="str">
        <f>IFERROR(VLOOKUP(Y9S1[[#This Row],[Player 2]],YEar9Table[],2,FALSE),"")</f>
        <v>TIER 2</v>
      </c>
      <c r="I114" s="153" t="str">
        <f>IFERROR(VLOOKUP(Y9S1[[#This Row],[Player 3]],YEar9Table[],2,FALSE),"")</f>
        <v>TIER 8</v>
      </c>
      <c r="J114" s="153" t="str">
        <f>IFERROR(VLOOKUP(Y9S1[[#This Row],[Player 4]],YEar9Table[],2,FALSE),"")</f>
        <v>TIER 3</v>
      </c>
      <c r="K114" s="159" t="str">
        <f>IFERROR(VLOOKUP(Y9S1[[#This Row],[Player 5]],YEar9Table[],2,FALSE),"")</f>
        <v/>
      </c>
      <c r="L114" s="40">
        <v>0</v>
      </c>
      <c r="M114" s="40">
        <v>1</v>
      </c>
      <c r="N114" s="40">
        <f>$L114+$M114</f>
        <v>1</v>
      </c>
      <c r="O114" s="50">
        <f>IFERROR(L114/(M114+L114),0)</f>
        <v>0</v>
      </c>
      <c r="P114" s="103">
        <f>(((Y9S1[[#This Row],[Wins]]*1.3)-Y9S1[[#This Row],[Losses]])/SUM(Y9S1[Games Played]))*10</f>
        <v>-3.8314176245210725E-2</v>
      </c>
      <c r="Q114" s="182"/>
    </row>
    <row r="115" spans="1:17">
      <c r="A115" s="156" t="str">
        <f>_xlfn.TEXTJOIN(",",TRUE,_xlfn._xlws.SORT(_xlfn.TEXTSPLIT(_xlfn.TEXTJOIN(",",TRUE,_xlfn._xlws.SORT($B115:$F115, 1, -1, FALSE)),"WWWWW",",")))</f>
        <v>Boomerjet123,Chromius.TAMU,Fallen.Rqnger,Glonk.MB</v>
      </c>
      <c r="B115" s="151" t="s">
        <v>77</v>
      </c>
      <c r="C115" s="151" t="s">
        <v>162</v>
      </c>
      <c r="D115" s="151" t="s">
        <v>86</v>
      </c>
      <c r="E115" s="151" t="s">
        <v>109</v>
      </c>
      <c r="F115" s="151"/>
      <c r="G115" s="153" t="str">
        <f>IFERROR(VLOOKUP(Y9S1[[#This Row],[Player 1]],YEar9Table[],2,FALSE),0)</f>
        <v>TIER 1</v>
      </c>
      <c r="H115" s="162" t="str">
        <f>IFERROR(VLOOKUP(Y9S1[[#This Row],[Player 2]],YEar9Table[],2,FALSE),"")</f>
        <v>TIER 2</v>
      </c>
      <c r="I115" s="153" t="str">
        <f>IFERROR(VLOOKUP(Y9S1[[#This Row],[Player 3]],YEar9Table[],2,FALSE),"")</f>
        <v>TIER 7</v>
      </c>
      <c r="J115" s="153" t="str">
        <f>IFERROR(VLOOKUP(Y9S1[[#This Row],[Player 4]],YEar9Table[],2,FALSE),"")</f>
        <v>TIER 8</v>
      </c>
      <c r="K115" s="159" t="str">
        <f>IFERROR(VLOOKUP(Y9S1[[#This Row],[Player 5]],YEar9Table[],2,FALSE),"")</f>
        <v/>
      </c>
      <c r="L115" s="40">
        <v>0</v>
      </c>
      <c r="M115" s="40">
        <v>1</v>
      </c>
      <c r="N115" s="40">
        <f>$L115+$M115</f>
        <v>1</v>
      </c>
      <c r="O115" s="50">
        <f>IFERROR(L115/(M115+L115),0)</f>
        <v>0</v>
      </c>
      <c r="P115" s="104">
        <f>(((Y9S1[[#This Row],[Wins]]*1.3)-Y9S1[[#This Row],[Losses]])/SUM(Y9S1[Games Played]))*10</f>
        <v>-3.8314176245210725E-2</v>
      </c>
      <c r="Q115" s="182"/>
    </row>
    <row r="116" spans="1:17">
      <c r="A116" s="156" t="str">
        <f>_xlfn.TEXTJOIN(",",TRUE,_xlfn._xlws.SORT(_xlfn.TEXTSPLIT(_xlfn.TEXTJOIN(",",TRUE,_xlfn._xlws.SORT($B116:$F116, 1, -1, FALSE)),"WWWWW",",")))</f>
        <v>Chromius.TAMU,Dlehard.,Elyidian,Glonk.MB,PincheConcha</v>
      </c>
      <c r="B116" s="153" t="s">
        <v>77</v>
      </c>
      <c r="C116" s="151" t="s">
        <v>91</v>
      </c>
      <c r="D116" s="151" t="s">
        <v>162</v>
      </c>
      <c r="E116" s="151" t="s">
        <v>234</v>
      </c>
      <c r="F116" s="151" t="s">
        <v>121</v>
      </c>
      <c r="G116" s="154" t="str">
        <f>IFERROR(VLOOKUP(Y9S1[[#This Row],[Player 1]],YEar9Table[],2,FALSE),0)</f>
        <v>TIER 1</v>
      </c>
      <c r="H116" s="162" t="str">
        <f>IFERROR(VLOOKUP(Y9S1[[#This Row],[Player 2]],YEar9Table[],2,FALSE),"")</f>
        <v>TIER 3</v>
      </c>
      <c r="I116" s="153" t="str">
        <f>IFERROR(VLOOKUP(Y9S1[[#This Row],[Player 3]],YEar9Table[],2,FALSE),"")</f>
        <v>TIER 2</v>
      </c>
      <c r="J116" s="153" t="str">
        <f>IFERROR(VLOOKUP(Y9S1[[#This Row],[Player 4]],YEar9Table[],2,FALSE),"")</f>
        <v>TIER 8</v>
      </c>
      <c r="K116" s="159" t="str">
        <f>IFERROR(VLOOKUP(Y9S1[[#This Row],[Player 5]],YEar9Table[],2,FALSE),"")</f>
        <v>TIER 7</v>
      </c>
      <c r="L116" s="40">
        <v>0</v>
      </c>
      <c r="M116" s="40">
        <v>1</v>
      </c>
      <c r="N116" s="40">
        <f>$L116+$M116</f>
        <v>1</v>
      </c>
      <c r="O116" s="50">
        <f>IFERROR(L116/(M116+L116),0)</f>
        <v>0</v>
      </c>
      <c r="P116" s="104">
        <f>(((Y9S1[[#This Row],[Wins]]*1.3)-Y9S1[[#This Row],[Losses]])/SUM(Y9S1[Games Played]))*10</f>
        <v>-3.8314176245210725E-2</v>
      </c>
      <c r="Q116" s="182"/>
    </row>
    <row r="117" spans="1:17">
      <c r="A117" s="156" t="str">
        <f>_xlfn.TEXTJOIN(",",TRUE,_xlfn._xlws.SORT(_xlfn.TEXTSPLIT(_xlfn.TEXTJOIN(",",TRUE,_xlfn._xlws.SORT($B117:$F117, 1, -1, FALSE)),"WWWWW",",")))</f>
        <v>Chromius.TAMU,Colonizer.BU,Glonk.MB,Kermitt.MB,PincheConcha</v>
      </c>
      <c r="B117" s="151" t="s">
        <v>77</v>
      </c>
      <c r="C117" s="151" t="s">
        <v>162</v>
      </c>
      <c r="D117" s="151" t="s">
        <v>91</v>
      </c>
      <c r="E117" s="151" t="s">
        <v>118</v>
      </c>
      <c r="F117" s="151" t="s">
        <v>154</v>
      </c>
      <c r="G117" s="154" t="str">
        <f>IFERROR(VLOOKUP(Y9S1[[#This Row],[Player 1]],YEar9Table[],2,FALSE),0)</f>
        <v>TIER 1</v>
      </c>
      <c r="H117" s="162" t="str">
        <f>IFERROR(VLOOKUP(Y9S1[[#This Row],[Player 2]],YEar9Table[],2,FALSE),"")</f>
        <v>TIER 2</v>
      </c>
      <c r="I117" s="153" t="str">
        <f>IFERROR(VLOOKUP(Y9S1[[#This Row],[Player 3]],YEar9Table[],2,FALSE),"")</f>
        <v>TIER 3</v>
      </c>
      <c r="J117" s="153" t="str">
        <f>IFERROR(VLOOKUP(Y9S1[[#This Row],[Player 4]],YEar9Table[],2,FALSE),"")</f>
        <v>TIER 4</v>
      </c>
      <c r="K117" s="159" t="str">
        <f>IFERROR(VLOOKUP(Y9S1[[#This Row],[Player 5]],YEar9Table[],2,FALSE),"")</f>
        <v>TIER 8</v>
      </c>
      <c r="L117" s="40">
        <v>0</v>
      </c>
      <c r="M117" s="40">
        <v>1</v>
      </c>
      <c r="N117" s="40">
        <f>$L117+$M117</f>
        <v>1</v>
      </c>
      <c r="O117" s="50">
        <f>IFERROR(L117/(M117+L117),0)</f>
        <v>0</v>
      </c>
      <c r="P117" s="103">
        <f>(((Y9S1[[#This Row],[Wins]]*1.3)-Y9S1[[#This Row],[Losses]])/SUM(Y9S1[Games Played]))*10</f>
        <v>-3.8314176245210725E-2</v>
      </c>
      <c r="Q117" s="182"/>
    </row>
    <row r="118" spans="1:17">
      <c r="A118" s="156" t="str">
        <f>_xlfn.TEXTJOIN(",",TRUE,_xlfn._xlws.SORT(_xlfn.TEXTSPLIT(_xlfn.TEXTJOIN(",",TRUE,_xlfn._xlws.SORT($B118:$F118, 1, -1, FALSE)),"WWWWW",",")))</f>
        <v>Chromius.TAMU,Fallen.Rqnger,Glonk.MB,Kermitt.MB,PincheConcha</v>
      </c>
      <c r="B118" s="151" t="s">
        <v>77</v>
      </c>
      <c r="C118" s="151" t="s">
        <v>86</v>
      </c>
      <c r="D118" s="151" t="s">
        <v>91</v>
      </c>
      <c r="E118" s="151" t="s">
        <v>118</v>
      </c>
      <c r="F118" s="151" t="s">
        <v>162</v>
      </c>
      <c r="G118" s="154" t="str">
        <f>IFERROR(VLOOKUP(Y9S1[[#This Row],[Player 1]],YEar9Table[],2,FALSE),0)</f>
        <v>TIER 1</v>
      </c>
      <c r="H118" s="162" t="str">
        <f>IFERROR(VLOOKUP(Y9S1[[#This Row],[Player 2]],YEar9Table[],2,FALSE),"")</f>
        <v>TIER 7</v>
      </c>
      <c r="I118" s="153" t="str">
        <f>IFERROR(VLOOKUP(Y9S1[[#This Row],[Player 3]],YEar9Table[],2,FALSE),"")</f>
        <v>TIER 3</v>
      </c>
      <c r="J118" s="153" t="str">
        <f>IFERROR(VLOOKUP(Y9S1[[#This Row],[Player 4]],YEar9Table[],2,FALSE),"")</f>
        <v>TIER 4</v>
      </c>
      <c r="K118" s="159" t="str">
        <f>IFERROR(VLOOKUP(Y9S1[[#This Row],[Player 5]],YEar9Table[],2,FALSE),"")</f>
        <v>TIER 2</v>
      </c>
      <c r="L118" s="40">
        <v>0</v>
      </c>
      <c r="M118" s="40">
        <v>1</v>
      </c>
      <c r="N118" s="40">
        <f>$L118+$M118</f>
        <v>1</v>
      </c>
      <c r="O118" s="50">
        <f>IFERROR(L118/(M118+L118),0)</f>
        <v>0</v>
      </c>
      <c r="P118" s="103">
        <f>(((Y9S1[[#This Row],[Wins]]*1.3)-Y9S1[[#This Row],[Losses]])/SUM(Y9S1[Games Played]))*10</f>
        <v>-3.8314176245210725E-2</v>
      </c>
      <c r="Q118" s="182"/>
    </row>
    <row r="119" spans="1:17" ht="24">
      <c r="A119" s="156" t="str">
        <f>_xlfn.TEXTJOIN(",",TRUE,_xlfn._xlws.SORT(_xlfn.TEXTSPLIT(_xlfn.TEXTJOIN(",",TRUE,_xlfn._xlws.SORT($B119:$F119, 1, -1, FALSE)),"WWWWW",",")))</f>
        <v>Chromius.TAMU,Dlehard.,Glonk.MB,Kermitt.MB,PincheConcha</v>
      </c>
      <c r="B119" s="151" t="s">
        <v>77</v>
      </c>
      <c r="C119" s="151" t="s">
        <v>91</v>
      </c>
      <c r="D119" s="153" t="s">
        <v>121</v>
      </c>
      <c r="E119" s="151" t="s">
        <v>118</v>
      </c>
      <c r="F119" s="151" t="s">
        <v>162</v>
      </c>
      <c r="G119" s="154" t="str">
        <f>IFERROR(VLOOKUP(Y9S1[[#This Row],[Player 1]],YEar9Table[],2,FALSE),0)</f>
        <v>TIER 1</v>
      </c>
      <c r="H119" s="162" t="str">
        <f>IFERROR(VLOOKUP(Y9S1[[#This Row],[Player 2]],YEar9Table[],2,FALSE),"")</f>
        <v>TIER 3</v>
      </c>
      <c r="I119" s="153" t="str">
        <f>IFERROR(VLOOKUP(Y9S1[[#This Row],[Player 3]],YEar9Table[],2,FALSE),"")</f>
        <v>TIER 7</v>
      </c>
      <c r="J119" s="153" t="str">
        <f>IFERROR(VLOOKUP(Y9S1[[#This Row],[Player 4]],YEar9Table[],2,FALSE),"")</f>
        <v>TIER 4</v>
      </c>
      <c r="K119" s="159" t="str">
        <f>IFERROR(VLOOKUP(Y9S1[[#This Row],[Player 5]],YEar9Table[],2,FALSE),"")</f>
        <v>TIER 2</v>
      </c>
      <c r="L119" s="40">
        <v>0</v>
      </c>
      <c r="M119" s="40">
        <v>1</v>
      </c>
      <c r="N119" s="40">
        <f>$L119+$M119</f>
        <v>1</v>
      </c>
      <c r="O119" s="50">
        <f>IFERROR(L119/(M119+L119),0)</f>
        <v>0</v>
      </c>
      <c r="P119" s="103">
        <f>(((Y9S1[[#This Row],[Wins]]*1.3)-Y9S1[[#This Row],[Losses]])/SUM(Y9S1[Games Played]))*10</f>
        <v>-3.8314176245210725E-2</v>
      </c>
      <c r="Q119" s="182" t="s">
        <v>277</v>
      </c>
    </row>
    <row r="120" spans="1:17">
      <c r="A120" s="156" t="str">
        <f>_xlfn.TEXTJOIN(",",TRUE,_xlfn._xlws.SORT(_xlfn.TEXTSPLIT(_xlfn.TEXTJOIN(",",TRUE,_xlfn._xlws.SORT($B120:$F120, 1, -1, FALSE)),"WWWWW",",")))</f>
        <v>Chromius.TAMU,Jamato33,Koyeetchi</v>
      </c>
      <c r="B120" s="153" t="s">
        <v>77</v>
      </c>
      <c r="C120" s="151" t="s">
        <v>233</v>
      </c>
      <c r="D120" s="153" t="s">
        <v>144</v>
      </c>
      <c r="E120" s="153"/>
      <c r="F120" s="153"/>
      <c r="G120" s="154" t="str">
        <f>IFERROR(VLOOKUP(Y9S1[[#This Row],[Player 1]],YEar9Table[],2,FALSE),0)</f>
        <v>TIER 1</v>
      </c>
      <c r="H120" s="162" t="str">
        <f>IFERROR(VLOOKUP(Y9S1[[#This Row],[Player 2]],YEar9Table[],2,FALSE),"")</f>
        <v>TIER 5</v>
      </c>
      <c r="I120" s="153" t="str">
        <f>IFERROR(VLOOKUP(Y9S1[[#This Row],[Player 3]],YEar9Table[],2,FALSE),"")</f>
        <v>TIER 8</v>
      </c>
      <c r="J120" s="153" t="str">
        <f>IFERROR(VLOOKUP(Y9S1[[#This Row],[Player 4]],YEar9Table[],2,FALSE),"")</f>
        <v/>
      </c>
      <c r="K120" s="159" t="str">
        <f>IFERROR(VLOOKUP(Y9S1[[#This Row],[Player 5]],YEar9Table[],2,FALSE),"")</f>
        <v/>
      </c>
      <c r="L120" s="40">
        <v>0</v>
      </c>
      <c r="M120" s="40">
        <v>1</v>
      </c>
      <c r="N120" s="40">
        <f>$L120+$M120</f>
        <v>1</v>
      </c>
      <c r="O120" s="50">
        <f>IFERROR(L120/(M120+L120),0)</f>
        <v>0</v>
      </c>
      <c r="P120" s="104">
        <f>(((Y9S1[[#This Row],[Wins]]*1.3)-Y9S1[[#This Row],[Losses]])/SUM(Y9S1[Games Played]))*10</f>
        <v>-3.8314176245210725E-2</v>
      </c>
      <c r="Q120" s="182" t="s">
        <v>278</v>
      </c>
    </row>
    <row r="121" spans="1:17">
      <c r="A121" s="156" t="str">
        <f>_xlfn.TEXTJOIN(",",TRUE,_xlfn._xlws.SORT(_xlfn.TEXTSPLIT(_xlfn.TEXTJOIN(",",TRUE,_xlfn._xlws.SORT($B121:$F121, 1, -1, FALSE)),"WWWWW",",")))</f>
        <v>Chromius.TAMU,Elyidian,Koyeetchi,Timythiccums.MB</v>
      </c>
      <c r="B121" s="151" t="s">
        <v>77</v>
      </c>
      <c r="C121" s="1" t="s">
        <v>144</v>
      </c>
      <c r="D121" s="153" t="s">
        <v>81</v>
      </c>
      <c r="E121" s="151" t="s">
        <v>234</v>
      </c>
      <c r="F121" s="153"/>
      <c r="G121" s="154" t="str">
        <f>IFERROR(VLOOKUP(Y9S1[[#This Row],[Player 1]],YEar9Table[],2,FALSE),0)</f>
        <v>TIER 1</v>
      </c>
      <c r="H121" s="162" t="str">
        <f>IFERROR(VLOOKUP(Y9S1[[#This Row],[Player 2]],YEar9Table[],2,FALSE),"")</f>
        <v>TIER 8</v>
      </c>
      <c r="I121" s="153" t="str">
        <f>IFERROR(VLOOKUP(Y9S1[[#This Row],[Player 3]],YEar9Table[],2,FALSE),"")</f>
        <v>TIER 6</v>
      </c>
      <c r="J121" s="153" t="str">
        <f>IFERROR(VLOOKUP(Y9S1[[#This Row],[Player 4]],YEar9Table[],2,FALSE),"")</f>
        <v>TIER 8</v>
      </c>
      <c r="K121" s="159" t="str">
        <f>IFERROR(VLOOKUP(Y9S1[[#This Row],[Player 5]],YEar9Table[],2,FALSE),"")</f>
        <v/>
      </c>
      <c r="L121" s="40">
        <v>0</v>
      </c>
      <c r="M121" s="40">
        <v>1</v>
      </c>
      <c r="N121" s="40">
        <f>$L121+$M121</f>
        <v>1</v>
      </c>
      <c r="O121" s="50">
        <f>IFERROR(L121/(M121+L121),0)</f>
        <v>0</v>
      </c>
      <c r="P121" s="104">
        <f>(((Y9S1[[#This Row],[Wins]]*1.3)-Y9S1[[#This Row],[Losses]])/SUM(Y9S1[Games Played]))*10</f>
        <v>-3.8314176245210725E-2</v>
      </c>
      <c r="Q121" s="182"/>
    </row>
    <row r="122" spans="1:17">
      <c r="A122" s="156" t="str">
        <f>_xlfn.TEXTJOIN(",",TRUE,_xlfn._xlws.SORT(_xlfn.TEXTSPLIT(_xlfn.TEXTJOIN(",",TRUE,_xlfn._xlws.SORT($B122:$F122, 1, -1, FALSE)),"WWWWW",",")))</f>
        <v>Chromius.TAMU,Elyidian,Glonk.MB,Koyeetchi</v>
      </c>
      <c r="B122" s="151" t="s">
        <v>77</v>
      </c>
      <c r="C122" s="151" t="s">
        <v>144</v>
      </c>
      <c r="D122" s="151" t="s">
        <v>162</v>
      </c>
      <c r="E122" s="151" t="s">
        <v>234</v>
      </c>
      <c r="F122" s="151"/>
      <c r="G122" s="154" t="str">
        <f>IFERROR(VLOOKUP(Y9S1[[#This Row],[Player 1]],YEar9Table[],2,FALSE),0)</f>
        <v>TIER 1</v>
      </c>
      <c r="H122" s="162" t="str">
        <f>IFERROR(VLOOKUP(Y9S1[[#This Row],[Player 2]],YEar9Table[],2,FALSE),"")</f>
        <v>TIER 8</v>
      </c>
      <c r="I122" s="153" t="str">
        <f>IFERROR(VLOOKUP(Y9S1[[#This Row],[Player 3]],YEar9Table[],2,FALSE),"")</f>
        <v>TIER 2</v>
      </c>
      <c r="J122" s="153" t="str">
        <f>IFERROR(VLOOKUP(Y9S1[[#This Row],[Player 4]],YEar9Table[],2,FALSE),"")</f>
        <v>TIER 8</v>
      </c>
      <c r="K122" s="159" t="str">
        <f>IFERROR(VLOOKUP(Y9S1[[#This Row],[Player 5]],YEar9Table[],2,FALSE),"")</f>
        <v/>
      </c>
      <c r="L122" s="40">
        <v>0</v>
      </c>
      <c r="M122" s="40">
        <v>1</v>
      </c>
      <c r="N122" s="40">
        <f>$L122+$M122</f>
        <v>1</v>
      </c>
      <c r="O122" s="50">
        <f>IFERROR(L122/(M122+L122),0)</f>
        <v>0</v>
      </c>
      <c r="P122" s="104">
        <f>(((Y9S1[[#This Row],[Wins]]*1.3)-Y9S1[[#This Row],[Losses]])/SUM(Y9S1[Games Played]))*10</f>
        <v>-3.8314176245210725E-2</v>
      </c>
      <c r="Q122" s="182"/>
    </row>
    <row r="123" spans="1:17">
      <c r="A123" s="156" t="str">
        <f>_xlfn.TEXTJOIN(",",TRUE,_xlfn._xlws.SORT(_xlfn.TEXTSPLIT(_xlfn.TEXTJOIN(",",TRUE,_xlfn._xlws.SORT($B123:$F123, 1, -1, FALSE)),"WWWWW",",")))</f>
        <v>Chromius.TAMU,Colonizer.BU,PincheConcha,Solias,Strugg1er.</v>
      </c>
      <c r="B123" s="151" t="s">
        <v>77</v>
      </c>
      <c r="C123" s="151" t="s">
        <v>154</v>
      </c>
      <c r="D123" s="151" t="s">
        <v>253</v>
      </c>
      <c r="E123" s="151" t="s">
        <v>91</v>
      </c>
      <c r="F123" s="151" t="s">
        <v>111</v>
      </c>
      <c r="G123" s="154" t="str">
        <f>IFERROR(VLOOKUP(Y9S1[[#This Row],[Player 1]],YEar9Table[],2,FALSE),0)</f>
        <v>TIER 1</v>
      </c>
      <c r="H123" s="162" t="str">
        <f>IFERROR(VLOOKUP(Y9S1[[#This Row],[Player 2]],YEar9Table[],2,FALSE),"")</f>
        <v>TIER 8</v>
      </c>
      <c r="I123" s="153" t="str">
        <f>IFERROR(VLOOKUP(Y9S1[[#This Row],[Player 3]],YEar9Table[],2,FALSE),"")</f>
        <v>TIER 8</v>
      </c>
      <c r="J123" s="153" t="str">
        <f>IFERROR(VLOOKUP(Y9S1[[#This Row],[Player 4]],YEar9Table[],2,FALSE),"")</f>
        <v>TIER 3</v>
      </c>
      <c r="K123" s="159" t="str">
        <f>IFERROR(VLOOKUP(Y9S1[[#This Row],[Player 5]],YEar9Table[],2,FALSE),"")</f>
        <v>TIER 8</v>
      </c>
      <c r="L123" s="40">
        <v>0</v>
      </c>
      <c r="M123" s="40">
        <v>1</v>
      </c>
      <c r="N123" s="40">
        <f>$L123+$M123</f>
        <v>1</v>
      </c>
      <c r="O123" s="50">
        <f>IFERROR(L123/(M123+L123),0)</f>
        <v>0</v>
      </c>
      <c r="P123" s="104">
        <f>(((Y9S1[[#This Row],[Wins]]*1.3)-Y9S1[[#This Row],[Losses]])/SUM(Y9S1[Games Played]))*10</f>
        <v>-3.8314176245210725E-2</v>
      </c>
      <c r="Q123" s="182"/>
    </row>
    <row r="124" spans="1:17">
      <c r="A124" s="156" t="str">
        <f>_xlfn.TEXTJOIN(",",TRUE,_xlfn._xlws.SORT(_xlfn.TEXTSPLIT(_xlfn.TEXTJOIN(",",TRUE,_xlfn._xlws.SORT($B124:$F124, 1, -1, FALSE)),"WWWWW",",")))</f>
        <v>Elyidian,Glonk.MB</v>
      </c>
      <c r="B124" s="151" t="s">
        <v>162</v>
      </c>
      <c r="C124" s="151" t="s">
        <v>234</v>
      </c>
      <c r="D124" s="151"/>
      <c r="E124" s="151"/>
      <c r="F124" s="153"/>
      <c r="G124" s="154" t="str">
        <f>IFERROR(VLOOKUP(Y9S1[[#This Row],[Player 1]],YEar9Table[],2,FALSE),0)</f>
        <v>TIER 2</v>
      </c>
      <c r="H124" s="162" t="str">
        <f>IFERROR(VLOOKUP(Y9S1[[#This Row],[Player 2]],YEar9Table[],2,FALSE),"")</f>
        <v>TIER 8</v>
      </c>
      <c r="I124" s="153" t="str">
        <f>IFERROR(VLOOKUP(Y9S1[[#This Row],[Player 3]],YEar9Table[],2,FALSE),"")</f>
        <v/>
      </c>
      <c r="J124" s="153" t="str">
        <f>IFERROR(VLOOKUP(Y9S1[[#This Row],[Player 4]],YEar9Table[],2,FALSE),"")</f>
        <v/>
      </c>
      <c r="K124" s="159" t="str">
        <f>IFERROR(VLOOKUP(Y9S1[[#This Row],[Player 5]],YEar9Table[],2,FALSE),"")</f>
        <v/>
      </c>
      <c r="L124" s="40">
        <v>0</v>
      </c>
      <c r="M124" s="40">
        <v>1</v>
      </c>
      <c r="N124" s="40">
        <f>$L124+$M124</f>
        <v>1</v>
      </c>
      <c r="O124" s="50">
        <f>IFERROR(L124/(M124+L124),0)</f>
        <v>0</v>
      </c>
      <c r="P124" s="104">
        <f>(((Y9S1[[#This Row],[Wins]]*1.3)-Y9S1[[#This Row],[Losses]])/SUM(Y9S1[Games Played]))*10</f>
        <v>-3.8314176245210725E-2</v>
      </c>
      <c r="Q124" s="182"/>
    </row>
    <row r="125" spans="1:17" ht="36">
      <c r="A125" s="156" t="str">
        <f>_xlfn.TEXTJOIN(",",TRUE,_xlfn._xlws.SORT(_xlfn.TEXTSPLIT(_xlfn.TEXTJOIN(",",TRUE,_xlfn._xlws.SORT($B125:$F125, 1, -1, FALSE)),"WWWWW",",")))</f>
        <v>Chromius.TAMU,Colonizer.BU,Elyidian,Timythiccums.MB,Wh1pl4sh_117</v>
      </c>
      <c r="B125" s="151" t="s">
        <v>77</v>
      </c>
      <c r="C125" s="195" t="s">
        <v>234</v>
      </c>
      <c r="D125" s="153" t="s">
        <v>81</v>
      </c>
      <c r="E125" s="151" t="s">
        <v>248</v>
      </c>
      <c r="F125" s="151" t="s">
        <v>154</v>
      </c>
      <c r="G125" s="154" t="str">
        <f>IFERROR(VLOOKUP(Y9S1[[#This Row],[Player 1]],YEar9Table[],2,FALSE),0)</f>
        <v>TIER 1</v>
      </c>
      <c r="H125" s="162" t="str">
        <f>IFERROR(VLOOKUP(Y9S1[[#This Row],[Player 2]],YEar9Table[],2,FALSE),"")</f>
        <v>TIER 8</v>
      </c>
      <c r="I125" s="153" t="str">
        <f>IFERROR(VLOOKUP(Y9S1[[#This Row],[Player 3]],YEar9Table[],2,FALSE),"")</f>
        <v>TIER 6</v>
      </c>
      <c r="J125" s="153" t="str">
        <f>IFERROR(VLOOKUP(Y9S1[[#This Row],[Player 4]],YEar9Table[],2,FALSE),"")</f>
        <v>TIER 8</v>
      </c>
      <c r="K125" s="159" t="str">
        <f>IFERROR(VLOOKUP(Y9S1[[#This Row],[Player 5]],YEar9Table[],2,FALSE),"")</f>
        <v>TIER 8</v>
      </c>
      <c r="L125" s="40">
        <v>0</v>
      </c>
      <c r="M125" s="40">
        <v>1</v>
      </c>
      <c r="N125" s="40">
        <f>$L125+$M125</f>
        <v>1</v>
      </c>
      <c r="O125" s="50">
        <f>IFERROR(L125/(M125+L125),0)</f>
        <v>0</v>
      </c>
      <c r="P125" s="104">
        <f>(((Y9S1[[#This Row],[Wins]]*1.3)-Y9S1[[#This Row],[Losses]])/SUM(Y9S1[Games Played]))*10</f>
        <v>-3.8314176245210725E-2</v>
      </c>
      <c r="Q125" s="182" t="s">
        <v>279</v>
      </c>
    </row>
    <row r="126" spans="1:17" ht="24">
      <c r="A126" s="156" t="str">
        <f>_xlfn.TEXTJOIN(",",TRUE,_xlfn._xlws.SORT(_xlfn.TEXTSPLIT(_xlfn.TEXTJOIN(",",TRUE,_xlfn._xlws.SORT($B126:$F126, 1, -1, FALSE)),"WWWWW",",")))</f>
        <v>Akusnightmare,Chromius.TAMU,Elyidian,Glonk.MB,TexAg21</v>
      </c>
      <c r="B126" s="151" t="s">
        <v>77</v>
      </c>
      <c r="C126" s="151" t="s">
        <v>162</v>
      </c>
      <c r="D126" s="151" t="s">
        <v>234</v>
      </c>
      <c r="E126" s="153" t="s">
        <v>188</v>
      </c>
      <c r="F126" s="151" t="s">
        <v>280</v>
      </c>
      <c r="G126" s="154" t="str">
        <f>IFERROR(VLOOKUP(Y9S1[[#This Row],[Player 1]],YEar9Table[],2,FALSE),0)</f>
        <v>TIER 1</v>
      </c>
      <c r="H126" s="162" t="str">
        <f>IFERROR(VLOOKUP(Y9S1[[#This Row],[Player 2]],YEar9Table[],2,FALSE),"")</f>
        <v>TIER 2</v>
      </c>
      <c r="I126" s="153" t="str">
        <f>IFERROR(VLOOKUP(Y9S1[[#This Row],[Player 3]],YEar9Table[],2,FALSE),"")</f>
        <v>TIER 8</v>
      </c>
      <c r="J126" s="153" t="str">
        <f>IFERROR(VLOOKUP(Y9S1[[#This Row],[Player 4]],YEar9Table[],2,FALSE),"")</f>
        <v>TIER 8</v>
      </c>
      <c r="K126" s="159" t="str">
        <f>IFERROR(VLOOKUP(Y9S1[[#This Row],[Player 5]],YEar9Table[],2,FALSE),"")</f>
        <v>TIER 7</v>
      </c>
      <c r="L126" s="40">
        <v>0</v>
      </c>
      <c r="M126" s="40">
        <v>1</v>
      </c>
      <c r="N126" s="40">
        <f>$L126+$M126</f>
        <v>1</v>
      </c>
      <c r="O126" s="50">
        <f>IFERROR(L126/(M126+L126),0)</f>
        <v>0</v>
      </c>
      <c r="P126" s="104">
        <f>(((Y9S1[[#This Row],[Wins]]*1.3)-Y9S1[[#This Row],[Losses]])/SUM(Y9S1[Games Played]))*10</f>
        <v>-3.8314176245210725E-2</v>
      </c>
      <c r="Q126" s="182" t="s">
        <v>281</v>
      </c>
    </row>
    <row r="127" spans="1:17">
      <c r="A127" s="156" t="str">
        <f>_xlfn.TEXTJOIN(",",TRUE,_xlfn._xlws.SORT(_xlfn.TEXTSPLIT(_xlfn.TEXTJOIN(",",TRUE,_xlfn._xlws.SORT($B127:$F127, 1, -1, FALSE)),"WWWWW",",")))</f>
        <v>Galahad21588,Glonk.MB,TexAg21,Timythiccums.MB</v>
      </c>
      <c r="B127" s="151" t="s">
        <v>162</v>
      </c>
      <c r="C127" s="153" t="s">
        <v>81</v>
      </c>
      <c r="D127" s="151" t="s">
        <v>96</v>
      </c>
      <c r="E127" s="151" t="s">
        <v>188</v>
      </c>
      <c r="F127" s="151"/>
      <c r="G127" s="154" t="str">
        <f>IFERROR(VLOOKUP(Y9S1[[#This Row],[Player 1]],YEar9Table[],2,FALSE),0)</f>
        <v>TIER 2</v>
      </c>
      <c r="H127" s="162" t="str">
        <f>IFERROR(VLOOKUP(Y9S1[[#This Row],[Player 2]],YEar9Table[],2,FALSE),"")</f>
        <v>TIER 6</v>
      </c>
      <c r="I127" s="153" t="str">
        <f>IFERROR(VLOOKUP(Y9S1[[#This Row],[Player 3]],YEar9Table[],2,FALSE),"")</f>
        <v>TIER 3</v>
      </c>
      <c r="J127" s="153" t="str">
        <f>IFERROR(VLOOKUP(Y9S1[[#This Row],[Player 4]],YEar9Table[],2,FALSE),"")</f>
        <v>TIER 8</v>
      </c>
      <c r="K127" s="159" t="str">
        <f>IFERROR(VLOOKUP(Y9S1[[#This Row],[Player 5]],YEar9Table[],2,FALSE),"")</f>
        <v/>
      </c>
      <c r="L127" s="40">
        <v>1</v>
      </c>
      <c r="M127" s="40"/>
      <c r="N127" s="40">
        <f>$L127+$M127</f>
        <v>1</v>
      </c>
      <c r="O127" s="50">
        <f>IFERROR(L127/(M127+L127),0)</f>
        <v>1</v>
      </c>
      <c r="P127" s="104">
        <f>(((Y9S1[[#This Row],[Wins]]*1.3)-Y9S1[[#This Row],[Losses]])/SUM(Y9S1[Games Played]))*10</f>
        <v>4.980842911877395E-2</v>
      </c>
      <c r="Q127" s="182"/>
    </row>
    <row r="128" spans="1:17">
      <c r="A128" s="156" t="str">
        <f>_xlfn.TEXTJOIN(",",TRUE,_xlfn._xlws.SORT(_xlfn.TEXTSPLIT(_xlfn.TEXTJOIN(",",TRUE,_xlfn._xlws.SORT($B128:$F128, 1, -1, FALSE)),"WWWWW",",")))</f>
        <v>Chromius.TAMU,Colonizer.BU,Elyidian,Glonk.MB,TexAg21</v>
      </c>
      <c r="B128" s="151" t="s">
        <v>77</v>
      </c>
      <c r="C128" s="151" t="s">
        <v>162</v>
      </c>
      <c r="D128" s="151" t="s">
        <v>234</v>
      </c>
      <c r="E128" s="151" t="s">
        <v>188</v>
      </c>
      <c r="F128" s="151" t="s">
        <v>154</v>
      </c>
      <c r="G128" s="154" t="str">
        <f>IFERROR(VLOOKUP(Y9S1[[#This Row],[Player 1]],YEar9Table[],2,FALSE),0)</f>
        <v>TIER 1</v>
      </c>
      <c r="H128" s="162" t="str">
        <f>IFERROR(VLOOKUP(Y9S1[[#This Row],[Player 2]],YEar9Table[],2,FALSE),"")</f>
        <v>TIER 2</v>
      </c>
      <c r="I128" s="153" t="str">
        <f>IFERROR(VLOOKUP(Y9S1[[#This Row],[Player 3]],YEar9Table[],2,FALSE),"")</f>
        <v>TIER 8</v>
      </c>
      <c r="J128" s="153" t="str">
        <f>IFERROR(VLOOKUP(Y9S1[[#This Row],[Player 4]],YEar9Table[],2,FALSE),"")</f>
        <v>TIER 8</v>
      </c>
      <c r="K128" s="159" t="str">
        <f>IFERROR(VLOOKUP(Y9S1[[#This Row],[Player 5]],YEar9Table[],2,FALSE),"")</f>
        <v>TIER 8</v>
      </c>
      <c r="L128" s="40">
        <v>0</v>
      </c>
      <c r="M128" s="40">
        <v>1</v>
      </c>
      <c r="N128" s="40">
        <f>$L128+$M128</f>
        <v>1</v>
      </c>
      <c r="O128" s="50">
        <f>IFERROR(L128/(M128+L128),0)</f>
        <v>0</v>
      </c>
      <c r="P128" s="104">
        <f>(((Y9S1[[#This Row],[Wins]]*1.3)-Y9S1[[#This Row],[Losses]])/SUM(Y9S1[Games Played]))*10</f>
        <v>-3.8314176245210725E-2</v>
      </c>
      <c r="Q128" s="182"/>
    </row>
    <row r="129" spans="1:17">
      <c r="A129" s="156" t="str">
        <f>_xlfn.TEXTJOIN(",",TRUE,_xlfn._xlws.SORT(_xlfn.TEXTSPLIT(_xlfn.TEXTJOIN(",",TRUE,_xlfn._xlws.SORT($B129:$F129, 1, -1, FALSE)),"WWWWW",",")))</f>
        <v>Boomerjet123,Chromius.TAMU,Coolrocket.TAMU,Galahad21588,Glonk.MB</v>
      </c>
      <c r="B129" s="151" t="s">
        <v>77</v>
      </c>
      <c r="C129" s="151" t="s">
        <v>162</v>
      </c>
      <c r="D129" s="151" t="s">
        <v>96</v>
      </c>
      <c r="E129" s="151" t="s">
        <v>109</v>
      </c>
      <c r="F129" s="151" t="s">
        <v>138</v>
      </c>
      <c r="G129" s="154" t="str">
        <f>IFERROR(VLOOKUP(Y9S1[[#This Row],[Player 1]],YEar9Table[],2,FALSE),0)</f>
        <v>TIER 1</v>
      </c>
      <c r="H129" s="162" t="str">
        <f>IFERROR(VLOOKUP(Y9S1[[#This Row],[Player 2]],YEar9Table[],2,FALSE),"")</f>
        <v>TIER 2</v>
      </c>
      <c r="I129" s="153" t="str">
        <f>IFERROR(VLOOKUP(Y9S1[[#This Row],[Player 3]],YEar9Table[],2,FALSE),"")</f>
        <v>TIER 3</v>
      </c>
      <c r="J129" s="153" t="str">
        <f>IFERROR(VLOOKUP(Y9S1[[#This Row],[Player 4]],YEar9Table[],2,FALSE),"")</f>
        <v>TIER 8</v>
      </c>
      <c r="K129" s="159" t="str">
        <f>IFERROR(VLOOKUP(Y9S1[[#This Row],[Player 5]],YEar9Table[],2,FALSE),"")</f>
        <v>TIER 7</v>
      </c>
      <c r="L129" s="40">
        <v>0</v>
      </c>
      <c r="M129" s="40">
        <v>1</v>
      </c>
      <c r="N129" s="40">
        <f>$L129+$M129</f>
        <v>1</v>
      </c>
      <c r="O129" s="50">
        <f>IFERROR(L129/(M129+L129),0)</f>
        <v>0</v>
      </c>
      <c r="P129" s="104">
        <f>(((Y9S1[[#This Row],[Wins]]*1.3)-Y9S1[[#This Row],[Losses]])/SUM(Y9S1[Games Played]))*10</f>
        <v>-3.8314176245210725E-2</v>
      </c>
      <c r="Q129" s="182" t="s">
        <v>282</v>
      </c>
    </row>
    <row r="130" spans="1:17">
      <c r="A130" s="156" t="str">
        <f>_xlfn.TEXTJOIN(",",TRUE,_xlfn._xlws.SORT(_xlfn.TEXTSPLIT(_xlfn.TEXTJOIN(",",TRUE,_xlfn._xlws.SORT($B130:$F130, 1, -1, FALSE)),"WWWWW",",")))</f>
        <v>Elyidian,Glonk.MB,PincheConcha,TexAg21</v>
      </c>
      <c r="B130" s="151" t="s">
        <v>162</v>
      </c>
      <c r="C130" s="151" t="s">
        <v>234</v>
      </c>
      <c r="D130" s="151" t="s">
        <v>188</v>
      </c>
      <c r="E130" s="151" t="s">
        <v>91</v>
      </c>
      <c r="F130" s="151"/>
      <c r="G130" s="154" t="str">
        <f>IFERROR(VLOOKUP(Y9S1[[#This Row],[Player 1]],YEar9Table[],2,FALSE),0)</f>
        <v>TIER 2</v>
      </c>
      <c r="H130" s="162" t="str">
        <f>IFERROR(VLOOKUP(Y9S1[[#This Row],[Player 2]],YEar9Table[],2,FALSE),"")</f>
        <v>TIER 8</v>
      </c>
      <c r="I130" s="153" t="str">
        <f>IFERROR(VLOOKUP(Y9S1[[#This Row],[Player 3]],YEar9Table[],2,FALSE),"")</f>
        <v>TIER 8</v>
      </c>
      <c r="J130" s="153" t="str">
        <f>IFERROR(VLOOKUP(Y9S1[[#This Row],[Player 4]],YEar9Table[],2,FALSE),"")</f>
        <v>TIER 3</v>
      </c>
      <c r="K130" s="159" t="str">
        <f>IFERROR(VLOOKUP(Y9S1[[#This Row],[Player 5]],YEar9Table[],2,FALSE),"")</f>
        <v/>
      </c>
      <c r="L130" s="40">
        <v>0</v>
      </c>
      <c r="M130" s="40">
        <v>1</v>
      </c>
      <c r="N130" s="40">
        <f>$L130+$M130</f>
        <v>1</v>
      </c>
      <c r="O130" s="50">
        <f>IFERROR(L130/(M130+L130),0)</f>
        <v>0</v>
      </c>
      <c r="P130" s="103">
        <f>(((Y9S1[[#This Row],[Wins]]*1.3)-Y9S1[[#This Row],[Losses]])/SUM(Y9S1[Games Played]))*10</f>
        <v>-3.8314176245210725E-2</v>
      </c>
      <c r="Q130" s="182"/>
    </row>
    <row r="131" spans="1:17">
      <c r="A131" s="156" t="str">
        <f>_xlfn.TEXTJOIN(",",TRUE,_xlfn._xlws.SORT(_xlfn.TEXTSPLIT(_xlfn.TEXTJOIN(",",TRUE,_xlfn._xlws.SORT($B131:$F131, 1, -1, FALSE)),"WWWWW",",")))</f>
        <v>Elyidian,Glonk.MB,GrizzlyGrimmm</v>
      </c>
      <c r="B131" s="151" t="s">
        <v>162</v>
      </c>
      <c r="C131" s="151" t="s">
        <v>234</v>
      </c>
      <c r="D131" s="196" t="s">
        <v>258</v>
      </c>
      <c r="E131" s="151"/>
      <c r="F131" s="160"/>
      <c r="G131" s="193" t="str">
        <f>IFERROR(VLOOKUP(Y9S1[[#This Row],[Player 1]],YEar9Table[],2,FALSE),0)</f>
        <v>TIER 2</v>
      </c>
      <c r="H131" s="151" t="str">
        <f>IFERROR(VLOOKUP(Y9S1[[#This Row],[Player 2]],YEar9Table[],2,FALSE),"")</f>
        <v>TIER 8</v>
      </c>
      <c r="I131" s="151" t="str">
        <f>IFERROR(VLOOKUP(Y9S1[[#This Row],[Player 3]],YEar9Table[],2,FALSE),"")</f>
        <v>TIER 8</v>
      </c>
      <c r="J131" s="151" t="str">
        <f>IFERROR(VLOOKUP(Y9S1[[#This Row],[Player 4]],YEar9Table[],2,FALSE),"")</f>
        <v/>
      </c>
      <c r="K131" s="160" t="str">
        <f>IFERROR(VLOOKUP(Y9S1[[#This Row],[Player 5]],YEar9Table[],2,FALSE),"")</f>
        <v/>
      </c>
      <c r="L131" s="40">
        <v>0</v>
      </c>
      <c r="M131" s="40">
        <v>1</v>
      </c>
      <c r="N131" s="40">
        <f>$L131+$M131</f>
        <v>1</v>
      </c>
      <c r="O131" s="51">
        <f>IFERROR(L131/(M131+L131),0)</f>
        <v>0</v>
      </c>
      <c r="P131" s="103">
        <f>(((Y9S1[[#This Row],[Wins]]*1.3)-Y9S1[[#This Row],[Losses]])/SUM(Y9S1[Games Played]))*10</f>
        <v>-3.8314176245210725E-2</v>
      </c>
      <c r="Q131" s="182"/>
    </row>
    <row r="132" spans="1:17">
      <c r="B132" s="150" t="s">
        <v>283</v>
      </c>
      <c r="C132" s="150"/>
      <c r="D132" s="150"/>
      <c r="E132" s="150"/>
      <c r="F132" s="161"/>
      <c r="G132" s="150"/>
      <c r="H132" s="150"/>
      <c r="I132" s="150"/>
      <c r="J132" s="150"/>
      <c r="K132" s="161"/>
      <c r="L132" s="38">
        <f>SUBTOTAL(109,L2:L131)</f>
        <v>135</v>
      </c>
      <c r="M132" s="38">
        <f>SUBTOTAL(109,M2:M131)</f>
        <v>126</v>
      </c>
      <c r="N132" s="38">
        <f>SUBTOTAL(109,N2:N131)</f>
        <v>261</v>
      </c>
      <c r="O132" s="150"/>
    </row>
    <row r="134" spans="1:17">
      <c r="D134">
        <v>73</v>
      </c>
      <c r="E134" t="s">
        <v>284</v>
      </c>
    </row>
    <row r="135" spans="1:17">
      <c r="D135">
        <v>225</v>
      </c>
      <c r="E135" t="s">
        <v>285</v>
      </c>
    </row>
    <row r="136" spans="1:17">
      <c r="D136">
        <v>200</v>
      </c>
      <c r="E136" t="s">
        <v>286</v>
      </c>
    </row>
    <row r="137" spans="1:17">
      <c r="C137" t="s">
        <v>287</v>
      </c>
      <c r="D137">
        <v>110</v>
      </c>
    </row>
    <row r="138" spans="1:17">
      <c r="D138">
        <f>38*5</f>
        <v>190</v>
      </c>
      <c r="H138" t="s">
        <v>287</v>
      </c>
    </row>
    <row r="139" spans="1:17">
      <c r="D139">
        <v>28</v>
      </c>
      <c r="H139" t="s">
        <v>287</v>
      </c>
    </row>
    <row r="140" spans="1:17">
      <c r="D140">
        <v>26</v>
      </c>
    </row>
    <row r="141" spans="1:17">
      <c r="D141">
        <v>44</v>
      </c>
      <c r="H141" t="s">
        <v>288</v>
      </c>
    </row>
    <row r="142" spans="1:17">
      <c r="D142">
        <v>16</v>
      </c>
      <c r="E142" t="s">
        <v>289</v>
      </c>
    </row>
    <row r="147" spans="6:6">
      <c r="F147" s="155" t="s">
        <v>288</v>
      </c>
    </row>
  </sheetData>
  <mergeCells count="20">
    <mergeCell ref="AU16:AY16"/>
    <mergeCell ref="Y47:AI47"/>
    <mergeCell ref="AV9:BC9"/>
    <mergeCell ref="BD9:BJ9"/>
    <mergeCell ref="AV10:BC10"/>
    <mergeCell ref="BD10:BJ10"/>
    <mergeCell ref="AU14:AY14"/>
    <mergeCell ref="AU15:AY15"/>
    <mergeCell ref="AV6:BC6"/>
    <mergeCell ref="BD6:BJ6"/>
    <mergeCell ref="AV7:BC7"/>
    <mergeCell ref="BD7:BJ7"/>
    <mergeCell ref="AV8:BC8"/>
    <mergeCell ref="BD8:BJ8"/>
    <mergeCell ref="AV2:BC2"/>
    <mergeCell ref="BD2:BJ2"/>
    <mergeCell ref="AV3:BC3"/>
    <mergeCell ref="BD3:BJ3"/>
    <mergeCell ref="AV5:BC5"/>
    <mergeCell ref="BD5:BJ5"/>
  </mergeCells>
  <conditionalFormatting sqref="B132:O132">
    <cfRule type="containsText" dxfId="627" priority="630" operator="containsText" text="Struggler">
      <formula>NOT(ISERROR(SEARCH("Struggler",B132)))</formula>
    </cfRule>
    <cfRule type="containsText" dxfId="626" priority="631" operator="containsText" text="Koyeetchi">
      <formula>NOT(ISERROR(SEARCH("Koyeetchi",B132)))</formula>
    </cfRule>
    <cfRule type="containsText" dxfId="625" priority="632" operator="containsText" text="Mauricio">
      <formula>NOT(ISERROR(SEARCH("Mauricio",B132)))</formula>
    </cfRule>
    <cfRule type="containsText" dxfId="624" priority="633" operator="containsText" text="Glonk">
      <formula>NOT(ISERROR(SEARCH("Glonk",B132)))</formula>
    </cfRule>
    <cfRule type="containsText" dxfId="623" priority="635" operator="containsText" text="Ranger">
      <formula>NOT(ISERROR(SEARCH("Ranger",B132)))</formula>
    </cfRule>
    <cfRule type="containsText" dxfId="622" priority="636" operator="containsText" text="Rat">
      <formula>NOT(ISERROR(SEARCH("Rat",B132)))</formula>
    </cfRule>
    <cfRule type="containsText" dxfId="621" priority="638" operator="containsText" text="Tim">
      <formula>NOT(ISERROR(SEARCH("Tim",B132)))</formula>
    </cfRule>
    <cfRule type="containsText" dxfId="620" priority="639" operator="containsText" text="Mason">
      <formula>NOT(ISERROR(SEARCH("Mason",B132)))</formula>
    </cfRule>
    <cfRule type="containsText" dxfId="619" priority="640" operator="containsText" text="Blade">
      <formula>NOT(ISERROR(SEARCH("Blade",B132)))</formula>
    </cfRule>
    <cfRule type="containsText" dxfId="618" priority="641" operator="containsText" text="Andrew">
      <formula>NOT(ISERROR(SEARCH("Andrew",B132)))</formula>
    </cfRule>
    <cfRule type="containsText" dxfId="617" priority="642" operator="containsText" text="Shyam">
      <formula>NOT(ISERROR(SEARCH("Shyam",B132)))</formula>
    </cfRule>
    <cfRule type="containsText" dxfId="616" priority="643" operator="containsText" text="IUseArch">
      <formula>NOT(ISERROR(SEARCH("IUseArch",B132)))</formula>
    </cfRule>
    <cfRule type="containsText" dxfId="615" priority="644" operator="containsText" text="Colonizer">
      <formula>NOT(ISERROR(SEARCH("Colonizer",B132)))</formula>
    </cfRule>
    <cfRule type="containsText" dxfId="614" priority="645" operator="containsText" text="Lappland">
      <formula>NOT(ISERROR(SEARCH("Lappland",B132)))</formula>
    </cfRule>
    <cfRule type="containsText" dxfId="613" priority="646" operator="containsText" text="Diehard">
      <formula>NOT(ISERROR(SEARCH("Diehard",B132)))</formula>
    </cfRule>
    <cfRule type="containsText" dxfId="612" priority="647" operator="containsText" text="Louis">
      <formula>NOT(ISERROR(SEARCH("Louis",B132)))</formula>
    </cfRule>
    <cfRule type="containsText" dxfId="611" priority="648" operator="containsText" text="Cortex">
      <formula>NOT(ISERROR(SEARCH("Cortex",B132)))</formula>
    </cfRule>
    <cfRule type="containsText" dxfId="610" priority="649" operator="containsText" text="Acceptable">
      <formula>NOT(ISERROR(SEARCH("Acceptable",B132)))</formula>
    </cfRule>
    <cfRule type="containsText" dxfId="609" priority="650" operator="containsText" text="Minimum">
      <formula>NOT(ISERROR(SEARCH("Minimum",B132)))</formula>
    </cfRule>
    <cfRule type="containsText" dxfId="608" priority="651" operator="containsText" text="_">
      <formula>NOT(ISERROR(SEARCH("_",B132)))</formula>
    </cfRule>
  </conditionalFormatting>
  <conditionalFormatting sqref="B1:K1 B144:O148 B150:O574 B149:C149 E149:O149 B136:C143 E142 F136:O143 B132:O135">
    <cfRule type="containsText" dxfId="607" priority="652" operator="containsText" text="Struggler">
      <formula>NOT(ISERROR(SEARCH("Struggler",B1)))</formula>
    </cfRule>
  </conditionalFormatting>
  <conditionalFormatting sqref="B144:O148 B150:O574 B149:C149 E149:O149 B136:C143 E142 F136:O143 B132:O135">
    <cfRule type="containsText" dxfId="606" priority="629" operator="containsText" text="Strix">
      <formula>NOT(ISERROR(SEARCH("Strix",B132)))</formula>
    </cfRule>
  </conditionalFormatting>
  <conditionalFormatting sqref="S33:S34 B1:N1 R35:R481 B144:Q148 B150:Q579 B149:C149 E149:Q149 B136:C143 B134:P135 E142 F136:Q143 B133:Q133">
    <cfRule type="containsText" dxfId="605" priority="653" operator="containsText" text="Koyeetchi">
      <formula>NOT(ISERROR(SEARCH("Koyeetchi",B1)))</formula>
    </cfRule>
    <cfRule type="containsText" dxfId="604" priority="656" operator="containsText" text="Chris">
      <formula>NOT(ISERROR(SEARCH("Chris",B1)))</formula>
    </cfRule>
    <cfRule type="containsText" dxfId="603" priority="657" operator="containsText" text="Ranger">
      <formula>NOT(ISERROR(SEARCH("Ranger",B1)))</formula>
    </cfRule>
    <cfRule type="containsText" dxfId="602" priority="658" operator="containsText" text="Rat">
      <formula>NOT(ISERROR(SEARCH("Rat",B1)))</formula>
    </cfRule>
    <cfRule type="containsText" dxfId="601" priority="660" operator="containsText" text="Tim">
      <formula>NOT(ISERROR(SEARCH("Tim",B1)))</formula>
    </cfRule>
    <cfRule type="containsText" dxfId="600" priority="661" operator="containsText" text="Mason">
      <formula>NOT(ISERROR(SEARCH("Mason",B1)))</formula>
    </cfRule>
    <cfRule type="containsText" dxfId="599" priority="662" operator="containsText" text="Blade">
      <formula>NOT(ISERROR(SEARCH("Blade",B1)))</formula>
    </cfRule>
    <cfRule type="containsText" dxfId="598" priority="664" operator="containsText" text="Shyam">
      <formula>NOT(ISERROR(SEARCH("Shyam",B1)))</formula>
    </cfRule>
    <cfRule type="containsText" dxfId="597" priority="665" operator="containsText" text="IUseArch">
      <formula>NOT(ISERROR(SEARCH("IUseArch",B1)))</formula>
    </cfRule>
    <cfRule type="containsText" dxfId="596" priority="666" operator="containsText" text="Colonizer">
      <formula>NOT(ISERROR(SEARCH("Colonizer",B1)))</formula>
    </cfRule>
    <cfRule type="containsText" dxfId="595" priority="667" operator="containsText" text="Lappland">
      <formula>NOT(ISERROR(SEARCH("Lappland",B1)))</formula>
    </cfRule>
    <cfRule type="containsText" dxfId="594" priority="668" operator="containsText" text="Diehard">
      <formula>NOT(ISERROR(SEARCH("Diehard",B1)))</formula>
    </cfRule>
    <cfRule type="containsText" dxfId="593" priority="669" operator="containsText" text="Louis">
      <formula>NOT(ISERROR(SEARCH("Louis",B1)))</formula>
    </cfRule>
    <cfRule type="containsText" dxfId="592" priority="678" operator="containsText" text="Cortex">
      <formula>NOT(ISERROR(SEARCH("Cortex",B1)))</formula>
    </cfRule>
    <cfRule type="containsText" dxfId="591" priority="680" operator="containsText" text="Acceptable">
      <formula>NOT(ISERROR(SEARCH("Acceptable",B1)))</formula>
    </cfRule>
    <cfRule type="containsText" dxfId="590" priority="681" operator="containsText" text="Minimum">
      <formula>NOT(ISERROR(SEARCH("Minimum",B1)))</formula>
    </cfRule>
    <cfRule type="containsText" dxfId="589" priority="682" operator="containsText" text="_">
      <formula>NOT(ISERROR(SEARCH("_",B1)))</formula>
    </cfRule>
  </conditionalFormatting>
  <conditionalFormatting sqref="W3:W23 V2:V46">
    <cfRule type="containsText" dxfId="588" priority="670" operator="containsText" text="TIER 8">
      <formula>NOT(ISERROR(SEARCH("TIER 8",V2)))</formula>
    </cfRule>
    <cfRule type="containsText" dxfId="587" priority="671" operator="containsText" text="TIER 7">
      <formula>NOT(ISERROR(SEARCH("TIER 7",V2)))</formula>
    </cfRule>
    <cfRule type="containsText" dxfId="586" priority="672" operator="containsText" text="TIER 6">
      <formula>NOT(ISERROR(SEARCH("TIER 6",V2)))</formula>
    </cfRule>
    <cfRule type="containsText" dxfId="585" priority="673" operator="containsText" text="TIER 5">
      <formula>NOT(ISERROR(SEARCH("TIER 5",V2)))</formula>
    </cfRule>
    <cfRule type="containsText" dxfId="584" priority="674" operator="containsText" text="TIER 4">
      <formula>NOT(ISERROR(SEARCH("TIER 4",V2)))</formula>
    </cfRule>
    <cfRule type="containsText" dxfId="583" priority="675" operator="containsText" text="TIER 3">
      <formula>NOT(ISERROR(SEARCH("TIER 3",V2)))</formula>
    </cfRule>
    <cfRule type="containsText" dxfId="582" priority="676" operator="containsText" text="TIER 2">
      <formula>NOT(ISERROR(SEARCH("TIER 2",V2)))</formula>
    </cfRule>
    <cfRule type="containsText" dxfId="581" priority="677" operator="containsText" text="TIER 1">
      <formula>NOT(ISERROR(SEARCH("TIER 1",V2)))</formula>
    </cfRule>
  </conditionalFormatting>
  <conditionalFormatting sqref="W27">
    <cfRule type="containsText" dxfId="580" priority="220" operator="containsText" text="Acceptable">
      <formula>NOT(ISERROR(SEARCH("Acceptable",W27)))</formula>
    </cfRule>
    <cfRule type="containsText" dxfId="579" priority="221" operator="containsText" text="Minimum">
      <formula>NOT(ISERROR(SEARCH("Minimum",W27)))</formula>
    </cfRule>
    <cfRule type="containsText" dxfId="578" priority="222" operator="containsText" text="_">
      <formula>NOT(ISERROR(SEARCH("_",W27)))</formula>
    </cfRule>
  </conditionalFormatting>
  <conditionalFormatting sqref="B144:O148 B150:O574 B149:C149 E149:O149 B136:C143 E142 F136:O143 B132:O135">
    <cfRule type="containsText" dxfId="577" priority="628" operator="containsText" text="Dlehard">
      <formula>NOT(ISERROR(SEARCH("Dlehard",B132)))</formula>
    </cfRule>
  </conditionalFormatting>
  <conditionalFormatting sqref="B150:O273 B149:C149 E149:O149 B136:C142 B144:O148 F136:O143 B132:O135 B143:D143 E142">
    <cfRule type="containsText" dxfId="576" priority="654" operator="containsText" text="Galahad21588">
      <formula>NOT(ISERROR(SEARCH("Galahad21588",B132)))</formula>
    </cfRule>
  </conditionalFormatting>
  <conditionalFormatting sqref="B144:O148 B150:O278 B149:C149 E149:O149 B136:C143 E142 F136:O143 B132:O135">
    <cfRule type="containsText" dxfId="575" priority="655" operator="containsText" text="Glonk.MB">
      <formula>NOT(ISERROR(SEARCH("Glonk.MB",B132)))</formula>
    </cfRule>
  </conditionalFormatting>
  <conditionalFormatting sqref="B144:O148 B150:O276 B149:C149 E149:O149 B136:C143 E142 F136:O143 B132:O135">
    <cfRule type="containsText" dxfId="574" priority="637" operator="containsText" text="Boomerjet123">
      <formula>NOT(ISERROR(SEARCH("Boomerjet123",B132)))</formula>
    </cfRule>
  </conditionalFormatting>
  <conditionalFormatting sqref="B144:O148 B150:O276 B149:C149 E149:O149 B136:C143 E142 F136:O143 B132:O135">
    <cfRule type="containsText" dxfId="573" priority="634" operator="containsText" text="Chromius.TAMU">
      <formula>NOT(ISERROR(SEARCH("Chromius.TAMU",B132)))</formula>
    </cfRule>
  </conditionalFormatting>
  <conditionalFormatting sqref="B144:O148 B150:O275 B149:C149 E149:O149 B136:C143 E142 F136:O143 B132:O135">
    <cfRule type="containsText" dxfId="572" priority="663" operator="containsText" text="nobetterdough">
      <formula>NOT(ISERROR(SEARCH("nobetterdough",B132)))</formula>
    </cfRule>
  </conditionalFormatting>
  <conditionalFormatting sqref="B150:O250 B149:C149 E149:O149 B136:C142 B144:O148 F136:O143 B132:O135 B143:D143 E142">
    <cfRule type="containsText" dxfId="571" priority="156" operator="containsText" text="Kermitt.MB">
      <formula>NOT(ISERROR(SEARCH("Kermitt.MB",B132)))</formula>
    </cfRule>
  </conditionalFormatting>
  <conditionalFormatting sqref="B150:O250 B149:C149 E149:O149 B136:C142 B144:O148 F136:O143 B132:O135 B143:D143 E142">
    <cfRule type="containsText" dxfId="570" priority="155" operator="containsText" text="Timythiccums.MB">
      <formula>NOT(ISERROR(SEARCH("Timythiccums.MB",B132)))</formula>
    </cfRule>
  </conditionalFormatting>
  <conditionalFormatting sqref="B150:O250 B149:C149 E149:O149 B136:C142 B144:O148 F136:O143 B132:O135 B143:D143 E142">
    <cfRule type="containsText" dxfId="569" priority="154" operator="containsText" text="Coolrocket.TAMU">
      <formula>NOT(ISERROR(SEARCH("Coolrocket.TAMU",B132)))</formula>
    </cfRule>
  </conditionalFormatting>
  <conditionalFormatting sqref="AI2:AJ46">
    <cfRule type="containsText" dxfId="568" priority="148" operator="containsText" text="N">
      <formula>NOT(ISERROR(SEARCH("N",AI2)))</formula>
    </cfRule>
  </conditionalFormatting>
  <conditionalFormatting sqref="AI2:AJ46">
    <cfRule type="containsText" dxfId="567" priority="147" operator="containsText" text="Y">
      <formula>NOT(ISERROR(SEARCH("Y",AI2)))</formula>
    </cfRule>
  </conditionalFormatting>
  <conditionalFormatting sqref="B150:O250 B149:C149 E149:O149 B136:C142 B144:O148 F136:O143 B132:O135 B143:D143 E142">
    <cfRule type="containsText" dxfId="566" priority="146" operator="containsText" text="PincheConcha">
      <formula>NOT(ISERROR(SEARCH("PincheConcha",B132)))</formula>
    </cfRule>
  </conditionalFormatting>
  <conditionalFormatting sqref="B150:O250 B149:C149 E149:O149 B136:C142 B144:O148 F136:O143 B132:O135 B143:D143 E142">
    <cfRule type="containsText" dxfId="565" priority="136" operator="containsText" text="Strugg1er.">
      <formula>NOT(ISERROR(SEARCH("Strugg1er.",B132)))</formula>
    </cfRule>
  </conditionalFormatting>
  <conditionalFormatting sqref="G2:K131">
    <cfRule type="containsText" dxfId="564" priority="119" operator="containsText" text="TIER 7">
      <formula>NOT(ISERROR(SEARCH("TIER 7",G2)))</formula>
    </cfRule>
    <cfRule type="containsText" dxfId="563" priority="120" operator="containsText" text="TIER 6">
      <formula>NOT(ISERROR(SEARCH("TIER 6",G2)))</formula>
    </cfRule>
    <cfRule type="containsText" dxfId="562" priority="121" operator="containsText" text="TIER 5">
      <formula>NOT(ISERROR(SEARCH("TIER 5",G2)))</formula>
    </cfRule>
    <cfRule type="containsText" dxfId="561" priority="122" operator="containsText" text="TIER 4">
      <formula>NOT(ISERROR(SEARCH("TIER 4",G2)))</formula>
    </cfRule>
    <cfRule type="containsText" dxfId="560" priority="123" operator="containsText" text="TIER 3">
      <formula>NOT(ISERROR(SEARCH("TIER 3",G2)))</formula>
    </cfRule>
    <cfRule type="containsText" dxfId="559" priority="124" operator="containsText" text="TIER 2">
      <formula>NOT(ISERROR(SEARCH("TIER 2",G2)))</formula>
    </cfRule>
    <cfRule type="containsText" dxfId="558" priority="125" operator="containsText" text="TIER 1">
      <formula>NOT(ISERROR(SEARCH("TIER 1",G2)))</formula>
    </cfRule>
  </conditionalFormatting>
  <conditionalFormatting sqref="G2:K131">
    <cfRule type="containsText" dxfId="557" priority="118" operator="containsText" text="TIER 8">
      <formula>NOT(ISERROR(SEARCH("TIER 8",G2)))</formula>
    </cfRule>
  </conditionalFormatting>
  <conditionalFormatting sqref="Y2:Z46">
    <cfRule type="colorScale" priority="6570">
      <colorScale>
        <cfvo type="min"/>
        <cfvo type="percentile" val="50"/>
        <cfvo type="max"/>
        <color rgb="FFF8696B"/>
        <color rgb="FFFFEB84"/>
        <color rgb="FF63BE7B"/>
      </colorScale>
    </cfRule>
  </conditionalFormatting>
  <conditionalFormatting sqref="AE2:AE46">
    <cfRule type="colorScale" priority="6572">
      <colorScale>
        <cfvo type="min"/>
        <cfvo type="percentile" val="50"/>
        <cfvo type="max"/>
        <color rgb="FFF8696B"/>
        <color rgb="FFFFEB84"/>
        <color rgb="FF63BE7B"/>
      </colorScale>
    </cfRule>
  </conditionalFormatting>
  <conditionalFormatting sqref="AF2:AF46">
    <cfRule type="colorScale" priority="6574">
      <colorScale>
        <cfvo type="min"/>
        <cfvo type="percentile" val="50"/>
        <cfvo type="max"/>
        <color rgb="FFF8696B"/>
        <color rgb="FFFFEB84"/>
        <color rgb="FF63BE7B"/>
      </colorScale>
    </cfRule>
  </conditionalFormatting>
  <conditionalFormatting sqref="AK2:AK46">
    <cfRule type="colorScale" priority="6576">
      <colorScale>
        <cfvo type="min"/>
        <cfvo type="percentile" val="50"/>
        <cfvo type="max"/>
        <color rgb="FFF8696B"/>
        <color rgb="FFFFEB84"/>
        <color rgb="FF63BE7B"/>
      </colorScale>
    </cfRule>
  </conditionalFormatting>
  <conditionalFormatting sqref="AL2:AL46">
    <cfRule type="colorScale" priority="6578">
      <colorScale>
        <cfvo type="min"/>
        <cfvo type="percentile" val="50"/>
        <cfvo type="max"/>
        <color rgb="FFF8696B"/>
        <color rgb="FFFFEB84"/>
        <color rgb="FF63BE7B"/>
      </colorScale>
    </cfRule>
  </conditionalFormatting>
  <conditionalFormatting sqref="AM2:AM46">
    <cfRule type="colorScale" priority="6580">
      <colorScale>
        <cfvo type="min"/>
        <cfvo type="percentile" val="50"/>
        <cfvo type="max"/>
        <color rgb="FFF8696B"/>
        <color rgb="FFFFEB84"/>
        <color rgb="FF63BE7B"/>
      </colorScale>
    </cfRule>
  </conditionalFormatting>
  <conditionalFormatting sqref="AQ2:AQ46">
    <cfRule type="colorScale" priority="6582">
      <colorScale>
        <cfvo type="min"/>
        <cfvo type="percentile" val="50"/>
        <cfvo type="max"/>
        <color rgb="FFF8696B"/>
        <color rgb="FFFFEB84"/>
        <color rgb="FF63BE7B"/>
      </colorScale>
    </cfRule>
  </conditionalFormatting>
  <conditionalFormatting sqref="AR2:AR46">
    <cfRule type="colorScale" priority="6584">
      <colorScale>
        <cfvo type="min"/>
        <cfvo type="percentile" val="50"/>
        <cfvo type="max"/>
        <color rgb="FFF8696B"/>
        <color rgb="FFFFEB84"/>
        <color rgb="FF63BE7B"/>
      </colorScale>
    </cfRule>
  </conditionalFormatting>
  <conditionalFormatting sqref="AT2:AT46">
    <cfRule type="colorScale" priority="6586">
      <colorScale>
        <cfvo type="min"/>
        <cfvo type="percentile" val="50"/>
        <cfvo type="max"/>
        <color rgb="FFF8696B"/>
        <color rgb="FFFFEB84"/>
        <color rgb="FF63BE7B"/>
      </colorScale>
    </cfRule>
  </conditionalFormatting>
  <conditionalFormatting sqref="AS2:AS46">
    <cfRule type="colorScale" priority="6588">
      <colorScale>
        <cfvo type="min"/>
        <cfvo type="percentile" val="50"/>
        <cfvo type="max"/>
        <color rgb="FF63BE7B"/>
        <color rgb="FFFFEB84"/>
        <color rgb="FFF8696B"/>
      </colorScale>
    </cfRule>
  </conditionalFormatting>
  <conditionalFormatting sqref="C121">
    <cfRule type="containsText" dxfId="556" priority="40" operator="containsText" text="Struggler">
      <formula>NOT(ISERROR(SEARCH("Struggler",C121)))</formula>
    </cfRule>
  </conditionalFormatting>
  <conditionalFormatting sqref="C121">
    <cfRule type="containsText" dxfId="555" priority="37" operator="containsText" text="Strix">
      <formula>NOT(ISERROR(SEARCH("Strix",C121)))</formula>
    </cfRule>
  </conditionalFormatting>
  <conditionalFormatting sqref="C121">
    <cfRule type="containsText" dxfId="554" priority="41" operator="containsText" text="Koyeetchi">
      <formula>NOT(ISERROR(SEARCH("Koyeetchi",C121)))</formula>
    </cfRule>
    <cfRule type="containsText" dxfId="553" priority="44" operator="containsText" text="Chris">
      <formula>NOT(ISERROR(SEARCH("Chris",C121)))</formula>
    </cfRule>
    <cfRule type="containsText" dxfId="552" priority="45" operator="containsText" text="Ranger">
      <formula>NOT(ISERROR(SEARCH("Ranger",C121)))</formula>
    </cfRule>
    <cfRule type="containsText" dxfId="551" priority="46" operator="containsText" text="Rat">
      <formula>NOT(ISERROR(SEARCH("Rat",C121)))</formula>
    </cfRule>
    <cfRule type="containsText" dxfId="550" priority="47" operator="containsText" text="Tim">
      <formula>NOT(ISERROR(SEARCH("Tim",C121)))</formula>
    </cfRule>
    <cfRule type="containsText" dxfId="549" priority="48" operator="containsText" text="Mason">
      <formula>NOT(ISERROR(SEARCH("Mason",C121)))</formula>
    </cfRule>
    <cfRule type="containsText" dxfId="548" priority="49" operator="containsText" text="Blade">
      <formula>NOT(ISERROR(SEARCH("Blade",C121)))</formula>
    </cfRule>
    <cfRule type="containsText" dxfId="547" priority="51" operator="containsText" text="Shyam">
      <formula>NOT(ISERROR(SEARCH("Shyam",C121)))</formula>
    </cfRule>
    <cfRule type="containsText" dxfId="546" priority="52" operator="containsText" text="IUseArch">
      <formula>NOT(ISERROR(SEARCH("IUseArch",C121)))</formula>
    </cfRule>
    <cfRule type="containsText" dxfId="545" priority="53" operator="containsText" text="Colonizer">
      <formula>NOT(ISERROR(SEARCH("Colonizer",C121)))</formula>
    </cfRule>
    <cfRule type="containsText" dxfId="544" priority="54" operator="containsText" text="Lappland">
      <formula>NOT(ISERROR(SEARCH("Lappland",C121)))</formula>
    </cfRule>
    <cfRule type="containsText" dxfId="543" priority="55" operator="containsText" text="Diehard">
      <formula>NOT(ISERROR(SEARCH("Diehard",C121)))</formula>
    </cfRule>
    <cfRule type="containsText" dxfId="542" priority="56" operator="containsText" text="Louis">
      <formula>NOT(ISERROR(SEARCH("Louis",C121)))</formula>
    </cfRule>
    <cfRule type="containsText" dxfId="541" priority="57" operator="containsText" text="Cortex">
      <formula>NOT(ISERROR(SEARCH("Cortex",C121)))</formula>
    </cfRule>
    <cfRule type="containsText" dxfId="540" priority="58" operator="containsText" text="Acceptable">
      <formula>NOT(ISERROR(SEARCH("Acceptable",C121)))</formula>
    </cfRule>
    <cfRule type="containsText" dxfId="539" priority="59" operator="containsText" text="Minimum">
      <formula>NOT(ISERROR(SEARCH("Minimum",C121)))</formula>
    </cfRule>
    <cfRule type="containsText" dxfId="538" priority="60" operator="containsText" text="_">
      <formula>NOT(ISERROR(SEARCH("_",C121)))</formula>
    </cfRule>
  </conditionalFormatting>
  <conditionalFormatting sqref="C121">
    <cfRule type="containsText" dxfId="537" priority="36" operator="containsText" text="Dlehard">
      <formula>NOT(ISERROR(SEARCH("Dlehard",C121)))</formula>
    </cfRule>
  </conditionalFormatting>
  <conditionalFormatting sqref="C121">
    <cfRule type="containsText" dxfId="536" priority="42" operator="containsText" text="Galahad21588">
      <formula>NOT(ISERROR(SEARCH("Galahad21588",C121)))</formula>
    </cfRule>
  </conditionalFormatting>
  <conditionalFormatting sqref="C121">
    <cfRule type="containsText" dxfId="535" priority="43" operator="containsText" text="Glonk.MB">
      <formula>NOT(ISERROR(SEARCH("Glonk.MB",C121)))</formula>
    </cfRule>
  </conditionalFormatting>
  <conditionalFormatting sqref="C121">
    <cfRule type="containsText" dxfId="534" priority="39" operator="containsText" text="Boomerjet123">
      <formula>NOT(ISERROR(SEARCH("Boomerjet123",C121)))</formula>
    </cfRule>
  </conditionalFormatting>
  <conditionalFormatting sqref="C121">
    <cfRule type="containsText" dxfId="533" priority="38" operator="containsText" text="Chromius.TAMU">
      <formula>NOT(ISERROR(SEARCH("Chromius.TAMU",C121)))</formula>
    </cfRule>
  </conditionalFormatting>
  <conditionalFormatting sqref="C121">
    <cfRule type="containsText" dxfId="532" priority="50" operator="containsText" text="nobetterdough">
      <formula>NOT(ISERROR(SEARCH("nobetterdough",C121)))</formula>
    </cfRule>
  </conditionalFormatting>
  <conditionalFormatting sqref="C121">
    <cfRule type="containsText" dxfId="531" priority="35" operator="containsText" text="Kermitt.MB">
      <formula>NOT(ISERROR(SEARCH("Kermitt.MB",C121)))</formula>
    </cfRule>
  </conditionalFormatting>
  <conditionalFormatting sqref="C121">
    <cfRule type="containsText" dxfId="530" priority="34" operator="containsText" text="Timythiccums.MB">
      <formula>NOT(ISERROR(SEARCH("Timythiccums.MB",C121)))</formula>
    </cfRule>
  </conditionalFormatting>
  <conditionalFormatting sqref="C121">
    <cfRule type="containsText" dxfId="529" priority="33" operator="containsText" text="Coolrocket.TAMU">
      <formula>NOT(ISERROR(SEARCH("Coolrocket.TAMU",C121)))</formula>
    </cfRule>
  </conditionalFormatting>
  <conditionalFormatting sqref="C121">
    <cfRule type="containsText" dxfId="528" priority="32" operator="containsText" text="PincheConcha">
      <formula>NOT(ISERROR(SEARCH("PincheConcha",C121)))</formula>
    </cfRule>
  </conditionalFormatting>
  <conditionalFormatting sqref="C121">
    <cfRule type="containsText" dxfId="527" priority="31" operator="containsText" text="Strugg1er.">
      <formula>NOT(ISERROR(SEARCH("Strugg1er.",C121)))</formula>
    </cfRule>
  </conditionalFormatting>
  <conditionalFormatting sqref="A2:A131">
    <cfRule type="duplicateValues" dxfId="526" priority="7025"/>
  </conditionalFormatting>
  <conditionalFormatting sqref="P2:P131">
    <cfRule type="colorScale" priority="7027">
      <colorScale>
        <cfvo type="min"/>
        <cfvo type="percentile" val="50"/>
        <cfvo type="max"/>
        <color rgb="FFF8696B"/>
        <color rgb="FFFFEB84"/>
        <color rgb="FF63BE7B"/>
      </colorScale>
    </cfRule>
  </conditionalFormatting>
  <conditionalFormatting sqref="O2:O131">
    <cfRule type="colorScale" priority="7029">
      <colorScale>
        <cfvo type="min"/>
        <cfvo type="percentile" val="50"/>
        <cfvo type="max"/>
        <color rgb="FFF8696B"/>
        <color rgb="FFFFEB84"/>
        <color rgb="FF63BE7B"/>
      </colorScale>
    </cfRule>
  </conditionalFormatting>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0846B-7F25-4E68-94C0-A07575DCBC21}">
  <dimension ref="A1:BB119"/>
  <sheetViews>
    <sheetView workbookViewId="0">
      <pane ySplit="1" topLeftCell="A2" activePane="bottomLeft" state="frozen"/>
      <selection pane="bottomLeft" activeCell="P3" sqref="P3:S7"/>
      <selection activeCell="L1" sqref="L1"/>
    </sheetView>
  </sheetViews>
  <sheetFormatPr defaultRowHeight="15"/>
  <cols>
    <col min="1" max="1" width="10" customWidth="1"/>
    <col min="2" max="2" width="16" customWidth="1"/>
    <col min="3" max="4" width="18.42578125" customWidth="1"/>
    <col min="5" max="5" width="17" customWidth="1"/>
    <col min="6" max="6" width="15.85546875" bestFit="1" customWidth="1"/>
    <col min="7" max="7" width="7.85546875" style="39" bestFit="1" customWidth="1"/>
    <col min="8" max="8" width="8.140625" style="39" customWidth="1"/>
    <col min="9" max="9" width="8.85546875" style="33" customWidth="1"/>
    <col min="10" max="10" width="8.140625" customWidth="1"/>
    <col min="11" max="11" width="15.7109375" style="33" customWidth="1"/>
    <col min="12" max="12" width="74.42578125" style="70" customWidth="1"/>
    <col min="14" max="14" width="10.140625" bestFit="1" customWidth="1"/>
    <col min="15" max="15" width="11.85546875" bestFit="1" customWidth="1"/>
    <col min="16" max="16" width="17" customWidth="1"/>
    <col min="17" max="17" width="12.7109375" customWidth="1"/>
    <col min="18" max="18" width="14.5703125" customWidth="1"/>
    <col min="19" max="19" width="14.140625" customWidth="1"/>
    <col min="20" max="20" width="15.5703125" customWidth="1"/>
    <col min="21" max="21" width="6.42578125" customWidth="1"/>
    <col min="22" max="22" width="8.140625" customWidth="1"/>
    <col min="23" max="23" width="8.28515625" customWidth="1"/>
    <col min="24" max="24" width="8" customWidth="1"/>
    <col min="25" max="25" width="6.42578125" customWidth="1"/>
    <col min="26" max="26" width="8.7109375" customWidth="1"/>
    <col min="27" max="27" width="7.5703125" customWidth="1"/>
    <col min="28" max="28" width="7.7109375" customWidth="1"/>
    <col min="29" max="29" width="7.5703125" customWidth="1"/>
    <col min="30" max="30" width="7.7109375" customWidth="1"/>
    <col min="31" max="31" width="8.140625" customWidth="1"/>
    <col min="32" max="32" width="7.28515625" customWidth="1"/>
    <col min="33" max="33" width="9.28515625" customWidth="1"/>
    <col min="34" max="34" width="9.5703125" customWidth="1"/>
    <col min="35" max="35" width="7.85546875" customWidth="1"/>
    <col min="36" max="36" width="8.85546875" customWidth="1"/>
    <col min="37" max="37" width="7.5703125" customWidth="1"/>
    <col min="41" max="41" width="11" bestFit="1" customWidth="1"/>
    <col min="42" max="44" width="11" customWidth="1"/>
    <col min="45" max="45" width="10.28515625" customWidth="1"/>
    <col min="46" max="46" width="8.28515625" customWidth="1"/>
    <col min="47" max="47" width="14.5703125" customWidth="1"/>
    <col min="48" max="48" width="18.42578125" customWidth="1"/>
    <col min="49" max="49" width="15.85546875" customWidth="1"/>
    <col min="50" max="50" width="15.7109375" customWidth="1"/>
    <col min="51" max="51" width="14.85546875" customWidth="1"/>
    <col min="52" max="52" width="15.28515625" customWidth="1"/>
    <col min="53" max="53" width="11.85546875" customWidth="1"/>
  </cols>
  <sheetData>
    <row r="1" spans="1:54" ht="24.75" customHeight="1">
      <c r="A1" t="s">
        <v>166</v>
      </c>
      <c r="B1" s="27" t="s">
        <v>167</v>
      </c>
      <c r="C1" s="28" t="s">
        <v>168</v>
      </c>
      <c r="D1" s="28" t="s">
        <v>169</v>
      </c>
      <c r="E1" s="28" t="s">
        <v>170</v>
      </c>
      <c r="F1" s="28" t="s">
        <v>171</v>
      </c>
      <c r="G1" s="36" t="s">
        <v>172</v>
      </c>
      <c r="H1" s="36" t="s">
        <v>173</v>
      </c>
      <c r="I1" s="37" t="s">
        <v>174</v>
      </c>
      <c r="J1" s="28" t="s">
        <v>175</v>
      </c>
      <c r="K1" s="34" t="s">
        <v>176</v>
      </c>
      <c r="L1" s="66" t="s">
        <v>177</v>
      </c>
      <c r="P1" s="4" t="s">
        <v>48</v>
      </c>
      <c r="Q1" s="4" t="s">
        <v>49</v>
      </c>
      <c r="R1" s="4" t="s">
        <v>50</v>
      </c>
      <c r="S1" s="4" t="s">
        <v>51</v>
      </c>
      <c r="T1" s="4" t="s">
        <v>52</v>
      </c>
      <c r="U1" s="4" t="s">
        <v>53</v>
      </c>
      <c r="V1" s="4" t="s">
        <v>54</v>
      </c>
      <c r="W1" s="4" t="s">
        <v>55</v>
      </c>
      <c r="X1" s="4" t="s">
        <v>56</v>
      </c>
      <c r="Y1" s="4" t="s">
        <v>57</v>
      </c>
      <c r="Z1" s="4" t="s">
        <v>58</v>
      </c>
      <c r="AA1" s="4" t="s">
        <v>59</v>
      </c>
      <c r="AB1" s="4" t="s">
        <v>60</v>
      </c>
      <c r="AC1" s="4" t="s">
        <v>61</v>
      </c>
      <c r="AD1" s="4" t="s">
        <v>62</v>
      </c>
      <c r="AE1" s="4" t="s">
        <v>63</v>
      </c>
      <c r="AF1" s="4" t="s">
        <v>64</v>
      </c>
      <c r="AG1" s="4" t="s">
        <v>65</v>
      </c>
      <c r="AH1" s="4" t="s">
        <v>66</v>
      </c>
      <c r="AI1" s="4" t="s">
        <v>67</v>
      </c>
      <c r="AJ1" s="4" t="s">
        <v>68</v>
      </c>
      <c r="AK1" s="4" t="s">
        <v>69</v>
      </c>
      <c r="AL1" s="4" t="s">
        <v>70</v>
      </c>
      <c r="AM1" s="1"/>
      <c r="AN1" s="1"/>
      <c r="AO1" s="1"/>
      <c r="AP1" s="1"/>
      <c r="AQ1" s="1"/>
      <c r="AR1" s="1"/>
      <c r="AS1" s="1"/>
      <c r="AT1" s="1"/>
    </row>
    <row r="2" spans="1:54">
      <c r="A2" s="40" t="str">
        <f>_xlfn.TEXTJOIN(",",TRUE,_xlfn._xlws.SORT(_xlfn.TEXTSPLIT(_xlfn.TEXTJOIN(",",TRUE,_xlfn._xlws.SORT($B2:$F2, 1, -1, FALSE)),"WWWWW",",")))</f>
        <v>Chromius.TAMU,Galahad21588,Glonk.MB</v>
      </c>
      <c r="B2" s="47" t="s">
        <v>77</v>
      </c>
      <c r="C2" s="42" t="s">
        <v>162</v>
      </c>
      <c r="D2" s="48" t="s">
        <v>96</v>
      </c>
      <c r="E2" s="49" t="s">
        <v>180</v>
      </c>
      <c r="F2" s="49" t="s">
        <v>180</v>
      </c>
      <c r="G2" s="40">
        <v>13</v>
      </c>
      <c r="H2" s="40">
        <v>6</v>
      </c>
      <c r="I2" s="40">
        <f>$G2+$H2</f>
        <v>19</v>
      </c>
      <c r="J2" s="50">
        <f>G2/(H2+G2)</f>
        <v>0.68421052631578949</v>
      </c>
      <c r="K2" s="51">
        <f>(Y8S4[[#This Row],[Wins]]-Y8S4[[#This Row],[Losses]]/SUM(Y8S4[Games Played]))/10</f>
        <v>1.2976744186046512</v>
      </c>
      <c r="L2" s="68" t="s">
        <v>181</v>
      </c>
      <c r="P2" s="1" t="str">
        <f>IF(AL2&gt;7.5, "TIER 1",
IF(AL2&gt;6.5, "TIER 2",
IF(AL2&gt;5.5, "TIER 3",
IF(AL2&gt;4.5, "TIER 4",
IF(AL2&gt;3.5, "TIER 5",
IF(AL2&gt;2,  "TIER 6",
IF(AL2&gt;0,  "TIER 7",
"TIER 8")))))))</f>
        <v>TIER 1</v>
      </c>
      <c r="Q2" s="1" t="s">
        <v>76</v>
      </c>
      <c r="R2" s="8" t="s">
        <v>77</v>
      </c>
      <c r="S2" s="8">
        <f>VLOOKUP(Table257[[#This Row],[Player]],ImportTable[],2,FALSE)</f>
        <v>1.2084809999999999</v>
      </c>
      <c r="T2" s="8">
        <f>VLOOKUP(Table257[[#This Row],[Player]],ImportTable[],3,FALSE)</f>
        <v>1.489598</v>
      </c>
      <c r="U2" s="8">
        <f>VLOOKUP(Table257[[#This Row],[Player]],ImportTable[],4,FALSE)</f>
        <v>493</v>
      </c>
      <c r="V2" s="8">
        <f>VLOOKUP(Table257[[#This Row],[Player]],ImportTable[],5,FALSE)</f>
        <v>628</v>
      </c>
      <c r="W2" s="8">
        <f>VLOOKUP(Table257[[#This Row],[Player]],ImportTable[],6,FALSE)</f>
        <v>683</v>
      </c>
      <c r="X2" s="8">
        <f>VLOOKUP(Table257[[#This Row],[Player]],ImportTable[],7,FALSE)</f>
        <v>441</v>
      </c>
      <c r="Y2" s="77">
        <f>VLOOKUP(Table257[[#This Row],[Player]],ImportTable[],8,FALSE)</f>
        <v>60.709119999999999</v>
      </c>
      <c r="Z2" s="77">
        <f>VLOOKUP(Table257[[#This Row],[Player]],ImportTable[],9,FALSE)</f>
        <v>67.103430000000003</v>
      </c>
      <c r="AA2" s="8">
        <f>VLOOKUP(Table257[[#This Row],[Player]],ImportTable[],10,FALSE)</f>
        <v>203</v>
      </c>
      <c r="AB2" s="8">
        <f>VLOOKUP(Table257[[#This Row],[Player]],ImportTable[],11,FALSE)</f>
        <v>175</v>
      </c>
      <c r="AC2" s="3">
        <f>IFERROR(Table257[[#This Row],[Ranked Wins]]/(Table257[[#This Row],[Ranked Wins]]+Table257[[#This Row],[Ranked Losses]]),0)</f>
        <v>0.53703703703703709</v>
      </c>
      <c r="AD2" s="3">
        <f>IFERROR(Table257[[#This Row],[Attack Wins]]/(Table257[[#This Row],[Attack Wins]]+Table257[[#This Row],[Attack Losses]]),0)</f>
        <v>0.43978590544157004</v>
      </c>
      <c r="AE2" s="3">
        <f>IFERROR(Table257[[#This Row],[Defense Wins]]/(Table257[[#This Row],[Defense Wins]]+Table257[[#This Row],[Defense Losses]]),0)</f>
        <v>0.60765124555160144</v>
      </c>
      <c r="AF2" s="1" cm="1">
        <f t="array" ref="AF2">IFERROR(SUMPRODUCT(($B$2:$F$118=Table257[[#This Row],[Player]])*$G$2:$G$118),0)</f>
        <v>121</v>
      </c>
      <c r="AG2" s="1" cm="1">
        <f t="array" ref="AG2">IFERROR(SUMPRODUCT(($B$2:$F$118=Table257[[#This Row],[Player]])*$H$2:$H$118),0)</f>
        <v>112</v>
      </c>
      <c r="AH2" s="1">
        <f>Table257[[#This Row],[Wins in Stacks]]+Table257[[#This Row],[Losses in Stacks]]</f>
        <v>233</v>
      </c>
      <c r="AI2" s="3">
        <f>IFERROR(Table257[[#This Row],[Wins in Stacks]]/Table257[[#This Row],[Total Games In Stacks]],0)</f>
        <v>0.51931330472102999</v>
      </c>
      <c r="AJ2" s="75">
        <v>0.6</v>
      </c>
      <c r="AK2" s="74">
        <v>2</v>
      </c>
      <c r="AL2" s="20" cm="1">
        <f t="array" ref="AL2">(Table257[[#This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9.4528892020527469</v>
      </c>
      <c r="AM2" s="16" t="s">
        <v>73</v>
      </c>
      <c r="AN2" s="202" t="s">
        <v>74</v>
      </c>
      <c r="AO2" s="202"/>
      <c r="AP2" s="202"/>
      <c r="AQ2" s="202"/>
      <c r="AR2" s="202"/>
      <c r="AS2" s="202"/>
      <c r="AT2" s="202"/>
      <c r="AU2" s="202"/>
      <c r="AV2" s="203" t="s">
        <v>75</v>
      </c>
      <c r="AW2" s="203"/>
      <c r="AX2" s="203"/>
      <c r="AY2" s="203"/>
      <c r="AZ2" s="203"/>
      <c r="BA2" s="203"/>
      <c r="BB2" s="203"/>
    </row>
    <row r="3" spans="1:54">
      <c r="A3" s="40" t="str">
        <f>_xlfn.TEXTJOIN(",",TRUE,_xlfn._xlws.SORT(_xlfn.TEXTSPLIT(_xlfn.TEXTJOIN(",",TRUE,_xlfn._xlws.SORT($B3:$F3, 1, -1, FALSE)),"WWWWW",",")))</f>
        <v>Chromius.TAMU,Glonk.MB</v>
      </c>
      <c r="B3" s="41" t="s">
        <v>162</v>
      </c>
      <c r="C3" s="48" t="s">
        <v>77</v>
      </c>
      <c r="D3" s="49" t="s">
        <v>180</v>
      </c>
      <c r="E3" s="49" t="s">
        <v>180</v>
      </c>
      <c r="F3" s="49" t="s">
        <v>180</v>
      </c>
      <c r="G3" s="40">
        <v>10</v>
      </c>
      <c r="H3" s="40">
        <v>6</v>
      </c>
      <c r="I3" s="40">
        <f>$G3+$H3</f>
        <v>16</v>
      </c>
      <c r="J3" s="50">
        <f>G3/(H3+G3)</f>
        <v>0.625</v>
      </c>
      <c r="K3" s="51">
        <f>(Y8S4[[#This Row],[Wins]]-Y8S4[[#This Row],[Losses]]/SUM(Y8S4[Games Played]))/10</f>
        <v>0.99767441860465111</v>
      </c>
      <c r="L3" s="68"/>
      <c r="N3" t="s">
        <v>178</v>
      </c>
      <c r="P3" s="1" t="str">
        <f>IF(AL3&gt;7.5, "TIER 1",
IF(AL3&gt;6.5, "TIER 2",
IF(AL3&gt;5.5, "TIER 3",
IF(AL3&gt;4.5, "TIER 4",
IF(AL3&gt;3.5, "TIER 5",
IF(AL3&gt;2,  "TIER 6",
IF(AL3&gt;0,  "TIER 7",
"TIER 8")))))))</f>
        <v>TIER 1</v>
      </c>
      <c r="Q3" s="84" t="s">
        <v>100</v>
      </c>
      <c r="R3" s="84" t="s">
        <v>100</v>
      </c>
      <c r="S3" s="8">
        <f>VLOOKUP(Table257[[#This Row],[Player]],ImportTable[],2,FALSE)</f>
        <v>0.92727300000000001</v>
      </c>
      <c r="T3" s="8">
        <f>VLOOKUP(Table257[[#This Row],[Player]],ImportTable[],3,FALSE)</f>
        <v>1.6153850000000001</v>
      </c>
      <c r="U3" s="8">
        <f>VLOOKUP(Table257[[#This Row],[Player]],ImportTable[],4,FALSE)</f>
        <v>66</v>
      </c>
      <c r="V3" s="8">
        <f>VLOOKUP(Table257[[#This Row],[Player]],ImportTable[],5,FALSE)</f>
        <v>80</v>
      </c>
      <c r="W3" s="8">
        <f>VLOOKUP(Table257[[#This Row],[Player]],ImportTable[],6,FALSE)</f>
        <v>87</v>
      </c>
      <c r="X3" s="8">
        <f>VLOOKUP(Table257[[#This Row],[Player]],ImportTable[],7,FALSE)</f>
        <v>62</v>
      </c>
      <c r="Y3" s="77">
        <f>VLOOKUP(Table257[[#This Row],[Player]],ImportTable[],8,FALSE)</f>
        <v>56.708750000000002</v>
      </c>
      <c r="Z3" s="77">
        <f>VLOOKUP(Table257[[#This Row],[Player]],ImportTable[],9,FALSE)</f>
        <v>71.674170000000004</v>
      </c>
      <c r="AA3" s="8">
        <f>VLOOKUP(Table257[[#This Row],[Player]],ImportTable[],10,FALSE)</f>
        <v>25</v>
      </c>
      <c r="AB3" s="8">
        <f>VLOOKUP(Table257[[#This Row],[Player]],ImportTable[],11,FALSE)</f>
        <v>31</v>
      </c>
      <c r="AC3" s="3">
        <f>IFERROR(Table257[[#This Row],[Ranked Wins]]/(Table257[[#This Row],[Ranked Wins]]+Table257[[#This Row],[Ranked Losses]]),0)</f>
        <v>0.44642857142857145</v>
      </c>
      <c r="AD3" s="3">
        <f>IFERROR(Table257[[#This Row],[Attack Wins]]/(Table257[[#This Row],[Attack Wins]]+Table257[[#This Row],[Attack Losses]]),0)</f>
        <v>0.45205479452054792</v>
      </c>
      <c r="AE3" s="3">
        <f>IFERROR(Table257[[#This Row],[Defense Wins]]/(Table257[[#This Row],[Defense Wins]]+Table257[[#This Row],[Defense Losses]]),0)</f>
        <v>0.58389261744966447</v>
      </c>
      <c r="AF3" s="1" cm="1">
        <f t="array" ref="AF3">IFERROR(SUMPRODUCT(($B$2:$F$118=Table257[[#This Row],[Player]])*$G$2:$G$118),0)</f>
        <v>5</v>
      </c>
      <c r="AG3" s="1" cm="1">
        <f t="array" ref="AG3">IFERROR(SUMPRODUCT(($B$2:$F$118=Table257[[#This Row],[Player]])*$H$2:$H$118),0)</f>
        <v>2</v>
      </c>
      <c r="AH3" s="1">
        <f>Table257[[#This Row],[Wins in Stacks]]+Table257[[#This Row],[Losses in Stacks]]</f>
        <v>7</v>
      </c>
      <c r="AI3" s="3">
        <f>IFERROR(Table257[[#This Row],[Wins in Stacks]]/Table257[[#This Row],[Total Games In Stacks]],0)</f>
        <v>0.7142857142857143</v>
      </c>
      <c r="AJ3" s="75">
        <v>0.3</v>
      </c>
      <c r="AK3" s="21">
        <v>2</v>
      </c>
      <c r="AL3" s="20" cm="1">
        <f t="array" ref="AL3">(Table257[[#This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9.232971347032187</v>
      </c>
      <c r="AM3" s="18" t="s">
        <v>78</v>
      </c>
      <c r="AN3" s="204" t="s">
        <v>79</v>
      </c>
      <c r="AO3" s="204"/>
      <c r="AP3" s="204"/>
      <c r="AQ3" s="204"/>
      <c r="AR3" s="204"/>
      <c r="AS3" s="204"/>
      <c r="AT3" s="204"/>
      <c r="AU3" s="204"/>
      <c r="AV3" s="203" t="s">
        <v>80</v>
      </c>
      <c r="AW3" s="203"/>
      <c r="AX3" s="203"/>
      <c r="AY3" s="203"/>
      <c r="AZ3" s="203"/>
      <c r="BA3" s="203"/>
      <c r="BB3" s="203"/>
    </row>
    <row r="4" spans="1:54">
      <c r="A4" s="40" t="str">
        <f>_xlfn.TEXTJOIN(",",TRUE,_xlfn._xlws.SORT(_xlfn.TEXTSPLIT(_xlfn.TEXTJOIN(",",TRUE,_xlfn._xlws.SORT($B4:$F4, 1, -1, FALSE)),"WWWWW",",")))</f>
        <v>Glonk.MB</v>
      </c>
      <c r="B4" s="41" t="s">
        <v>162</v>
      </c>
      <c r="C4" s="52" t="s">
        <v>180</v>
      </c>
      <c r="D4" s="52" t="s">
        <v>180</v>
      </c>
      <c r="E4" s="52" t="s">
        <v>180</v>
      </c>
      <c r="F4" s="52" t="s">
        <v>180</v>
      </c>
      <c r="G4" s="40">
        <v>2</v>
      </c>
      <c r="H4" s="40">
        <v>5</v>
      </c>
      <c r="I4" s="40">
        <f>$G4+$H4</f>
        <v>7</v>
      </c>
      <c r="J4" s="43">
        <f>G4/(H4+G4)</f>
        <v>0.2857142857142857</v>
      </c>
      <c r="K4" s="44">
        <f>(Y8S4[[#This Row],[Wins]]-Y8S4[[#This Row],[Losses]]/SUM(Y8S4[Games Played]))/10</f>
        <v>0.19806201550387598</v>
      </c>
      <c r="L4" s="67"/>
      <c r="M4" t="s">
        <v>77</v>
      </c>
      <c r="N4" s="9">
        <v>45353</v>
      </c>
      <c r="O4" s="10">
        <v>0.6118055555555556</v>
      </c>
      <c r="P4" s="1" t="str">
        <f>IF(AL4&gt;7.5, "TIER 1",
IF(AL4&gt;6.5, "TIER 2",
IF(AL4&gt;5.5, "TIER 3",
IF(AL4&gt;4.5, "TIER 4",
IF(AL4&gt;3.5, "TIER 5",
IF(AL4&gt;2,  "TIER 6",
IF(AL4&gt;0,  "TIER 7",
"TIER 8")))))))</f>
        <v>TIER 1</v>
      </c>
      <c r="Q4" s="1" t="s">
        <v>71</v>
      </c>
      <c r="R4" s="8" t="s">
        <v>72</v>
      </c>
      <c r="S4" s="8">
        <f>(VLOOKUP("Glonk.MB",ImportTable[],2,FALSE) + VLOOKUP("Glonk..",ImportTable[],2,FALSE))/2</f>
        <v>0.78557900000000003</v>
      </c>
      <c r="T4" s="8">
        <f>(VLOOKUP("Glonk.MB",ImportTable[],3,FALSE) + VLOOKUP("Glonk..",ImportTable[],3,FALSE))/2</f>
        <v>0.91396900000000003</v>
      </c>
      <c r="U4" s="8">
        <f>(VLOOKUP("Glonk.MB",ImportTable[],4,FALSE) + VLOOKUP("Glonk..",ImportTable[],4,FALSE))</f>
        <v>354</v>
      </c>
      <c r="V4" s="8">
        <f>(VLOOKUP("Glonk.MB",ImportTable[],5,FALSE) + VLOOKUP("Glonk..",ImportTable[],5,FALSE))</f>
        <v>449</v>
      </c>
      <c r="W4" s="8">
        <f>(VLOOKUP("Glonk.MB",ImportTable[],6,FALSE) + VLOOKUP("Glonk..",ImportTable[],6,FALSE))</f>
        <v>518</v>
      </c>
      <c r="X4" s="8">
        <f>(VLOOKUP("Glonk.MB",ImportTable[],7,FALSE) + VLOOKUP("Glonk..",ImportTable[],7,FALSE))</f>
        <v>286</v>
      </c>
      <c r="Y4" s="77">
        <f>(VLOOKUP("Glonk.MB",ImportTable[],8,FALSE) + VLOOKUP("Glonk..",ImportTable[],8,FALSE))/2</f>
        <v>41.785070000000005</v>
      </c>
      <c r="Z4" s="77">
        <f>(VLOOKUP("Glonk.MB",ImportTable[],9,FALSE) + VLOOKUP("Glonk..",ImportTable[],9,FALSE))/2</f>
        <v>64.467970000000008</v>
      </c>
      <c r="AA4" s="8">
        <f>(VLOOKUP("Glonk.MB",ImportTable[],11,FALSE) + VLOOKUP("Glonk..",ImportTable[],11,FALSE))</f>
        <v>112</v>
      </c>
      <c r="AB4" s="8">
        <f>(VLOOKUP("Glonk.MB",ImportTable[],10,FALSE) + VLOOKUP("Glonk..",ImportTable[],10,FALSE))</f>
        <v>153</v>
      </c>
      <c r="AC4" s="3">
        <f>IFERROR(Table257[[#This Row],[Ranked Wins]]/(Table257[[#This Row],[Ranked Wins]]+Table257[[#This Row],[Ranked Losses]]),0)</f>
        <v>0.42264150943396228</v>
      </c>
      <c r="AD4" s="3">
        <f>IFERROR(Table257[[#This Row],[Attack Wins]]/(Table257[[#This Row],[Attack Wins]]+Table257[[#This Row],[Attack Losses]]),0)</f>
        <v>0.44084682440846823</v>
      </c>
      <c r="AE4" s="3">
        <f>IFERROR(Table257[[#This Row],[Defense Wins]]/(Table257[[#This Row],[Defense Wins]]+Table257[[#This Row],[Defense Losses]]),0)</f>
        <v>0.64427860696517414</v>
      </c>
      <c r="AF4" s="1" cm="1">
        <f t="array" ref="AF4">IFERROR(SUMPRODUCT(($B$2:$F$118="Glonk..")*$G$2:$G$118),0)+IFERROR(SUMPRODUCT(($B$2:$F$118="Glonk.MB")*$G$2:$G$118),0)</f>
        <v>78</v>
      </c>
      <c r="AG4" s="1" cm="1">
        <f t="array" ref="AG4">IFERROR(SUMPRODUCT(($B$2:$F$118="Glonk..")*$H$2:$H$118),0)+IFERROR(SUMPRODUCT(($B$2:$F$118="Glonk.MB")*$H$2:$H$118),0)</f>
        <v>66</v>
      </c>
      <c r="AH4" s="1">
        <f>Table257[[#This Row],[Wins in Stacks]]+Table257[[#This Row],[Losses in Stacks]]</f>
        <v>144</v>
      </c>
      <c r="AI4" s="3">
        <f>IFERROR(Table257[[#This Row],[Wins in Stacks]]/Table257[[#This Row],[Total Games In Stacks]],0)</f>
        <v>0.54166666666666663</v>
      </c>
      <c r="AJ4" s="75">
        <v>0.8</v>
      </c>
      <c r="AK4" s="74">
        <v>1</v>
      </c>
      <c r="AL4" s="20" cm="1">
        <f t="array" ref="AL4">(Table257[[#This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8.9784019687394423</v>
      </c>
      <c r="AM4" s="17" t="s">
        <v>82</v>
      </c>
      <c r="AN4" s="205" t="s">
        <v>83</v>
      </c>
      <c r="AO4" s="205"/>
      <c r="AP4" s="205"/>
      <c r="AQ4" s="205"/>
      <c r="AR4" s="205"/>
      <c r="AS4" s="205"/>
      <c r="AT4" s="205"/>
      <c r="AU4" s="205"/>
      <c r="AV4" s="203" t="s">
        <v>84</v>
      </c>
      <c r="AW4" s="203"/>
      <c r="AX4" s="203"/>
      <c r="AY4" s="203"/>
      <c r="AZ4" s="203"/>
      <c r="BA4" s="203"/>
      <c r="BB4" s="203"/>
    </row>
    <row r="5" spans="1:54">
      <c r="A5" s="40" t="str">
        <f>_xlfn.TEXTJOIN(",",TRUE,_xlfn._xlws.SORT(_xlfn.TEXTSPLIT(_xlfn.TEXTJOIN(",",TRUE,_xlfn._xlws.SORT($B5:$F5, 1, -1, FALSE)),"WWWWW",",")))</f>
        <v>Chromius.TAMU,Galahad21588</v>
      </c>
      <c r="B5" s="45" t="s">
        <v>77</v>
      </c>
      <c r="C5" s="46" t="s">
        <v>96</v>
      </c>
      <c r="D5" s="49" t="s">
        <v>180</v>
      </c>
      <c r="E5" s="49" t="s">
        <v>180</v>
      </c>
      <c r="F5" s="49" t="s">
        <v>180</v>
      </c>
      <c r="G5" s="40">
        <v>2</v>
      </c>
      <c r="H5" s="40">
        <v>4</v>
      </c>
      <c r="I5" s="40">
        <f>$G5+$H5</f>
        <v>6</v>
      </c>
      <c r="J5" s="43">
        <f>G5/(H5+G5)</f>
        <v>0.33333333333333331</v>
      </c>
      <c r="K5" s="44">
        <f>(Y8S4[[#This Row],[Wins]]-Y8S4[[#This Row],[Losses]]/SUM(Y8S4[Games Played]))/10</f>
        <v>0.19844961240310077</v>
      </c>
      <c r="L5" s="67"/>
      <c r="M5" t="s">
        <v>182</v>
      </c>
      <c r="N5" s="9">
        <v>45361</v>
      </c>
      <c r="O5" s="26" t="s">
        <v>183</v>
      </c>
      <c r="P5" s="1" t="str">
        <f>IF(AL5&gt;7.5, "TIER 1",
IF(AL5&gt;6.5, "TIER 2",
IF(AL5&gt;5.5, "TIER 3",
IF(AL5&gt;4.5, "TIER 4",
IF(AL5&gt;3.5, "TIER 5",
IF(AL5&gt;2,  "TIER 6",
IF(AL5&gt;0,  "TIER 7",
"TIER 8")))))))</f>
        <v>TIER 1</v>
      </c>
      <c r="Q5" s="1" t="s">
        <v>90</v>
      </c>
      <c r="R5" s="8" t="s">
        <v>91</v>
      </c>
      <c r="S5" s="8">
        <f>VLOOKUP(Table257[[#This Row],[Player]],ImportTable[],2,FALSE)</f>
        <v>1.035714</v>
      </c>
      <c r="T5" s="8">
        <f>VLOOKUP(Table257[[#This Row],[Player]],ImportTable[],3,FALSE)</f>
        <v>0.93827199999999999</v>
      </c>
      <c r="U5" s="8">
        <f>VLOOKUP(Table257[[#This Row],[Player]],ImportTable[],4,FALSE)</f>
        <v>49</v>
      </c>
      <c r="V5" s="8">
        <f>VLOOKUP(Table257[[#This Row],[Player]],ImportTable[],5,FALSE)</f>
        <v>57</v>
      </c>
      <c r="W5" s="8">
        <f>VLOOKUP(Table257[[#This Row],[Player]],ImportTable[],6,FALSE)</f>
        <v>63</v>
      </c>
      <c r="X5" s="8">
        <f>VLOOKUP(Table257[[#This Row],[Player]],ImportTable[],7,FALSE)</f>
        <v>42</v>
      </c>
      <c r="Y5" s="77">
        <f>VLOOKUP(Table257[[#This Row],[Player]],ImportTable[],8,FALSE)</f>
        <v>41.482729999999997</v>
      </c>
      <c r="Z5" s="77">
        <f>VLOOKUP(Table257[[#This Row],[Player]],ImportTable[],9,FALSE)</f>
        <v>57.882939999999998</v>
      </c>
      <c r="AA5" s="8">
        <f>VLOOKUP(Table257[[#This Row],[Player]],ImportTable[],10,FALSE)</f>
        <v>19</v>
      </c>
      <c r="AB5" s="8">
        <f>VLOOKUP(Table257[[#This Row],[Player]],ImportTable[],11,FALSE)</f>
        <v>17</v>
      </c>
      <c r="AC5" s="3">
        <f>IFERROR(Table257[[#This Row],[Ranked Wins]]/(Table257[[#This Row],[Ranked Wins]]+Table257[[#This Row],[Ranked Losses]]),0)</f>
        <v>0.52777777777777779</v>
      </c>
      <c r="AD5" s="3">
        <f>IFERROR(Table257[[#This Row],[Attack Wins]]/(Table257[[#This Row],[Attack Wins]]+Table257[[#This Row],[Attack Losses]]),0)</f>
        <v>0.46226415094339623</v>
      </c>
      <c r="AE5" s="3">
        <f>IFERROR(Table257[[#This Row],[Defense Wins]]/(Table257[[#This Row],[Defense Wins]]+Table257[[#This Row],[Defense Losses]]),0)</f>
        <v>0.6</v>
      </c>
      <c r="AF5" s="1" cm="1">
        <f t="array" ref="AF5">IFERROR(SUMPRODUCT(($B$2:$F$118=Table257[[#This Row],[Player]])*$G$2:$G$118),0)</f>
        <v>7</v>
      </c>
      <c r="AG5" s="1" cm="1">
        <f t="array" ref="AG5">IFERROR(SUMPRODUCT(($B$2:$F$118=Table257[[#This Row],[Player]])*$H$2:$H$118),0)</f>
        <v>4</v>
      </c>
      <c r="AH5" s="1">
        <f>Table257[[#This Row],[Wins in Stacks]]+Table257[[#This Row],[Losses in Stacks]]</f>
        <v>11</v>
      </c>
      <c r="AI5" s="3">
        <f>IFERROR(Table257[[#This Row],[Wins in Stacks]]/Table257[[#This Row],[Total Games In Stacks]],0)</f>
        <v>0.63636363636363635</v>
      </c>
      <c r="AJ5" s="75">
        <v>0.6</v>
      </c>
      <c r="AK5" s="74">
        <v>2</v>
      </c>
      <c r="AL5" s="20" cm="1">
        <f t="array" ref="AL5">(Table257[[#This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8.2807922418145292</v>
      </c>
      <c r="AM5" s="13" t="s">
        <v>87</v>
      </c>
      <c r="AN5" s="206" t="s">
        <v>88</v>
      </c>
      <c r="AO5" s="206"/>
      <c r="AP5" s="206"/>
      <c r="AQ5" s="206"/>
      <c r="AR5" s="206"/>
      <c r="AS5" s="206"/>
      <c r="AT5" s="206"/>
      <c r="AU5" s="206"/>
      <c r="AV5" s="203" t="s">
        <v>89</v>
      </c>
      <c r="AW5" s="203"/>
      <c r="AX5" s="203"/>
      <c r="AY5" s="203"/>
      <c r="AZ5" s="203"/>
      <c r="BA5" s="203"/>
      <c r="BB5" s="203"/>
    </row>
    <row r="6" spans="1:54" ht="16.5" customHeight="1">
      <c r="A6" s="40" t="str">
        <f>_xlfn.TEXTJOIN(",",TRUE,_xlfn._xlws.SORT(_xlfn.TEXTSPLIT(_xlfn.TEXTJOIN(",",TRUE,_xlfn._xlws.SORT($B6:$F6, 1, -1, FALSE)),"WWWWW",",")))</f>
        <v>Chromius.TAMU,Glonk.MB,Nobetterdough,ThiccPie.OU,Timythiccums.MB</v>
      </c>
      <c r="B6" s="47" t="s">
        <v>77</v>
      </c>
      <c r="C6" s="42" t="s">
        <v>162</v>
      </c>
      <c r="D6" s="48" t="s">
        <v>81</v>
      </c>
      <c r="E6" s="48" t="s">
        <v>104</v>
      </c>
      <c r="F6" s="48" t="s">
        <v>125</v>
      </c>
      <c r="G6" s="40">
        <v>3</v>
      </c>
      <c r="H6" s="40">
        <v>2</v>
      </c>
      <c r="I6" s="40">
        <f>$G6+$H6</f>
        <v>5</v>
      </c>
      <c r="J6" s="50">
        <f>G6/(H6+G6)</f>
        <v>0.6</v>
      </c>
      <c r="K6" s="51">
        <f>(Y8S4[[#This Row],[Wins]]-Y8S4[[#This Row],[Losses]]/SUM(Y8S4[Games Played]))/10</f>
        <v>0.2992248062015504</v>
      </c>
      <c r="L6" s="68"/>
      <c r="P6" s="1" t="str">
        <f>IF(AL6&gt;7.5, "TIER 1",
IF(AL6&gt;6.5, "TIER 2",
IF(AL6&gt;5.5, "TIER 3",
IF(AL6&gt;4.5, "TIER 4",
IF(AL6&gt;3.5, "TIER 5",
IF(AL6&gt;2,  "TIER 6",
IF(AL6&gt;0,  "TIER 7",
"TIER 8")))))))</f>
        <v>TIER 1</v>
      </c>
      <c r="Q6" s="1" t="s">
        <v>85</v>
      </c>
      <c r="R6" s="8" t="s">
        <v>86</v>
      </c>
      <c r="S6" s="8">
        <f>VLOOKUP(Table257[[#This Row],[Player]],ImportTable[],2,FALSE)</f>
        <v>1.208955</v>
      </c>
      <c r="T6" s="8">
        <f>VLOOKUP(Table257[[#This Row],[Player]],ImportTable[],3,FALSE)</f>
        <v>1.271676</v>
      </c>
      <c r="U6" s="8">
        <f>VLOOKUP(Table257[[#This Row],[Player]],ImportTable[],4,FALSE)</f>
        <v>142</v>
      </c>
      <c r="V6" s="8">
        <f>VLOOKUP(Table257[[#This Row],[Player]],ImportTable[],5,FALSE)</f>
        <v>154</v>
      </c>
      <c r="W6" s="8">
        <f>VLOOKUP(Table257[[#This Row],[Player]],ImportTable[],6,FALSE)</f>
        <v>175</v>
      </c>
      <c r="X6" s="8">
        <f>VLOOKUP(Table257[[#This Row],[Player]],ImportTable[],7,FALSE)</f>
        <v>109</v>
      </c>
      <c r="Y6" s="77">
        <f>VLOOKUP(Table257[[#This Row],[Player]],ImportTable[],8,FALSE)</f>
        <v>56.228749999999998</v>
      </c>
      <c r="Z6" s="77">
        <f>VLOOKUP(Table257[[#This Row],[Player]],ImportTable[],9,FALSE)</f>
        <v>62.583159999999999</v>
      </c>
      <c r="AA6" s="8">
        <f>VLOOKUP(Table257[[#This Row],[Player]],ImportTable[],10,FALSE)</f>
        <v>46</v>
      </c>
      <c r="AB6" s="8">
        <f>VLOOKUP(Table257[[#This Row],[Player]],ImportTable[],11,FALSE)</f>
        <v>30</v>
      </c>
      <c r="AC6" s="3">
        <f>IFERROR(Table257[[#This Row],[Ranked Wins]]/(Table257[[#This Row],[Ranked Wins]]+Table257[[#This Row],[Ranked Losses]]),0)</f>
        <v>0.60526315789473684</v>
      </c>
      <c r="AD6" s="3">
        <f>IFERROR(Table257[[#This Row],[Attack Wins]]/(Table257[[#This Row],[Attack Wins]]+Table257[[#This Row],[Attack Losses]]),0)</f>
        <v>0.47972972972972971</v>
      </c>
      <c r="AE6" s="3">
        <f>IFERROR(Table257[[#This Row],[Defense Wins]]/(Table257[[#This Row],[Defense Wins]]+Table257[[#This Row],[Defense Losses]]),0)</f>
        <v>0.61619718309859151</v>
      </c>
      <c r="AF6" s="1" cm="1">
        <f t="array" ref="AF6">IFERROR(SUMPRODUCT(($B$2:$F$118=Table257[[#This Row],[Player]])*$G$2:$G$118),0)</f>
        <v>37</v>
      </c>
      <c r="AG6" s="1" cm="1">
        <f t="array" ref="AG6">IFERROR(SUMPRODUCT(($B$2:$F$118=Table257[[#This Row],[Player]])*$H$2:$H$118),0)</f>
        <v>30</v>
      </c>
      <c r="AH6" s="1">
        <f>Table257[[#This Row],[Wins in Stacks]]+Table257[[#This Row],[Losses in Stacks]]</f>
        <v>67</v>
      </c>
      <c r="AI6" s="3">
        <f>IFERROR(Table257[[#This Row],[Wins in Stacks]]/Table257[[#This Row],[Total Games In Stacks]],0)</f>
        <v>0.55223880597014929</v>
      </c>
      <c r="AJ6" s="75">
        <v>0.5</v>
      </c>
      <c r="AK6" s="21">
        <v>3</v>
      </c>
      <c r="AL6" s="20" cm="1">
        <f t="array" ref="AL6">(Table257[[#This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8.1610460539636271</v>
      </c>
      <c r="AM6" s="14" t="s">
        <v>92</v>
      </c>
      <c r="AN6" s="207" t="s">
        <v>93</v>
      </c>
      <c r="AO6" s="207"/>
      <c r="AP6" s="207"/>
      <c r="AQ6" s="207"/>
      <c r="AR6" s="207"/>
      <c r="AS6" s="207"/>
      <c r="AT6" s="207"/>
      <c r="AU6" s="207"/>
      <c r="AV6" s="203" t="s">
        <v>94</v>
      </c>
      <c r="AW6" s="203"/>
      <c r="AX6" s="203"/>
      <c r="AY6" s="203"/>
      <c r="AZ6" s="203"/>
      <c r="BA6" s="203"/>
      <c r="BB6" s="203"/>
    </row>
    <row r="7" spans="1:54">
      <c r="A7" s="40" t="str">
        <f>_xlfn.TEXTJOIN(",",TRUE,_xlfn._xlws.SORT(_xlfn.TEXTSPLIT(_xlfn.TEXTJOIN(",",TRUE,_xlfn._xlws.SORT($B7:$F7, 1, -1, FALSE)),"WWWWW",",")))</f>
        <v>Chromius.TAMU,Dlehard.,iUseArch,Rat_Squilla,Timythiccums.MB</v>
      </c>
      <c r="B7" s="45" t="s">
        <v>77</v>
      </c>
      <c r="C7" s="46" t="s">
        <v>81</v>
      </c>
      <c r="D7" s="59" t="s">
        <v>121</v>
      </c>
      <c r="E7" s="54" t="s">
        <v>152</v>
      </c>
      <c r="F7" s="46" t="s">
        <v>205</v>
      </c>
      <c r="G7" s="40">
        <v>3</v>
      </c>
      <c r="H7" s="40">
        <v>2</v>
      </c>
      <c r="I7" s="40">
        <f>$G7+$H7</f>
        <v>5</v>
      </c>
      <c r="J7" s="43">
        <f>G7/(H7+G7)</f>
        <v>0.6</v>
      </c>
      <c r="K7" s="44">
        <f>(Y8S4[[#This Row],[Wins]]-Y8S4[[#This Row],[Losses]]/SUM(Y8S4[Games Played]))/10</f>
        <v>0.2992248062015504</v>
      </c>
      <c r="L7" s="67"/>
      <c r="P7" s="1" t="str">
        <f>IF(AL7&gt;7.5, "TIER 1",
IF(AL7&gt;6.5, "TIER 2",
IF(AL7&gt;5.5, "TIER 3",
IF(AL7&gt;4.5, "TIER 4",
IF(AL7&gt;3.5, "TIER 5",
IF(AL7&gt;2,  "TIER 6",
IF(AL7&gt;0,  "TIER 7",
"TIER 8")))))))</f>
        <v>TIER 1</v>
      </c>
      <c r="Q7" s="1" t="s">
        <v>8</v>
      </c>
      <c r="R7" s="8" t="s">
        <v>81</v>
      </c>
      <c r="S7" s="8">
        <f>VLOOKUP(Table257[[#This Row],[Player]],ImportTable[],2,FALSE)</f>
        <v>0.711816</v>
      </c>
      <c r="T7" s="8">
        <f>VLOOKUP(Table257[[#This Row],[Player]],ImportTable[],3,FALSE)</f>
        <v>0.96655500000000005</v>
      </c>
      <c r="U7" s="8">
        <f>VLOOKUP(Table257[[#This Row],[Player]],ImportTable[],4,FALSE)</f>
        <v>180</v>
      </c>
      <c r="V7" s="8">
        <f>VLOOKUP(Table257[[#This Row],[Player]],ImportTable[],5,FALSE)</f>
        <v>292</v>
      </c>
      <c r="W7" s="8">
        <f>VLOOKUP(Table257[[#This Row],[Player]],ImportTable[],6,FALSE)</f>
        <v>293</v>
      </c>
      <c r="X7" s="8">
        <f>VLOOKUP(Table257[[#This Row],[Player]],ImportTable[],7,FALSE)</f>
        <v>186</v>
      </c>
      <c r="Y7" s="77">
        <f>VLOOKUP(Table257[[#This Row],[Player]],ImportTable[],8,FALSE)</f>
        <v>54.600909999999999</v>
      </c>
      <c r="Z7" s="77">
        <f>VLOOKUP(Table257[[#This Row],[Player]],ImportTable[],9,FALSE)</f>
        <v>65.560630000000003</v>
      </c>
      <c r="AA7" s="8">
        <f>VLOOKUP(Table257[[#This Row],[Player]],ImportTable[],10,FALSE)</f>
        <v>75</v>
      </c>
      <c r="AB7" s="8">
        <f>VLOOKUP(Table257[[#This Row],[Player]],ImportTable[],11,FALSE)</f>
        <v>77</v>
      </c>
      <c r="AC7" s="3">
        <f>IFERROR(Table257[[#This Row],[Ranked Wins]]/(Table257[[#This Row],[Ranked Wins]]+Table257[[#This Row],[Ranked Losses]]),0)</f>
        <v>0.49342105263157893</v>
      </c>
      <c r="AD7" s="3">
        <f>IFERROR(Table257[[#This Row],[Attack Wins]]/(Table257[[#This Row],[Attack Wins]]+Table257[[#This Row],[Attack Losses]]),0)</f>
        <v>0.38135593220338981</v>
      </c>
      <c r="AE7" s="3">
        <f>IFERROR(Table257[[#This Row],[Defense Wins]]/(Table257[[#This Row],[Defense Wins]]+Table257[[#This Row],[Defense Losses]]),0)</f>
        <v>0.61169102296450939</v>
      </c>
      <c r="AF7" s="1" cm="1">
        <f t="array" ref="AF7">IFERROR(SUMPRODUCT(($B$2:$F$118=Table257[[#This Row],[Player]])*$G$2:$G$118),0)</f>
        <v>45</v>
      </c>
      <c r="AG7" s="1" cm="1">
        <f t="array" ref="AG7">IFERROR(SUMPRODUCT(($B$2:$F$118=Table257[[#This Row],[Player]])*$H$2:$H$118),0)</f>
        <v>44</v>
      </c>
      <c r="AH7" s="1">
        <f>Table257[[#This Row],[Wins in Stacks]]+Table257[[#This Row],[Losses in Stacks]]</f>
        <v>89</v>
      </c>
      <c r="AI7" s="3">
        <f>IFERROR(Table257[[#This Row],[Wins in Stacks]]/Table257[[#This Row],[Total Games In Stacks]],0)</f>
        <v>0.5056179775280899</v>
      </c>
      <c r="AJ7" s="75">
        <v>0.75</v>
      </c>
      <c r="AK7" s="21">
        <v>2</v>
      </c>
      <c r="AL7" s="20" cm="1">
        <f t="array" ref="AL7">(Table257[[#This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7.9141118558866417</v>
      </c>
      <c r="AM7" s="15" t="s">
        <v>97</v>
      </c>
      <c r="AN7" s="208" t="s">
        <v>98</v>
      </c>
      <c r="AO7" s="208"/>
      <c r="AP7" s="208"/>
      <c r="AQ7" s="208"/>
      <c r="AR7" s="208"/>
      <c r="AS7" s="208"/>
      <c r="AT7" s="208"/>
      <c r="AU7" s="208"/>
      <c r="AV7" s="203" t="s">
        <v>99</v>
      </c>
      <c r="AW7" s="203"/>
      <c r="AX7" s="203"/>
      <c r="AY7" s="203"/>
      <c r="AZ7" s="203"/>
      <c r="BA7" s="203"/>
      <c r="BB7" s="203"/>
    </row>
    <row r="8" spans="1:54">
      <c r="A8" s="40" t="str">
        <f>_xlfn.TEXTJOIN(",",TRUE,_xlfn._xlws.SORT(_xlfn.TEXTSPLIT(_xlfn.TEXTJOIN(",",TRUE,_xlfn._xlws.SORT($B8:$F8, 1, -1, FALSE)),"WWWWW",",")))</f>
        <v>Galahad21588,Glonk.MB,Kermitt.MB,Nobetterdough,Timythiccums.MB</v>
      </c>
      <c r="B8" s="41" t="s">
        <v>162</v>
      </c>
      <c r="C8" s="45" t="s">
        <v>96</v>
      </c>
      <c r="D8" s="46" t="s">
        <v>118</v>
      </c>
      <c r="E8" s="49" t="s">
        <v>81</v>
      </c>
      <c r="F8" s="49" t="s">
        <v>125</v>
      </c>
      <c r="G8" s="40">
        <v>3</v>
      </c>
      <c r="H8" s="40">
        <v>2</v>
      </c>
      <c r="I8" s="40">
        <f>$G8+$H8</f>
        <v>5</v>
      </c>
      <c r="J8" s="43">
        <f>G8/(H8+G8)</f>
        <v>0.6</v>
      </c>
      <c r="K8" s="44">
        <f>(Y8S4[[#This Row],[Wins]]-Y8S4[[#This Row],[Losses]]/SUM(Y8S4[Games Played]))/10</f>
        <v>0.2992248062015504</v>
      </c>
      <c r="L8" s="67" t="s">
        <v>206</v>
      </c>
      <c r="P8" s="1" t="str">
        <f>IF(AL8&gt;7.5, "TIER 1",
IF(AL8&gt;6.5, "TIER 2",
IF(AL8&gt;5.5, "TIER 3",
IF(AL8&gt;4.5, "TIER 4",
IF(AL8&gt;3.5, "TIER 5",
IF(AL8&gt;2,  "TIER 6",
IF(AL8&gt;0,  "TIER 7",
"TIER 8")))))))</f>
        <v>TIER 2</v>
      </c>
      <c r="Q8" s="1" t="s">
        <v>104</v>
      </c>
      <c r="R8" s="8" t="s">
        <v>104</v>
      </c>
      <c r="S8" s="8">
        <f>VLOOKUP(Table257[[#This Row],[Player]],ImportTable[],2,FALSE)</f>
        <v>1.1200000000000001</v>
      </c>
      <c r="T8" s="8">
        <f>VLOOKUP(Table257[[#This Row],[Player]],ImportTable[],3,FALSE)</f>
        <v>1.9583330000000001</v>
      </c>
      <c r="U8" s="8">
        <f>VLOOKUP(Table257[[#This Row],[Player]],ImportTable[],4,FALSE)</f>
        <v>32</v>
      </c>
      <c r="V8" s="8">
        <f>VLOOKUP(Table257[[#This Row],[Player]],ImportTable[],5,FALSE)</f>
        <v>41</v>
      </c>
      <c r="W8" s="8">
        <f>VLOOKUP(Table257[[#This Row],[Player]],ImportTable[],6,FALSE)</f>
        <v>48</v>
      </c>
      <c r="X8" s="8">
        <f>VLOOKUP(Table257[[#This Row],[Player]],ImportTable[],7,FALSE)</f>
        <v>30</v>
      </c>
      <c r="Y8" s="77">
        <f>VLOOKUP(Table257[[#This Row],[Player]],ImportTable[],8,FALSE)</f>
        <v>42.21</v>
      </c>
      <c r="Z8" s="77">
        <f>VLOOKUP(Table257[[#This Row],[Player]],ImportTable[],9,FALSE)</f>
        <v>88.046250000000001</v>
      </c>
      <c r="AA8" s="8">
        <f>VLOOKUP(Table257[[#This Row],[Player]],ImportTable[],10,FALSE)</f>
        <v>13</v>
      </c>
      <c r="AB8" s="8">
        <f>VLOOKUP(Table257[[#This Row],[Player]],ImportTable[],11,FALSE)</f>
        <v>9</v>
      </c>
      <c r="AC8" s="3">
        <f>IFERROR(Table257[[#This Row],[Ranked Wins]]/(Table257[[#This Row],[Ranked Wins]]+Table257[[#This Row],[Ranked Losses]]),0)</f>
        <v>0.59090909090909094</v>
      </c>
      <c r="AD8" s="3">
        <f>IFERROR(Table257[[#This Row],[Attack Wins]]/(Table257[[#This Row],[Attack Wins]]+Table257[[#This Row],[Attack Losses]]),0)</f>
        <v>0.43835616438356162</v>
      </c>
      <c r="AE8" s="3">
        <f>IFERROR(Table257[[#This Row],[Defense Wins]]/(Table257[[#This Row],[Defense Wins]]+Table257[[#This Row],[Defense Losses]]),0)</f>
        <v>0.61538461538461542</v>
      </c>
      <c r="AF8" s="1" cm="1">
        <f t="array" ref="AF8">IFERROR(SUMPRODUCT(($B$2:$F$118=Table257[[#This Row],[Player]])*$G$2:$G$118),0)</f>
        <v>6</v>
      </c>
      <c r="AG8" s="1" cm="1">
        <f t="array" ref="AG8">IFERROR(SUMPRODUCT(($B$2:$F$118=Table257[[#This Row],[Player]])*$H$2:$H$118),0)</f>
        <v>4</v>
      </c>
      <c r="AH8" s="1">
        <f>Table257[[#This Row],[Wins in Stacks]]+Table257[[#This Row],[Losses in Stacks]]</f>
        <v>10</v>
      </c>
      <c r="AI8" s="3">
        <f>IFERROR(Table257[[#This Row],[Wins in Stacks]]/Table257[[#This Row],[Total Games In Stacks]],0)</f>
        <v>0.6</v>
      </c>
      <c r="AJ8" s="75">
        <v>0.35</v>
      </c>
      <c r="AK8" s="21">
        <v>5</v>
      </c>
      <c r="AL8" s="20" cm="1">
        <f t="array" ref="AL8">(Table257[[#This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6.7930039341027406</v>
      </c>
      <c r="AM8" s="2" t="s">
        <v>101</v>
      </c>
      <c r="AN8" s="211" t="s">
        <v>102</v>
      </c>
      <c r="AO8" s="211"/>
      <c r="AP8" s="211"/>
      <c r="AQ8" s="211"/>
      <c r="AR8" s="211"/>
      <c r="AS8" s="211"/>
      <c r="AT8" s="211"/>
      <c r="AU8" s="211"/>
      <c r="AV8" s="203" t="s">
        <v>103</v>
      </c>
      <c r="AW8" s="203"/>
      <c r="AX8" s="203"/>
      <c r="AY8" s="203"/>
      <c r="AZ8" s="203"/>
      <c r="BA8" s="203"/>
      <c r="BB8" s="203"/>
    </row>
    <row r="9" spans="1:54">
      <c r="A9" s="40" t="str">
        <f>_xlfn.TEXTJOIN(",",TRUE,_xlfn._xlws.SORT(_xlfn.TEXTSPLIT(_xlfn.TEXTJOIN(",",TRUE,_xlfn._xlws.SORT($B9:$F9, 1, -1, FALSE)),"WWWWW",",")))</f>
        <v>Chromius.TAMU,Glonk.MB,Kermitt.MB</v>
      </c>
      <c r="B9" s="47" t="s">
        <v>77</v>
      </c>
      <c r="C9" s="42" t="s">
        <v>162</v>
      </c>
      <c r="D9" s="48" t="s">
        <v>118</v>
      </c>
      <c r="E9" s="49" t="s">
        <v>180</v>
      </c>
      <c r="F9" s="49" t="s">
        <v>180</v>
      </c>
      <c r="G9" s="40">
        <v>2</v>
      </c>
      <c r="H9" s="40">
        <v>3</v>
      </c>
      <c r="I9" s="40">
        <f>$G9+$H9</f>
        <v>5</v>
      </c>
      <c r="J9" s="50">
        <f>G9/(H9+G9)</f>
        <v>0.4</v>
      </c>
      <c r="K9" s="51">
        <f>(Y8S4[[#This Row],[Wins]]-Y8S4[[#This Row],[Losses]]/SUM(Y8S4[Games Played]))/10</f>
        <v>0.19883720930232557</v>
      </c>
      <c r="L9" s="68"/>
      <c r="P9" s="1" t="str">
        <f>IF(AL9&gt;7.5, "TIER 1",
IF(AL9&gt;6.5, "TIER 2",
IF(AL9&gt;5.5, "TIER 3",
IF(AL9&gt;4.5, "TIER 4",
IF(AL9&gt;3.5, "TIER 5",
IF(AL9&gt;2,  "TIER 6",
IF(AL9&gt;0,  "TIER 7",
"TIER 8")))))))</f>
        <v>TIER 2</v>
      </c>
      <c r="Q9" s="1" t="s">
        <v>145</v>
      </c>
      <c r="R9" s="1" t="s">
        <v>164</v>
      </c>
      <c r="S9" s="8">
        <f>VLOOKUP(Table257[[#This Row],[Player]],ImportTable[],2,FALSE)</f>
        <v>1.1627909999999999</v>
      </c>
      <c r="T9" s="8">
        <f>VLOOKUP(Table257[[#This Row],[Player]],ImportTable[],3,FALSE)</f>
        <v>1.54955</v>
      </c>
      <c r="U9" s="8">
        <f>VLOOKUP(Table257[[#This Row],[Player]],ImportTable[],4,FALSE)</f>
        <v>75</v>
      </c>
      <c r="V9" s="8">
        <f>VLOOKUP(Table257[[#This Row],[Player]],ImportTable[],5,FALSE)</f>
        <v>100</v>
      </c>
      <c r="W9" s="8">
        <f>VLOOKUP(Table257[[#This Row],[Player]],ImportTable[],6,FALSE)</f>
        <v>113</v>
      </c>
      <c r="X9" s="8">
        <f>VLOOKUP(Table257[[#This Row],[Player]],ImportTable[],7,FALSE)</f>
        <v>66</v>
      </c>
      <c r="Y9" s="77">
        <f>VLOOKUP(Table257[[#This Row],[Player]],ImportTable[],8,FALSE)</f>
        <v>59.73</v>
      </c>
      <c r="Z9" s="77">
        <f>VLOOKUP(Table257[[#This Row],[Player]],ImportTable[],9,FALSE)</f>
        <v>72.043329999999997</v>
      </c>
      <c r="AA9" s="8">
        <f>VLOOKUP(Table257[[#This Row],[Player]],ImportTable[],10,FALSE)</f>
        <v>33</v>
      </c>
      <c r="AB9" s="8">
        <f>VLOOKUP(Table257[[#This Row],[Player]],ImportTable[],11,FALSE)</f>
        <v>26</v>
      </c>
      <c r="AC9" s="3">
        <f>IFERROR(Table257[[#This Row],[Ranked Wins]]/(Table257[[#This Row],[Ranked Wins]]+Table257[[#This Row],[Ranked Losses]]),0)</f>
        <v>0.55932203389830504</v>
      </c>
      <c r="AD9" s="3">
        <f>IFERROR(Table257[[#This Row],[Attack Wins]]/(Table257[[#This Row],[Attack Wins]]+Table257[[#This Row],[Attack Losses]]),0)</f>
        <v>0.42857142857142855</v>
      </c>
      <c r="AE9" s="3">
        <f>IFERROR(Table257[[#This Row],[Defense Wins]]/(Table257[[#This Row],[Defense Wins]]+Table257[[#This Row],[Defense Losses]]),0)</f>
        <v>0.63128491620111726</v>
      </c>
      <c r="AF9" s="1" cm="1">
        <f t="array" ref="AF9">IFERROR(SUMPRODUCT(($B$2:$F$118=Table257[[#This Row],[Player]])*$G$2:$G$118),0)</f>
        <v>9</v>
      </c>
      <c r="AG9" s="1" cm="1">
        <f t="array" ref="AG9">IFERROR(SUMPRODUCT(($B$2:$F$118=Table257[[#This Row],[Player]])*$H$2:$H$118),0)</f>
        <v>4</v>
      </c>
      <c r="AH9" s="1">
        <f>Table257[[#This Row],[Wins in Stacks]]+Table257[[#This Row],[Losses in Stacks]]</f>
        <v>13</v>
      </c>
      <c r="AI9" s="3">
        <f>IFERROR(Table257[[#This Row],[Wins in Stacks]]/Table257[[#This Row],[Total Games In Stacks]],0)</f>
        <v>0.69230769230769229</v>
      </c>
      <c r="AJ9" s="75">
        <v>0.1</v>
      </c>
      <c r="AK9" s="21">
        <v>4</v>
      </c>
      <c r="AL9" s="20" cm="1">
        <f t="array" ref="AL9">(Table257[[#This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6.670158860192414</v>
      </c>
      <c r="AM9" s="19" t="s">
        <v>105</v>
      </c>
      <c r="AN9" s="212" t="s">
        <v>106</v>
      </c>
      <c r="AO9" s="212"/>
      <c r="AP9" s="212"/>
      <c r="AQ9" s="212"/>
      <c r="AR9" s="212"/>
      <c r="AS9" s="212"/>
      <c r="AT9" s="212"/>
      <c r="AU9" s="212"/>
      <c r="AV9" s="213" t="s">
        <v>107</v>
      </c>
      <c r="AW9" s="213"/>
      <c r="AX9" s="213"/>
      <c r="AY9" s="213"/>
      <c r="AZ9" s="213"/>
      <c r="BA9" s="213"/>
      <c r="BB9" s="213"/>
    </row>
    <row r="10" spans="1:54">
      <c r="A10" s="40" t="str">
        <f>_xlfn.TEXTJOIN(",",TRUE,_xlfn._xlws.SORT(_xlfn.TEXTSPLIT(_xlfn.TEXTJOIN(",",TRUE,_xlfn._xlws.SORT($B10:$F10, 1, -1, FALSE)),"WWWWW",",")))</f>
        <v>Chromius.TAMU,Coolrocket,Glonk,JoeHashish,PincheConcha</v>
      </c>
      <c r="B10" s="41" t="s">
        <v>197</v>
      </c>
      <c r="C10" s="46" t="s">
        <v>77</v>
      </c>
      <c r="D10" s="46" t="s">
        <v>91</v>
      </c>
      <c r="E10" s="81" t="s">
        <v>199</v>
      </c>
      <c r="F10" s="49" t="s">
        <v>200</v>
      </c>
      <c r="G10" s="40">
        <v>4</v>
      </c>
      <c r="H10" s="40">
        <v>0</v>
      </c>
      <c r="I10" s="40">
        <f>$G10+$H10</f>
        <v>4</v>
      </c>
      <c r="J10" s="43">
        <f>G10/(H10+G10)</f>
        <v>1</v>
      </c>
      <c r="K10" s="44">
        <f>(Y8S4[[#This Row],[Wins]]-Y8S4[[#This Row],[Losses]]/SUM(Y8S4[Games Played]))/10</f>
        <v>0.4</v>
      </c>
      <c r="L10" s="67" t="s">
        <v>201</v>
      </c>
      <c r="P10" s="1" t="str">
        <f>IF(AL10&gt;7.5, "TIER 1",
IF(AL10&gt;6.5, "TIER 2",
IF(AL10&gt;5.5, "TIER 3",
IF(AL10&gt;4.5, "TIER 4",
IF(AL10&gt;3.5, "TIER 5",
IF(AL10&gt;2,  "TIER 6",
IF(AL10&gt;0,  "TIER 7",
"TIER 8")))))))</f>
        <v>TIER 3</v>
      </c>
      <c r="Q10" s="1" t="s">
        <v>110</v>
      </c>
      <c r="R10" s="8" t="s">
        <v>111</v>
      </c>
      <c r="S10" s="8">
        <f>VLOOKUP(Table257[[#This Row],[Player]],ImportTable[],2,FALSE)</f>
        <v>1.120879</v>
      </c>
      <c r="T10" s="8">
        <f>VLOOKUP(Table257[[#This Row],[Player]],ImportTable[],3,FALSE)</f>
        <v>1.2903230000000001</v>
      </c>
      <c r="U10" s="8">
        <f>VLOOKUP(Table257[[#This Row],[Player]],ImportTable[],4,FALSE)</f>
        <v>114</v>
      </c>
      <c r="V10" s="8">
        <f>VLOOKUP(Table257[[#This Row],[Player]],ImportTable[],5,FALSE)</f>
        <v>140</v>
      </c>
      <c r="W10" s="8">
        <f>VLOOKUP(Table257[[#This Row],[Player]],ImportTable[],6,FALSE)</f>
        <v>155</v>
      </c>
      <c r="X10" s="8">
        <f>VLOOKUP(Table257[[#This Row],[Player]],ImportTable[],7,FALSE)</f>
        <v>112</v>
      </c>
      <c r="Y10" s="77">
        <f>VLOOKUP(Table257[[#This Row],[Player]],ImportTable[],8,FALSE)</f>
        <v>67.593789999999998</v>
      </c>
      <c r="Z10" s="77">
        <f>VLOOKUP(Table257[[#This Row],[Player]],ImportTable[],9,FALSE)</f>
        <v>58.880299999999998</v>
      </c>
      <c r="AA10" s="8">
        <f>VLOOKUP(Table257[[#This Row],[Player]],ImportTable[],10,FALSE)</f>
        <v>46</v>
      </c>
      <c r="AB10" s="8">
        <f>VLOOKUP(Table257[[#This Row],[Player]],ImportTable[],11,FALSE)</f>
        <v>44</v>
      </c>
      <c r="AC10" s="3">
        <f>IFERROR(Table257[[#This Row],[Ranked Wins]]/(Table257[[#This Row],[Ranked Wins]]+Table257[[#This Row],[Ranked Losses]]),0)</f>
        <v>0.51111111111111107</v>
      </c>
      <c r="AD10" s="3">
        <f>IFERROR(Table257[[#This Row],[Attack Wins]]/(Table257[[#This Row],[Attack Wins]]+Table257[[#This Row],[Attack Losses]]),0)</f>
        <v>0.44881889763779526</v>
      </c>
      <c r="AE10" s="3">
        <f>IFERROR(Table257[[#This Row],[Defense Wins]]/(Table257[[#This Row],[Defense Wins]]+Table257[[#This Row],[Defense Losses]]),0)</f>
        <v>0.58052434456928836</v>
      </c>
      <c r="AF10" s="1" cm="1">
        <f t="array" ref="AF10">IFERROR(SUMPRODUCT(($B$2:$F$118=Table257[[#This Row],[Player]])*$G$2:$G$118),0)</f>
        <v>12</v>
      </c>
      <c r="AG10" s="1" cm="1">
        <f t="array" ref="AG10">IFERROR(SUMPRODUCT(($B$2:$F$118=Table257[[#This Row],[Player]])*$H$2:$H$118),0)</f>
        <v>7</v>
      </c>
      <c r="AH10" s="1">
        <f>Table257[[#This Row],[Wins in Stacks]]+Table257[[#This Row],[Losses in Stacks]]</f>
        <v>19</v>
      </c>
      <c r="AI10" s="3">
        <f>IFERROR(Table257[[#This Row],[Wins in Stacks]]/Table257[[#This Row],[Total Games In Stacks]],0)</f>
        <v>0.63157894736842102</v>
      </c>
      <c r="AJ10" s="75">
        <v>0.35</v>
      </c>
      <c r="AK10" s="21">
        <v>4</v>
      </c>
      <c r="AL10" s="20" cm="1">
        <f t="array" ref="AL10">(Table257[[#This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6.3372807078804279</v>
      </c>
    </row>
    <row r="11" spans="1:54">
      <c r="A11" s="40" t="str">
        <f>_xlfn.TEXTJOIN(",",TRUE,_xlfn._xlws.SORT(_xlfn.TEXTSPLIT(_xlfn.TEXTJOIN(",",TRUE,_xlfn._xlws.SORT($B11:$F11, 1, -1, FALSE)),"WWWWW",",")))</f>
        <v>Chromius.TAMU,Timythiccums.MB</v>
      </c>
      <c r="B11" s="47" t="s">
        <v>77</v>
      </c>
      <c r="C11" s="47" t="s">
        <v>81</v>
      </c>
      <c r="D11" s="49" t="s">
        <v>180</v>
      </c>
      <c r="E11" s="49" t="s">
        <v>180</v>
      </c>
      <c r="F11" s="49" t="s">
        <v>180</v>
      </c>
      <c r="G11" s="40">
        <v>2</v>
      </c>
      <c r="H11" s="40">
        <v>2</v>
      </c>
      <c r="I11" s="40">
        <f>$G11+$H11</f>
        <v>4</v>
      </c>
      <c r="J11" s="50">
        <f>G11/(H11+G11)</f>
        <v>0.5</v>
      </c>
      <c r="K11" s="51">
        <f>(Y8S4[[#This Row],[Wins]]-Y8S4[[#This Row],[Losses]]/SUM(Y8S4[Games Played]))/10</f>
        <v>0.19922480620155039</v>
      </c>
      <c r="L11" s="68"/>
      <c r="P11" s="1" t="str">
        <f>IF(AL11&gt;7.5, "TIER 1",
IF(AL11&gt;6.5, "TIER 2",
IF(AL11&gt;5.5, "TIER 3",
IF(AL11&gt;4.5, "TIER 4",
IF(AL11&gt;3.5, "TIER 5",
IF(AL11&gt;2,  "TIER 6",
IF(AL11&gt;0,  "TIER 7",
"TIER 8")))))))</f>
        <v>TIER 4</v>
      </c>
      <c r="Q11" s="1" t="s">
        <v>108</v>
      </c>
      <c r="R11" s="8" t="s">
        <v>109</v>
      </c>
      <c r="S11" s="8">
        <f>VLOOKUP(Table257[[#This Row],[Player]],ImportTable[],2,FALSE)</f>
        <v>0.70053500000000002</v>
      </c>
      <c r="T11" s="8">
        <f>VLOOKUP(Table257[[#This Row],[Player]],ImportTable[],3,FALSE)</f>
        <v>0.89119199999999998</v>
      </c>
      <c r="U11" s="8">
        <f>VLOOKUP(Table257[[#This Row],[Player]],ImportTable[],4,FALSE)</f>
        <v>125</v>
      </c>
      <c r="V11" s="8">
        <f>VLOOKUP(Table257[[#This Row],[Player]],ImportTable[],5,FALSE)</f>
        <v>137</v>
      </c>
      <c r="W11" s="8">
        <f>VLOOKUP(Table257[[#This Row],[Player]],ImportTable[],6,FALSE)</f>
        <v>142</v>
      </c>
      <c r="X11" s="8">
        <f>VLOOKUP(Table257[[#This Row],[Player]],ImportTable[],7,FALSE)</f>
        <v>118</v>
      </c>
      <c r="Y11" s="77">
        <f>VLOOKUP(Table257[[#This Row],[Player]],ImportTable[],8,FALSE)</f>
        <v>38.544440000000002</v>
      </c>
      <c r="Z11" s="77">
        <f>VLOOKUP(Table257[[#This Row],[Player]],ImportTable[],9,FALSE)</f>
        <v>51.405709999999999</v>
      </c>
      <c r="AA11" s="8">
        <f>VLOOKUP(Table257[[#This Row],[Player]],ImportTable[],10,FALSE)</f>
        <v>43</v>
      </c>
      <c r="AB11" s="8">
        <f>VLOOKUP(Table257[[#This Row],[Player]],ImportTable[],11,FALSE)</f>
        <v>31</v>
      </c>
      <c r="AC11" s="3">
        <f>IFERROR(Table257[[#This Row],[Ranked Wins]]/(Table257[[#This Row],[Ranked Wins]]+Table257[[#This Row],[Ranked Losses]]),0)</f>
        <v>0.58108108108108103</v>
      </c>
      <c r="AD11" s="3">
        <f>IFERROR(Table257[[#This Row],[Attack Wins]]/(Table257[[#This Row],[Attack Wins]]+Table257[[#This Row],[Attack Losses]]),0)</f>
        <v>0.47709923664122139</v>
      </c>
      <c r="AE11" s="3">
        <f>IFERROR(Table257[[#This Row],[Defense Wins]]/(Table257[[#This Row],[Defense Wins]]+Table257[[#This Row],[Defense Losses]]),0)</f>
        <v>0.5461538461538461</v>
      </c>
      <c r="AF11" s="1" cm="1">
        <f t="array" ref="AF11">IFERROR(SUMPRODUCT(($B$2:$F$118=Table257[[#This Row],[Player]])*$G$2:$G$118),0)</f>
        <v>16</v>
      </c>
      <c r="AG11" s="1" cm="1">
        <f t="array" ref="AG11">IFERROR(SUMPRODUCT(($B$2:$F$118=Table257[[#This Row],[Player]])*$H$2:$H$118),0)</f>
        <v>15</v>
      </c>
      <c r="AH11" s="1">
        <f>Table257[[#This Row],[Wins in Stacks]]+Table257[[#This Row],[Losses in Stacks]]</f>
        <v>31</v>
      </c>
      <c r="AI11" s="3">
        <f>IFERROR(Table257[[#This Row],[Wins in Stacks]]/Table257[[#This Row],[Total Games In Stacks]],0)</f>
        <v>0.5161290322580645</v>
      </c>
      <c r="AJ11" s="75">
        <v>0.65</v>
      </c>
      <c r="AK11" s="21">
        <v>2</v>
      </c>
      <c r="AL11" s="20" cm="1">
        <f t="array" ref="AL11">(Table257[[#This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5.1952115112528379</v>
      </c>
    </row>
    <row r="12" spans="1:54">
      <c r="A12" s="40" t="str">
        <f>_xlfn.TEXTJOIN(",",TRUE,_xlfn._xlws.SORT(_xlfn.TEXTSPLIT(_xlfn.TEXTJOIN(",",TRUE,_xlfn._xlws.SORT($B12:$F12, 1, -1, FALSE)),"WWWWW",",")))</f>
        <v>Chromius.TAMU,Kermitt.MB,Timythiccums.MB</v>
      </c>
      <c r="B12" s="45" t="s">
        <v>77</v>
      </c>
      <c r="C12" s="46" t="s">
        <v>81</v>
      </c>
      <c r="D12" s="46" t="s">
        <v>118</v>
      </c>
      <c r="E12" s="52" t="s">
        <v>180</v>
      </c>
      <c r="F12" s="52" t="s">
        <v>180</v>
      </c>
      <c r="G12" s="40">
        <v>2</v>
      </c>
      <c r="H12" s="40">
        <v>2</v>
      </c>
      <c r="I12" s="40">
        <f>$G12+$H12</f>
        <v>4</v>
      </c>
      <c r="J12" s="43">
        <f>G12/(H12+G12)</f>
        <v>0.5</v>
      </c>
      <c r="K12" s="44">
        <f>(Y8S4[[#This Row],[Wins]]-Y8S4[[#This Row],[Losses]]/SUM(Y8S4[Games Played]))/10</f>
        <v>0.19922480620155039</v>
      </c>
      <c r="L12" s="67"/>
      <c r="P12" s="1" t="str">
        <f>IF(AL12&gt;7.5, "TIER 1",
IF(AL12&gt;6.5, "TIER 2",
IF(AL12&gt;5.5, "TIER 3",
IF(AL12&gt;4.5, "TIER 4",
IF(AL12&gt;3.5, "TIER 5",
IF(AL12&gt;2,  "TIER 6",
IF(AL12&gt;0,  "TIER 7",
"TIER 8")))))))</f>
        <v>TIER 4</v>
      </c>
      <c r="Q12" s="1" t="s">
        <v>139</v>
      </c>
      <c r="R12" s="8" t="s">
        <v>140</v>
      </c>
      <c r="S12" s="8">
        <f>VLOOKUP(Table257[[#This Row],[Player]],ImportTable[],2,FALSE)</f>
        <v>1.0963860000000001</v>
      </c>
      <c r="T12" s="8">
        <f>VLOOKUP(Table257[[#This Row],[Player]],ImportTable[],3,FALSE)</f>
        <v>1.448718</v>
      </c>
      <c r="U12" s="8">
        <f>VLOOKUP(Table257[[#This Row],[Player]],ImportTable[],4,FALSE)</f>
        <v>59</v>
      </c>
      <c r="V12" s="8">
        <f>VLOOKUP(Table257[[#This Row],[Player]],ImportTable[],5,FALSE)</f>
        <v>64</v>
      </c>
      <c r="W12" s="8">
        <f>VLOOKUP(Table257[[#This Row],[Player]],ImportTable[],6,FALSE)</f>
        <v>99</v>
      </c>
      <c r="X12" s="8">
        <f>VLOOKUP(Table257[[#This Row],[Player]],ImportTable[],7,FALSE)</f>
        <v>40</v>
      </c>
      <c r="Y12" s="77">
        <f>VLOOKUP(Table257[[#This Row],[Player]],ImportTable[],8,FALSE)</f>
        <v>54.525260000000003</v>
      </c>
      <c r="Z12" s="77">
        <f>VLOOKUP(Table257[[#This Row],[Player]],ImportTable[],9,FALSE)</f>
        <v>68.770430000000005</v>
      </c>
      <c r="AA12" s="8">
        <f>VLOOKUP(Table257[[#This Row],[Player]],ImportTable[],10,FALSE)</f>
        <v>26</v>
      </c>
      <c r="AB12" s="8">
        <f>VLOOKUP(Table257[[#This Row],[Player]],ImportTable[],11,FALSE)</f>
        <v>9</v>
      </c>
      <c r="AC12" s="3">
        <f>IFERROR(Table257[[#This Row],[Ranked Wins]]/(Table257[[#This Row],[Ranked Wins]]+Table257[[#This Row],[Ranked Losses]]),0)</f>
        <v>0.74285714285714288</v>
      </c>
      <c r="AD12" s="3">
        <f>IFERROR(Table257[[#This Row],[Attack Wins]]/(Table257[[#This Row],[Attack Wins]]+Table257[[#This Row],[Attack Losses]]),0)</f>
        <v>0.47967479674796748</v>
      </c>
      <c r="AE12" s="3">
        <f>IFERROR(Table257[[#This Row],[Defense Wins]]/(Table257[[#This Row],[Defense Wins]]+Table257[[#This Row],[Defense Losses]]),0)</f>
        <v>0.71223021582733814</v>
      </c>
      <c r="AF12" s="1" cm="1">
        <f t="array" ref="AF12">IFERROR(SUMPRODUCT(($B$2:$F$118=Table257[[#This Row],[Player]])*$G$2:$G$118),0)</f>
        <v>24</v>
      </c>
      <c r="AG12" s="1" cm="1">
        <f t="array" ref="AG12">IFERROR(SUMPRODUCT(($B$2:$F$118=Table257[[#This Row],[Player]])*$H$2:$H$118),0)</f>
        <v>13</v>
      </c>
      <c r="AH12" s="1">
        <f>Table257[[#This Row],[Wins in Stacks]]+Table257[[#This Row],[Losses in Stacks]]</f>
        <v>37</v>
      </c>
      <c r="AI12" s="3">
        <f>IFERROR(Table257[[#This Row],[Wins in Stacks]]/Table257[[#This Row],[Total Games In Stacks]],0)</f>
        <v>0.64864864864864868</v>
      </c>
      <c r="AJ12" s="75">
        <v>0.01</v>
      </c>
      <c r="AK12" s="21">
        <v>6</v>
      </c>
      <c r="AL12" s="20" cm="1">
        <f t="array" ref="AL12">(Table257[[#This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5.0378147546275223</v>
      </c>
      <c r="AM12" s="1"/>
      <c r="AN12" s="1"/>
      <c r="AO12" s="1"/>
      <c r="AP12" s="1"/>
      <c r="AQ12" s="1"/>
      <c r="AR12" s="1"/>
      <c r="AS12" s="1"/>
      <c r="AT12" s="1"/>
    </row>
    <row r="13" spans="1:54">
      <c r="A13" s="40" t="str">
        <f>_xlfn.TEXTJOIN(",",TRUE,_xlfn._xlws.SORT(_xlfn.TEXTSPLIT(_xlfn.TEXTJOIN(",",TRUE,_xlfn._xlws.SORT($B13:$F13, 1, -1, FALSE)),"WWWWW",",")))</f>
        <v>Chromius.TAMU,GlonkMB,Kermitt.MB,Koyeetchi,Rat_Squilla</v>
      </c>
      <c r="B13" s="45" t="s">
        <v>77</v>
      </c>
      <c r="C13" s="42" t="s">
        <v>118</v>
      </c>
      <c r="D13" s="46" t="s">
        <v>144</v>
      </c>
      <c r="E13" s="49" t="s">
        <v>152</v>
      </c>
      <c r="F13" s="52" t="s">
        <v>207</v>
      </c>
      <c r="G13" s="40">
        <v>2</v>
      </c>
      <c r="H13" s="40">
        <v>2</v>
      </c>
      <c r="I13" s="40">
        <f>$G13+$H13</f>
        <v>4</v>
      </c>
      <c r="J13" s="43">
        <f>G13/(H13+G13)</f>
        <v>0.5</v>
      </c>
      <c r="K13" s="44">
        <f>(Y8S4[[#This Row],[Wins]]-Y8S4[[#This Row],[Losses]]/SUM(Y8S4[Games Played]))/10</f>
        <v>0.19922480620155039</v>
      </c>
      <c r="L13" s="67"/>
      <c r="P13" s="1" t="str">
        <f>IF(AL13&gt;7.5, "TIER 1",
IF(AL13&gt;6.5, "TIER 2",
IF(AL13&gt;5.5, "TIER 3",
IF(AL13&gt;4.5, "TIER 4",
IF(AL13&gt;3.5, "TIER 5",
IF(AL13&gt;2,  "TIER 6",
IF(AL13&gt;0,  "TIER 7",
"TIER 8")))))))</f>
        <v>TIER 4</v>
      </c>
      <c r="Q13" s="84" t="s">
        <v>123</v>
      </c>
      <c r="R13" s="84" t="s">
        <v>123</v>
      </c>
      <c r="S13" s="8">
        <f>VLOOKUP(Table257[[#This Row],[Player]],ImportTable[],2,FALSE)</f>
        <v>0.93193700000000002</v>
      </c>
      <c r="T13" s="8">
        <f>VLOOKUP(Table257[[#This Row],[Player]],ImportTable[],3,FALSE)</f>
        <v>1.1280490000000001</v>
      </c>
      <c r="U13" s="8">
        <f>VLOOKUP(Table257[[#This Row],[Player]],ImportTable[],4,FALSE)</f>
        <v>233</v>
      </c>
      <c r="V13" s="8">
        <f>VLOOKUP(Table257[[#This Row],[Player]],ImportTable[],5,FALSE)</f>
        <v>290</v>
      </c>
      <c r="W13" s="8">
        <f>VLOOKUP(Table257[[#This Row],[Player]],ImportTable[],6,FALSE)</f>
        <v>294</v>
      </c>
      <c r="X13" s="8">
        <f>VLOOKUP(Table257[[#This Row],[Player]],ImportTable[],7,FALSE)</f>
        <v>199</v>
      </c>
      <c r="Y13" s="77">
        <f>VLOOKUP(Table257[[#This Row],[Player]],ImportTable[],8,FALSE)</f>
        <v>59.490589999999997</v>
      </c>
      <c r="Z13" s="77">
        <f>VLOOKUP(Table257[[#This Row],[Player]],ImportTable[],9,FALSE)</f>
        <v>59.18</v>
      </c>
      <c r="AA13" s="8">
        <f>VLOOKUP(Table257[[#This Row],[Player]],ImportTable[],10,FALSE)</f>
        <v>90</v>
      </c>
      <c r="AB13" s="8">
        <f>VLOOKUP(Table257[[#This Row],[Player]],ImportTable[],11,FALSE)</f>
        <v>79</v>
      </c>
      <c r="AC13" s="3">
        <f>IFERROR(Table257[[#This Row],[Ranked Wins]]/(Table257[[#This Row],[Ranked Wins]]+Table257[[#This Row],[Ranked Losses]]),0)</f>
        <v>0.53254437869822491</v>
      </c>
      <c r="AD13" s="3">
        <f>IFERROR(Table257[[#This Row],[Attack Wins]]/(Table257[[#This Row],[Attack Wins]]+Table257[[#This Row],[Attack Losses]]),0)</f>
        <v>0.44550669216061184</v>
      </c>
      <c r="AE13" s="3">
        <f>IFERROR(Table257[[#This Row],[Defense Wins]]/(Table257[[#This Row],[Defense Wins]]+Table257[[#This Row],[Defense Losses]]),0)</f>
        <v>0.59634888438133871</v>
      </c>
      <c r="AF13" s="1" cm="1">
        <f t="array" ref="AF13">IFERROR(SUMPRODUCT(($B$2:$F$118=Table257[[#This Row],[Player]])*$G$2:$G$118),0)</f>
        <v>2</v>
      </c>
      <c r="AG13" s="1" cm="1">
        <f t="array" ref="AG13">IFERROR(SUMPRODUCT(($B$2:$F$118=Table257[[#This Row],[Player]])*$H$2:$H$118),0)</f>
        <v>1</v>
      </c>
      <c r="AH13" s="1">
        <f>Table257[[#This Row],[Wins in Stacks]]+Table257[[#This Row],[Losses in Stacks]]</f>
        <v>3</v>
      </c>
      <c r="AI13" s="3">
        <f>IFERROR(Table257[[#This Row],[Wins in Stacks]]/Table257[[#This Row],[Total Games In Stacks]],0)</f>
        <v>0.66666666666666663</v>
      </c>
      <c r="AJ13" s="75">
        <v>0.1</v>
      </c>
      <c r="AK13" s="21">
        <v>3</v>
      </c>
      <c r="AL13" s="20" cm="1">
        <f t="array" ref="AL13">(Table257[[#This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4.7469251130651493</v>
      </c>
      <c r="AM13" s="209" t="s">
        <v>116</v>
      </c>
      <c r="AN13" s="209"/>
      <c r="AO13" s="209"/>
      <c r="AP13" s="209"/>
      <c r="AQ13" s="209"/>
      <c r="AR13" s="71"/>
      <c r="AS13" s="71"/>
      <c r="AT13" s="71"/>
    </row>
    <row r="14" spans="1:54">
      <c r="A14" s="40" t="str">
        <f>_xlfn.TEXTJOIN(",",TRUE,_xlfn._xlws.SORT(_xlfn.TEXTSPLIT(_xlfn.TEXTJOIN(",",TRUE,_xlfn._xlws.SORT($B14:$F14, 1, -1, FALSE)),"WWWWW",",")))</f>
        <v>Blade2420,Chromius.TAMU,Galahad21588,Glonk.MB,Timythiccums.MB</v>
      </c>
      <c r="B14" s="45" t="s">
        <v>77</v>
      </c>
      <c r="C14" s="42" t="s">
        <v>162</v>
      </c>
      <c r="D14" s="46" t="s">
        <v>81</v>
      </c>
      <c r="E14" s="63" t="s">
        <v>96</v>
      </c>
      <c r="F14" s="52" t="s">
        <v>113</v>
      </c>
      <c r="G14" s="40">
        <v>1</v>
      </c>
      <c r="H14" s="40">
        <v>3</v>
      </c>
      <c r="I14" s="40">
        <f>$G14+$H14</f>
        <v>4</v>
      </c>
      <c r="J14" s="43">
        <f>G14/(H14+G14)</f>
        <v>0.25</v>
      </c>
      <c r="K14" s="44">
        <f>(Y8S4[[#This Row],[Wins]]-Y8S4[[#This Row],[Losses]]/SUM(Y8S4[Games Played]))/10</f>
        <v>9.8837209302325577E-2</v>
      </c>
      <c r="L14" s="67" t="s">
        <v>216</v>
      </c>
      <c r="P14" s="1" t="str">
        <f>IF(AL14&gt;7.5, "TIER 1",
IF(AL14&gt;6.5, "TIER 2",
IF(AL14&gt;5.5, "TIER 3",
IF(AL14&gt;4.5, "TIER 4",
IF(AL14&gt;3.5, "TIER 5",
IF(AL14&gt;2,  "TIER 6",
IF(AL14&gt;0,  "TIER 7",
"TIER 8")))))))</f>
        <v>TIER 5</v>
      </c>
      <c r="Q14" s="1" t="s">
        <v>124</v>
      </c>
      <c r="R14" s="8" t="s">
        <v>125</v>
      </c>
      <c r="S14" s="8">
        <f>VLOOKUP(Table257[[#This Row],[Player]],ImportTable[],2,FALSE)</f>
        <v>0.71698099999999998</v>
      </c>
      <c r="T14" s="8">
        <f>VLOOKUP(Table257[[#This Row],[Player]],ImportTable[],3,FALSE)</f>
        <v>0.84146299999999996</v>
      </c>
      <c r="U14" s="8">
        <f>VLOOKUP(Table257[[#This Row],[Player]],ImportTable[],4,FALSE)</f>
        <v>54</v>
      </c>
      <c r="V14" s="8">
        <f>VLOOKUP(Table257[[#This Row],[Player]],ImportTable[],5,FALSE)</f>
        <v>84</v>
      </c>
      <c r="W14" s="8">
        <f>VLOOKUP(Table257[[#This Row],[Player]],ImportTable[],6,FALSE)</f>
        <v>82</v>
      </c>
      <c r="X14" s="8">
        <f>VLOOKUP(Table257[[#This Row],[Player]],ImportTable[],7,FALSE)</f>
        <v>59</v>
      </c>
      <c r="Y14" s="77">
        <f>VLOOKUP(Table257[[#This Row],[Player]],ImportTable[],8,FALSE)</f>
        <v>50.004170000000002</v>
      </c>
      <c r="Z14" s="77">
        <f>VLOOKUP(Table257[[#This Row],[Player]],ImportTable[],9,FALSE)</f>
        <v>54.231999999999999</v>
      </c>
      <c r="AA14" s="8">
        <f>VLOOKUP(Table257[[#This Row],[Player]],ImportTable[],10,FALSE)</f>
        <v>24</v>
      </c>
      <c r="AB14" s="8">
        <f>VLOOKUP(Table257[[#This Row],[Player]],ImportTable[],11,FALSE)</f>
        <v>21</v>
      </c>
      <c r="AC14" s="3">
        <f>IFERROR(Table257[[#This Row],[Ranked Wins]]/(Table257[[#This Row],[Ranked Wins]]+Table257[[#This Row],[Ranked Losses]]),0)</f>
        <v>0.53333333333333333</v>
      </c>
      <c r="AD14" s="3">
        <f>IFERROR(Table257[[#This Row],[Attack Wins]]/(Table257[[#This Row],[Attack Wins]]+Table257[[#This Row],[Attack Losses]]),0)</f>
        <v>0.39130434782608697</v>
      </c>
      <c r="AE14" s="3">
        <f>IFERROR(Table257[[#This Row],[Defense Wins]]/(Table257[[#This Row],[Defense Wins]]+Table257[[#This Row],[Defense Losses]]),0)</f>
        <v>0.58156028368794321</v>
      </c>
      <c r="AF14" s="1" cm="1">
        <f t="array" ref="AF14">IFERROR(SUMPRODUCT(($B$2:$F$118=Table257[[#This Row],[Player]])*$G$2:$G$118),0)</f>
        <v>17</v>
      </c>
      <c r="AG14" s="1" cm="1">
        <f t="array" ref="AG14">IFERROR(SUMPRODUCT(($B$2:$F$118=Table257[[#This Row],[Player]])*$H$2:$H$118),0)</f>
        <v>12</v>
      </c>
      <c r="AH14">
        <f>Table257[[#This Row],[Wins in Stacks]]+Table257[[#This Row],[Losses in Stacks]]</f>
        <v>29</v>
      </c>
      <c r="AI14" s="73">
        <f>IFERROR(Table257[[#This Row],[Wins in Stacks]]/Table257[[#This Row],[Total Games In Stacks]],0)</f>
        <v>0.58620689655172409</v>
      </c>
      <c r="AJ14" s="76">
        <v>0.35</v>
      </c>
      <c r="AK14" s="22">
        <v>2</v>
      </c>
      <c r="AL14" s="20" cm="1">
        <f t="array" ref="AL14">(Table257[[#This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4.0107258068381793</v>
      </c>
      <c r="AM14" s="209" t="s">
        <v>119</v>
      </c>
      <c r="AN14" s="209"/>
      <c r="AO14" s="209"/>
      <c r="AP14" s="209"/>
      <c r="AQ14" s="209"/>
      <c r="AR14" s="71"/>
      <c r="AS14" s="71"/>
      <c r="AT14" s="71"/>
    </row>
    <row r="15" spans="1:54">
      <c r="A15" s="40" t="str">
        <f>_xlfn.TEXTJOIN(",",TRUE,_xlfn._xlws.SORT(_xlfn.TEXTSPLIT(_xlfn.TEXTJOIN(",",TRUE,_xlfn._xlws.SORT($B15:$F15, 1, -1, FALSE)),"WWWWW",",")))</f>
        <v>Chromius.TAMU,Fallen.Cortex,Fallen.Rqnger,Glonk.MB,Strugg1er.</v>
      </c>
      <c r="B15" s="41" t="s">
        <v>162</v>
      </c>
      <c r="C15" s="42" t="s">
        <v>77</v>
      </c>
      <c r="D15" s="42" t="s">
        <v>86</v>
      </c>
      <c r="E15" s="42" t="s">
        <v>111</v>
      </c>
      <c r="F15" s="117" t="s">
        <v>140</v>
      </c>
      <c r="G15" s="40">
        <v>4</v>
      </c>
      <c r="H15" s="40">
        <v>0</v>
      </c>
      <c r="I15" s="40">
        <f>$G15+$H15</f>
        <v>4</v>
      </c>
      <c r="J15" s="43">
        <f>G15/(H15+G15)</f>
        <v>1</v>
      </c>
      <c r="K15" s="44">
        <f>(Y8S4[[#This Row],[Wins]]-Y8S4[[#This Row],[Losses]]/SUM(Y8S4[Games Played]))/10</f>
        <v>0.4</v>
      </c>
      <c r="L15" s="67"/>
      <c r="N15" s="102"/>
      <c r="P15" s="1" t="str">
        <f>IF(AL15&gt;7.5, "TIER 1",
IF(AL15&gt;6.5, "TIER 2",
IF(AL15&gt;5.5, "TIER 3",
IF(AL15&gt;4.5, "TIER 4",
IF(AL15&gt;3.5, "TIER 5",
IF(AL15&gt;2,  "TIER 6",
IF(AL15&gt;0,  "TIER 7",
"TIER 8")))))))</f>
        <v>TIER 6</v>
      </c>
      <c r="Q15" s="1" t="s">
        <v>153</v>
      </c>
      <c r="R15" s="8" t="s">
        <v>154</v>
      </c>
      <c r="S15" s="8">
        <f>VLOOKUP(Table257[[#This Row],[Player]],ImportTable[],2,FALSE)</f>
        <v>0.66666700000000001</v>
      </c>
      <c r="T15" s="8">
        <f>VLOOKUP(Table257[[#This Row],[Player]],ImportTable[],3,FALSE)</f>
        <v>1.25</v>
      </c>
      <c r="U15" s="8">
        <f>VLOOKUP(Table257[[#This Row],[Player]],ImportTable[],4,FALSE)</f>
        <v>15</v>
      </c>
      <c r="V15" s="8">
        <f>VLOOKUP(Table257[[#This Row],[Player]],ImportTable[],5,FALSE)</f>
        <v>37</v>
      </c>
      <c r="W15" s="8">
        <f>VLOOKUP(Table257[[#This Row],[Player]],ImportTable[],6,FALSE)</f>
        <v>32</v>
      </c>
      <c r="X15" s="8">
        <f>VLOOKUP(Table257[[#This Row],[Player]],ImportTable[],7,FALSE)</f>
        <v>20</v>
      </c>
      <c r="Y15" s="77">
        <f>VLOOKUP(Table257[[#This Row],[Player]],ImportTable[],8,FALSE)</f>
        <v>62.182499999999997</v>
      </c>
      <c r="Z15" s="77">
        <f>VLOOKUP(Table257[[#This Row],[Player]],ImportTable[],9,FALSE)</f>
        <v>63.856670000000001</v>
      </c>
      <c r="AA15" s="8">
        <f>VLOOKUP(Table257[[#This Row],[Player]],ImportTable[],10,FALSE)</f>
        <v>6</v>
      </c>
      <c r="AB15" s="8">
        <f>VLOOKUP(Table257[[#This Row],[Player]],ImportTable[],11,FALSE)</f>
        <v>13</v>
      </c>
      <c r="AC15" s="3">
        <f>IFERROR(Table257[[#This Row],[Ranked Wins]]/(Table257[[#This Row],[Ranked Wins]]+Table257[[#This Row],[Ranked Losses]]),0)</f>
        <v>0.31578947368421051</v>
      </c>
      <c r="AD15" s="3">
        <f>IFERROR(Table257[[#This Row],[Attack Wins]]/(Table257[[#This Row],[Attack Wins]]+Table257[[#This Row],[Attack Losses]]),0)</f>
        <v>0.28846153846153844</v>
      </c>
      <c r="AE15" s="3">
        <f>IFERROR(Table257[[#This Row],[Defense Wins]]/(Table257[[#This Row],[Defense Wins]]+Table257[[#This Row],[Defense Losses]]),0)</f>
        <v>0.61538461538461542</v>
      </c>
      <c r="AF15" s="1" cm="1">
        <f t="array" ref="AF15">IFERROR(SUMPRODUCT(($B$2:$F$118=Table257[[#This Row],[Player]])*$G$2:$G$118),0)</f>
        <v>4</v>
      </c>
      <c r="AG15" s="1" cm="1">
        <f t="array" ref="AG15">IFERROR(SUMPRODUCT(($B$2:$F$118=Table257[[#This Row],[Player]])*$H$2:$H$118),0)</f>
        <v>1</v>
      </c>
      <c r="AH15" s="1">
        <f>Table257[[#This Row],[Wins in Stacks]]+Table257[[#This Row],[Losses in Stacks]]</f>
        <v>5</v>
      </c>
      <c r="AI15" s="3">
        <f>IFERROR(Table257[[#This Row],[Wins in Stacks]]/Table257[[#This Row],[Total Games In Stacks]],0)</f>
        <v>0.8</v>
      </c>
      <c r="AJ15" s="75">
        <v>0.1</v>
      </c>
      <c r="AK15" s="21">
        <v>4</v>
      </c>
      <c r="AL15" s="20" cm="1">
        <f t="array" ref="AL15">(Table257[[#This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3.4594875026337051</v>
      </c>
      <c r="AM15" s="209" t="s">
        <v>122</v>
      </c>
      <c r="AN15" s="209"/>
      <c r="AO15" s="209"/>
      <c r="AP15" s="209"/>
      <c r="AQ15" s="209"/>
      <c r="AR15" s="71"/>
      <c r="AS15" s="71"/>
      <c r="AT15" s="71"/>
    </row>
    <row r="16" spans="1:54">
      <c r="A16" s="40" t="str">
        <f>_xlfn.TEXTJOIN(",",TRUE,_xlfn._xlws.SORT(_xlfn.TEXTSPLIT(_xlfn.TEXTJOIN(",",TRUE,_xlfn._xlws.SORT($B16:$F16, 1, -1, FALSE)),"WWWWW",",")))</f>
        <v>Chromius.TAMU,Fallen.Cortex,Fallen.Rqnger,ThiccPie.OU,Timythiccums.MB</v>
      </c>
      <c r="B16" s="45" t="s">
        <v>77</v>
      </c>
      <c r="C16" s="46" t="s">
        <v>81</v>
      </c>
      <c r="D16" s="46" t="s">
        <v>86</v>
      </c>
      <c r="E16" s="46" t="s">
        <v>104</v>
      </c>
      <c r="F16" s="46" t="s">
        <v>140</v>
      </c>
      <c r="G16" s="40">
        <v>3</v>
      </c>
      <c r="H16" s="40">
        <v>0</v>
      </c>
      <c r="I16" s="40">
        <f>$G16+$H16</f>
        <v>3</v>
      </c>
      <c r="J16" s="43">
        <f>G16/(H16+G16)</f>
        <v>1</v>
      </c>
      <c r="K16" s="44">
        <f>(Y8S4[[#This Row],[Wins]]-Y8S4[[#This Row],[Losses]]/SUM(Y8S4[Games Played]))/10</f>
        <v>0.3</v>
      </c>
      <c r="L16" s="67"/>
      <c r="P16" s="1" t="str">
        <f>IF(AL16&gt;7.5, "TIER 1",
IF(AL16&gt;6.5, "TIER 2",
IF(AL16&gt;5.5, "TIER 3",
IF(AL16&gt;4.5, "TIER 4",
IF(AL16&gt;3.5, "TIER 5",
IF(AL16&gt;2,  "TIER 6",
IF(AL16&gt;0,  "TIER 7",
"TIER 8")))))))</f>
        <v>TIER 6</v>
      </c>
      <c r="Q16" s="1" t="s">
        <v>95</v>
      </c>
      <c r="R16" s="8" t="s">
        <v>96</v>
      </c>
      <c r="S16" s="8">
        <f>VLOOKUP(Table257[[#This Row],[Player]],ImportTable[],2,FALSE)</f>
        <v>0.69721100000000003</v>
      </c>
      <c r="T16" s="8">
        <f>VLOOKUP(Table257[[#This Row],[Player]],ImportTable[],3,FALSE)</f>
        <v>0.793103</v>
      </c>
      <c r="U16" s="8">
        <f>VLOOKUP(Table257[[#This Row],[Player]],ImportTable[],4,FALSE)</f>
        <v>156</v>
      </c>
      <c r="V16" s="8">
        <f>VLOOKUP(Table257[[#This Row],[Player]],ImportTable[],5,FALSE)</f>
        <v>194</v>
      </c>
      <c r="W16" s="8">
        <f>VLOOKUP(Table257[[#This Row],[Player]],ImportTable[],6,FALSE)</f>
        <v>198</v>
      </c>
      <c r="X16" s="8">
        <f>VLOOKUP(Table257[[#This Row],[Player]],ImportTable[],7,FALSE)</f>
        <v>138</v>
      </c>
      <c r="Y16" s="77">
        <f>VLOOKUP(Table257[[#This Row],[Player]],ImportTable[],8,FALSE)</f>
        <v>44.22045</v>
      </c>
      <c r="Z16" s="77">
        <f>VLOOKUP(Table257[[#This Row],[Player]],ImportTable[],9,FALSE)</f>
        <v>48.439050000000002</v>
      </c>
      <c r="AA16" s="8">
        <f>VLOOKUP(Table257[[#This Row],[Player]],ImportTable[],10,FALSE)</f>
        <v>59</v>
      </c>
      <c r="AB16" s="8">
        <f>VLOOKUP(Table257[[#This Row],[Player]],ImportTable[],11,FALSE)</f>
        <v>58</v>
      </c>
      <c r="AC16" s="3">
        <f>IFERROR(Table257[[#This Row],[Ranked Wins]]/(Table257[[#This Row],[Ranked Wins]]+Table257[[#This Row],[Ranked Losses]]),0)</f>
        <v>0.50427350427350426</v>
      </c>
      <c r="AD16" s="3">
        <f>IFERROR(Table257[[#This Row],[Attack Wins]]/(Table257[[#This Row],[Attack Wins]]+Table257[[#This Row],[Attack Losses]]),0)</f>
        <v>0.44571428571428573</v>
      </c>
      <c r="AE16" s="3">
        <f>IFERROR(Table257[[#This Row],[Defense Wins]]/(Table257[[#This Row],[Defense Wins]]+Table257[[#This Row],[Defense Losses]]),0)</f>
        <v>0.5892857142857143</v>
      </c>
      <c r="AF16" s="1" cm="1">
        <f t="array" ref="AF16">IFERROR(SUMPRODUCT(($B$2:$F$118=Table257[[#This Row],[Player]])*$G$2:$G$118),0)</f>
        <v>29</v>
      </c>
      <c r="AG16" s="1" cm="1">
        <f t="array" ref="AG16">IFERROR(SUMPRODUCT(($B$2:$F$118=Table257[[#This Row],[Player]])*$H$2:$H$118),0)</f>
        <v>36</v>
      </c>
      <c r="AH16" s="1">
        <f>Table257[[#This Row],[Wins in Stacks]]+Table257[[#This Row],[Losses in Stacks]]</f>
        <v>65</v>
      </c>
      <c r="AI16" s="3">
        <f>IFERROR(Table257[[#This Row],[Wins in Stacks]]/Table257[[#This Row],[Total Games In Stacks]],0)</f>
        <v>0.44615384615384618</v>
      </c>
      <c r="AJ16" s="75">
        <v>0.6</v>
      </c>
      <c r="AK16" s="21">
        <v>2</v>
      </c>
      <c r="AL16" s="20" cm="1">
        <f t="array" ref="AL16">(Table257[[#This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2.8146231931420287</v>
      </c>
      <c r="AM16" s="1"/>
      <c r="AN16" s="1"/>
      <c r="AO16" s="1"/>
      <c r="AP16" s="1"/>
      <c r="AQ16" s="1"/>
      <c r="AR16" s="1"/>
      <c r="AS16" s="1"/>
      <c r="AT16" s="1"/>
    </row>
    <row r="17" spans="1:53" ht="15.75" customHeight="1">
      <c r="A17" s="40" t="str">
        <f>_xlfn.TEXTJOIN(",",TRUE,_xlfn._xlws.SORT(_xlfn.TEXTSPLIT(_xlfn.TEXTJOIN(",",TRUE,_xlfn._xlws.SORT($B17:$F17, 1, -1, FALSE)),"WWWWW",",")))</f>
        <v>Boomerjet123,Chromius.TAMU,Fallen.Cortex,Fallen.Rqnger,Notlappland</v>
      </c>
      <c r="B17" s="45" t="s">
        <v>77</v>
      </c>
      <c r="C17" s="46" t="s">
        <v>109</v>
      </c>
      <c r="D17" s="46" t="s">
        <v>86</v>
      </c>
      <c r="E17" s="63" t="s">
        <v>140</v>
      </c>
      <c r="F17" s="52" t="s">
        <v>184</v>
      </c>
      <c r="G17" s="40">
        <v>3</v>
      </c>
      <c r="H17" s="40">
        <v>0</v>
      </c>
      <c r="I17" s="40">
        <f>$G17+$H17</f>
        <v>3</v>
      </c>
      <c r="J17" s="43">
        <f>G17/(H17+G17)</f>
        <v>1</v>
      </c>
      <c r="K17" s="44">
        <f>(Y8S4[[#This Row],[Wins]]-Y8S4[[#This Row],[Losses]]/SUM(Y8S4[Games Played]))/10</f>
        <v>0.3</v>
      </c>
      <c r="L17" s="67" t="s">
        <v>192</v>
      </c>
      <c r="P17" s="1" t="str">
        <f>IF(AL17&gt;7.5, "TIER 1",
IF(AL17&gt;6.5, "TIER 2",
IF(AL17&gt;5.5, "TIER 3",
IF(AL17&gt;4.5, "TIER 4",
IF(AL17&gt;3.5, "TIER 5",
IF(AL17&gt;2,  "TIER 6",
IF(AL17&gt;0,  "TIER 7",
"TIER 8")))))))</f>
        <v>TIER 6</v>
      </c>
      <c r="Q17" s="1" t="s">
        <v>120</v>
      </c>
      <c r="R17" s="8" t="s">
        <v>121</v>
      </c>
      <c r="S17" s="8">
        <f>VLOOKUP(Table257[[#This Row],[Player]],ImportTable[],2,FALSE)</f>
        <v>0.95918400000000004</v>
      </c>
      <c r="T17" s="8">
        <f>VLOOKUP(Table257[[#This Row],[Player]],ImportTable[],3,FALSE)</f>
        <v>1.156566</v>
      </c>
      <c r="U17" s="8">
        <f>VLOOKUP(Table257[[#This Row],[Player]],ImportTable[],4,FALSE)</f>
        <v>255</v>
      </c>
      <c r="V17" s="8">
        <f>VLOOKUP(Table257[[#This Row],[Player]],ImportTable[],5,FALSE)</f>
        <v>369</v>
      </c>
      <c r="W17" s="8">
        <f>VLOOKUP(Table257[[#This Row],[Player]],ImportTable[],6,FALSE)</f>
        <v>360</v>
      </c>
      <c r="X17" s="8">
        <f>VLOOKUP(Table257[[#This Row],[Player]],ImportTable[],7,FALSE)</f>
        <v>277</v>
      </c>
      <c r="Y17" s="77">
        <f>VLOOKUP(Table257[[#This Row],[Player]],ImportTable[],8,FALSE)</f>
        <v>53.622860000000003</v>
      </c>
      <c r="Z17" s="77">
        <f>VLOOKUP(Table257[[#This Row],[Player]],ImportTable[],9,FALSE)</f>
        <v>58.85548</v>
      </c>
      <c r="AA17" s="8">
        <f>VLOOKUP(Table257[[#This Row],[Player]],ImportTable[],10,FALSE)</f>
        <v>101</v>
      </c>
      <c r="AB17" s="8">
        <f>VLOOKUP(Table257[[#This Row],[Player]],ImportTable[],11,FALSE)</f>
        <v>103</v>
      </c>
      <c r="AC17" s="3">
        <f>IFERROR(Table257[[#This Row],[Ranked Wins]]/(Table257[[#This Row],[Ranked Wins]]+Table257[[#This Row],[Ranked Losses]]),0)</f>
        <v>0.49509803921568629</v>
      </c>
      <c r="AD17" s="3">
        <f>IFERROR(Table257[[#This Row],[Attack Wins]]/(Table257[[#This Row],[Attack Wins]]+Table257[[#This Row],[Attack Losses]]),0)</f>
        <v>0.40865384615384615</v>
      </c>
      <c r="AE17" s="3">
        <f>IFERROR(Table257[[#This Row],[Defense Wins]]/(Table257[[#This Row],[Defense Wins]]+Table257[[#This Row],[Defense Losses]]),0)</f>
        <v>0.56514913657770804</v>
      </c>
      <c r="AF17" s="1" cm="1">
        <f t="array" ref="AF17">IFERROR(SUMPRODUCT(($B$2:$F$118=Table257[[#This Row],[Player]])*$G$2:$G$118),0)</f>
        <v>9</v>
      </c>
      <c r="AG17" s="1" cm="1">
        <f t="array" ref="AG17">IFERROR(SUMPRODUCT(($B$2:$F$118=Table257[[#This Row],[Player]])*$H$2:$H$118),0)</f>
        <v>7</v>
      </c>
      <c r="AH17" s="1">
        <f>Table257[[#This Row],[Wins in Stacks]]+Table257[[#This Row],[Losses in Stacks]]</f>
        <v>16</v>
      </c>
      <c r="AI17" s="3">
        <f>IFERROR(Table257[[#This Row],[Wins in Stacks]]/Table257[[#This Row],[Total Games In Stacks]],0)</f>
        <v>0.5625</v>
      </c>
      <c r="AJ17" s="75">
        <v>0.4</v>
      </c>
      <c r="AK17" s="21">
        <v>5</v>
      </c>
      <c r="AL17" s="20" cm="1">
        <f t="array" ref="AL17">(Table257[[#This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2.0451414468024676</v>
      </c>
      <c r="AM17" s="1"/>
      <c r="AN17" s="12"/>
      <c r="AO17" s="12"/>
      <c r="AP17" s="1"/>
      <c r="AQ17" s="23" t="s">
        <v>126</v>
      </c>
      <c r="AR17" s="23" t="s">
        <v>127</v>
      </c>
      <c r="AS17" s="23" t="s">
        <v>128</v>
      </c>
      <c r="AT17" s="23" t="s">
        <v>129</v>
      </c>
      <c r="AU17" s="23" t="s">
        <v>130</v>
      </c>
      <c r="AV17" s="23" t="s">
        <v>131</v>
      </c>
      <c r="AW17" s="23" t="s">
        <v>132</v>
      </c>
      <c r="AX17" s="23" t="s">
        <v>133</v>
      </c>
      <c r="AY17" s="23" t="s">
        <v>134</v>
      </c>
      <c r="AZ17" s="23" t="s">
        <v>135</v>
      </c>
      <c r="BA17" s="24" t="s">
        <v>136</v>
      </c>
    </row>
    <row r="18" spans="1:53">
      <c r="A18" s="40" t="str">
        <f>_xlfn.TEXTJOIN(",",TRUE,_xlfn._xlws.SORT(_xlfn.TEXTSPLIT(_xlfn.TEXTJOIN(",",TRUE,_xlfn._xlws.SORT($B18:$F18, 1, -1, FALSE)),"WWWWW",",")))</f>
        <v>Chromius.TAMU,Glonk.MB,Kermitt.MB,Koyeetchi,lostarkwhale</v>
      </c>
      <c r="B18" s="41" t="s">
        <v>162</v>
      </c>
      <c r="C18" s="45" t="s">
        <v>77</v>
      </c>
      <c r="D18" s="46" t="s">
        <v>118</v>
      </c>
      <c r="E18" s="52" t="s">
        <v>144</v>
      </c>
      <c r="F18" s="120" t="s">
        <v>164</v>
      </c>
      <c r="G18" s="40">
        <v>3</v>
      </c>
      <c r="H18" s="40">
        <v>0</v>
      </c>
      <c r="I18" s="40">
        <f>$G18+$H18</f>
        <v>3</v>
      </c>
      <c r="J18" s="43">
        <f>G18/(H18+G18)</f>
        <v>1</v>
      </c>
      <c r="K18" s="44">
        <f>(Y8S4[[#This Row],[Wins]]-Y8S4[[#This Row],[Losses]]/SUM(Y8S4[Games Played]))/10</f>
        <v>0.3</v>
      </c>
      <c r="L18" s="67" t="s">
        <v>202</v>
      </c>
      <c r="P18" s="1" t="str">
        <f>IF(AL18&gt;7.5, "TIER 1",
IF(AL18&gt;6.5, "TIER 2",
IF(AL18&gt;5.5, "TIER 3",
IF(AL18&gt;4.5, "TIER 4",
IF(AL18&gt;3.5, "TIER 5",
IF(AL18&gt;2,  "TIER 6",
IF(AL18&gt;0,  "TIER 7",
"TIER 8")))))))</f>
        <v>TIER 7</v>
      </c>
      <c r="Q18" s="1" t="s">
        <v>141</v>
      </c>
      <c r="R18" s="8" t="s">
        <v>142</v>
      </c>
      <c r="S18" s="8">
        <f>VLOOKUP(Table257[[#This Row],[Player]],ImportTable[],2,FALSE)</f>
        <v>1.0317460000000001</v>
      </c>
      <c r="T18" s="8">
        <f>VLOOKUP(Table257[[#This Row],[Player]],ImportTable[],3,FALSE)</f>
        <v>1.1401870000000001</v>
      </c>
      <c r="U18" s="8">
        <f>VLOOKUP(Table257[[#This Row],[Player]],ImportTable[],4,FALSE)</f>
        <v>83</v>
      </c>
      <c r="V18" s="8">
        <f>VLOOKUP(Table257[[#This Row],[Player]],ImportTable[],5,FALSE)</f>
        <v>80</v>
      </c>
      <c r="W18" s="8">
        <f>VLOOKUP(Table257[[#This Row],[Player]],ImportTable[],6,FALSE)</f>
        <v>83</v>
      </c>
      <c r="X18" s="8">
        <f>VLOOKUP(Table257[[#This Row],[Player]],ImportTable[],7,FALSE)</f>
        <v>68</v>
      </c>
      <c r="Y18" s="77">
        <f>VLOOKUP(Table257[[#This Row],[Player]],ImportTable[],8,FALSE)</f>
        <v>49.223480000000002</v>
      </c>
      <c r="Z18" s="77">
        <f>VLOOKUP(Table257[[#This Row],[Player]],ImportTable[],9,FALSE)</f>
        <v>65.700379999999996</v>
      </c>
      <c r="AA18" s="8">
        <f>VLOOKUP(Table257[[#This Row],[Player]],ImportTable[],10,FALSE)</f>
        <v>25</v>
      </c>
      <c r="AB18" s="8">
        <f>VLOOKUP(Table257[[#This Row],[Player]],ImportTable[],11,FALSE)</f>
        <v>20</v>
      </c>
      <c r="AC18" s="3">
        <f>IFERROR(Table257[[#This Row],[Ranked Wins]]/(Table257[[#This Row],[Ranked Wins]]+Table257[[#This Row],[Ranked Losses]]),0)</f>
        <v>0.55555555555555558</v>
      </c>
      <c r="AD18" s="3">
        <f>IFERROR(Table257[[#This Row],[Attack Wins]]/(Table257[[#This Row],[Attack Wins]]+Table257[[#This Row],[Attack Losses]]),0)</f>
        <v>0.50920245398773001</v>
      </c>
      <c r="AE18" s="3">
        <f>IFERROR(Table257[[#This Row],[Defense Wins]]/(Table257[[#This Row],[Defense Wins]]+Table257[[#This Row],[Defense Losses]]),0)</f>
        <v>0.54966887417218546</v>
      </c>
      <c r="AF18" s="1" cm="1">
        <f t="array" ref="AF18">IFERROR(SUMPRODUCT(($B$2:$F$118=Table257[[#This Row],[Player]])*$G$2:$G$118),0)</f>
        <v>16</v>
      </c>
      <c r="AG18" s="1" cm="1">
        <f t="array" ref="AG18">IFERROR(SUMPRODUCT(($B$2:$F$118=Table257[[#This Row],[Player]])*$H$2:$H$118),0)</f>
        <v>10</v>
      </c>
      <c r="AH18" s="1">
        <f>Table257[[#This Row],[Wins in Stacks]]+Table257[[#This Row],[Losses in Stacks]]</f>
        <v>26</v>
      </c>
      <c r="AI18" s="3">
        <f>IFERROR(Table257[[#This Row],[Wins in Stacks]]/Table257[[#This Row],[Total Games In Stacks]],0)</f>
        <v>0.61538461538461542</v>
      </c>
      <c r="AJ18" s="75">
        <v>0.05</v>
      </c>
      <c r="AK18" s="21">
        <v>5</v>
      </c>
      <c r="AL18" s="20" cm="1">
        <f t="array" ref="AL18">(Table257[[#This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1.3588273721770805</v>
      </c>
      <c r="AM18" s="1"/>
      <c r="AN18" s="12"/>
      <c r="AO18" s="12"/>
      <c r="AP18" s="1"/>
      <c r="AQ18" s="25">
        <f>AVERAGE(Table257[Attack K/D])</f>
        <v>0.77385514285714319</v>
      </c>
      <c r="AR18" s="25">
        <f>AVERAGE(Table257[Defense K/D])</f>
        <v>0.99455703571428589</v>
      </c>
      <c r="AS18" s="12">
        <f>AVERAGE(Table257[Defense KOST])</f>
        <v>54.068559285714279</v>
      </c>
      <c r="AT18" s="12">
        <f>AVERAGE(Table257[Defense KOST])</f>
        <v>54.068559285714279</v>
      </c>
      <c r="AU18" s="3">
        <f>AVERAGE(Table257[Attack Win%])</f>
        <v>0.38399201725422399</v>
      </c>
      <c r="AV18" s="3">
        <f>AVERAGE(Table257[Defense Win%])</f>
        <v>0.53515219007675996</v>
      </c>
      <c r="AW18" s="3">
        <f>AVERAGE(Table257[Ranked Win%])</f>
        <v>0.4639701626092872</v>
      </c>
      <c r="AX18" s="3">
        <f>AVERAGE(Table257[Win% in Stack])</f>
        <v>0.48899496616336136</v>
      </c>
      <c r="AY18" s="3">
        <f>AVERAGE(Table257[Comm''s %])</f>
        <v>0.33857142857142858</v>
      </c>
      <c r="AZ18" s="25">
        <f>AVERAGE(Table257[Selfish  1-5])</f>
        <v>3.3214285714285716</v>
      </c>
      <c r="BA18" s="12">
        <f>AVERAGE(Table257[+/- Average])</f>
        <v>-0.86718371428571395</v>
      </c>
    </row>
    <row r="19" spans="1:53">
      <c r="A19" s="40" t="str">
        <f>_xlfn.TEXTJOIN(",",TRUE,_xlfn._xlws.SORT(_xlfn.TEXTSPLIT(_xlfn.TEXTJOIN(",",TRUE,_xlfn._xlws.SORT($B19:$F19, 1, -1, FALSE)),"WWWWW",",")))</f>
        <v>Asherzs,Chromius.TAMU,Glonk.MB,lostarkwhale</v>
      </c>
      <c r="B19" s="41" t="s">
        <v>77</v>
      </c>
      <c r="C19" s="45" t="s">
        <v>162</v>
      </c>
      <c r="D19" s="81" t="s">
        <v>164</v>
      </c>
      <c r="E19" s="81" t="s">
        <v>100</v>
      </c>
      <c r="F19" s="49" t="s">
        <v>180</v>
      </c>
      <c r="G19" s="40">
        <v>3</v>
      </c>
      <c r="H19" s="40">
        <v>0</v>
      </c>
      <c r="I19" s="40">
        <f>$G19+$H19</f>
        <v>3</v>
      </c>
      <c r="J19" s="43">
        <f>G19/(H19+G19)</f>
        <v>1</v>
      </c>
      <c r="K19" s="44">
        <f>(Y8S4[[#This Row],[Wins]]-Y8S4[[#This Row],[Losses]]/SUM(Y8S4[Games Played]))/10</f>
        <v>0.3</v>
      </c>
      <c r="L19" s="67"/>
      <c r="P19" s="1" t="str">
        <f>IF(AL19&gt;7.5, "TIER 1",
IF(AL19&gt;6.5, "TIER 2",
IF(AL19&gt;5.5, "TIER 3",
IF(AL19&gt;4.5, "TIER 4",
IF(AL19&gt;3.5, "TIER 5",
IF(AL19&gt;2,  "TIER 6",
IF(AL19&gt;0,  "TIER 7",
"TIER 8")))))))</f>
        <v>TIER 7</v>
      </c>
      <c r="Q19" s="1" t="s">
        <v>117</v>
      </c>
      <c r="R19" s="8" t="s">
        <v>118</v>
      </c>
      <c r="S19" s="8">
        <f>VLOOKUP(Table257[[#This Row],[Player]],ImportTable[],2,FALSE)</f>
        <v>0.68571400000000005</v>
      </c>
      <c r="T19" s="8">
        <f>VLOOKUP(Table257[[#This Row],[Player]],ImportTable[],3,FALSE)</f>
        <v>0.93333299999999997</v>
      </c>
      <c r="U19" s="8">
        <f>VLOOKUP(Table257[[#This Row],[Player]],ImportTable[],4,FALSE)</f>
        <v>104</v>
      </c>
      <c r="V19" s="8">
        <f>VLOOKUP(Table257[[#This Row],[Player]],ImportTable[],5,FALSE)</f>
        <v>194</v>
      </c>
      <c r="W19" s="8">
        <f>VLOOKUP(Table257[[#This Row],[Player]],ImportTable[],6,FALSE)</f>
        <v>182</v>
      </c>
      <c r="X19" s="8">
        <f>VLOOKUP(Table257[[#This Row],[Player]],ImportTable[],7,FALSE)</f>
        <v>113</v>
      </c>
      <c r="Y19" s="77">
        <f>VLOOKUP(Table257[[#This Row],[Player]],ImportTable[],8,FALSE)</f>
        <v>42.040480000000002</v>
      </c>
      <c r="Z19" s="77">
        <f>VLOOKUP(Table257[[#This Row],[Player]],ImportTable[],9,FALSE)</f>
        <v>58.100909999999999</v>
      </c>
      <c r="AA19" s="8">
        <f>VLOOKUP(Table257[[#This Row],[Player]],ImportTable[],10,FALSE)</f>
        <v>41</v>
      </c>
      <c r="AB19" s="8">
        <f>VLOOKUP(Table257[[#This Row],[Player]],ImportTable[],11,FALSE)</f>
        <v>47</v>
      </c>
      <c r="AC19" s="3">
        <f>IFERROR(Table257[[#This Row],[Ranked Wins]]/(Table257[[#This Row],[Ranked Wins]]+Table257[[#This Row],[Ranked Losses]]),0)</f>
        <v>0.46590909090909088</v>
      </c>
      <c r="AD19" s="3">
        <f>IFERROR(Table257[[#This Row],[Attack Wins]]/(Table257[[#This Row],[Attack Wins]]+Table257[[#This Row],[Attack Losses]]),0)</f>
        <v>0.34899328859060402</v>
      </c>
      <c r="AE19" s="3">
        <f>IFERROR(Table257[[#This Row],[Defense Wins]]/(Table257[[#This Row],[Defense Wins]]+Table257[[#This Row],[Defense Losses]]),0)</f>
        <v>0.61694915254237293</v>
      </c>
      <c r="AF19" s="1" cm="1">
        <f t="array" ref="AF19">IFERROR(SUMPRODUCT(($B$2:$F$118=Table257[[#This Row],[Player]])*$G$2:$G$118),0)</f>
        <v>36</v>
      </c>
      <c r="AG19" s="1" cm="1">
        <f t="array" ref="AG19">IFERROR(SUMPRODUCT(($B$2:$F$118=Table257[[#This Row],[Player]])*$H$2:$H$118),0)</f>
        <v>33</v>
      </c>
      <c r="AH19" s="1">
        <f>Table257[[#This Row],[Wins in Stacks]]+Table257[[#This Row],[Losses in Stacks]]</f>
        <v>69</v>
      </c>
      <c r="AI19" s="3">
        <f>IFERROR(Table257[[#This Row],[Wins in Stacks]]/Table257[[#This Row],[Total Games In Stacks]],0)</f>
        <v>0.52173913043478259</v>
      </c>
      <c r="AJ19" s="75">
        <v>0.4</v>
      </c>
      <c r="AK19" s="21">
        <v>3</v>
      </c>
      <c r="AL19" s="20" cm="1">
        <f t="array" ref="AL19">(Table257[[#This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1.1290311564463926</v>
      </c>
      <c r="AM19" s="1"/>
      <c r="AN19" s="12"/>
      <c r="AO19" s="12"/>
      <c r="AP19" s="1"/>
      <c r="AQ19" s="1"/>
      <c r="AR19" s="1"/>
      <c r="AS19" s="1"/>
      <c r="AT19" s="1"/>
    </row>
    <row r="20" spans="1:53">
      <c r="A20" s="40" t="str">
        <f>_xlfn.TEXTJOIN(",",TRUE,_xlfn._xlws.SORT(_xlfn.TEXTSPLIT(_xlfn.TEXTJOIN(",",TRUE,_xlfn._xlws.SORT($B20:$F20, 1, -1, FALSE)),"WWWWW",",")))</f>
        <v>Fallen.Cortex,Fallen.Rqnger,Glonk.MB,Kermitt.MB,Timythiccums.MB</v>
      </c>
      <c r="B20" s="41" t="s">
        <v>162</v>
      </c>
      <c r="C20" s="46" t="s">
        <v>86</v>
      </c>
      <c r="D20" s="46" t="s">
        <v>118</v>
      </c>
      <c r="E20" s="49" t="s">
        <v>81</v>
      </c>
      <c r="F20" s="49" t="s">
        <v>140</v>
      </c>
      <c r="G20" s="40">
        <v>3</v>
      </c>
      <c r="H20" s="40">
        <v>0</v>
      </c>
      <c r="I20" s="40">
        <f>$G20+$H20</f>
        <v>3</v>
      </c>
      <c r="J20" s="43">
        <f>G20/(H20+G20)</f>
        <v>1</v>
      </c>
      <c r="K20" s="44">
        <f>(Y8S4[[#This Row],[Wins]]-Y8S4[[#This Row],[Losses]]/SUM(Y8S4[Games Played]))/10</f>
        <v>0.3</v>
      </c>
      <c r="L20" s="67" t="s">
        <v>203</v>
      </c>
      <c r="P20" s="1" t="str">
        <f>IF(AL20&gt;7.5, "TIER 1",
IF(AL20&gt;6.5, "TIER 2",
IF(AL20&gt;5.5, "TIER 3",
IF(AL20&gt;4.5, "TIER 4",
IF(AL20&gt;3.5, "TIER 5",
IF(AL20&gt;2,  "TIER 6",
IF(AL20&gt;0,  "TIER 7",
"TIER 8")))))))</f>
        <v>TIER 7</v>
      </c>
      <c r="Q20" s="1" t="s">
        <v>143</v>
      </c>
      <c r="R20" s="8" t="s">
        <v>144</v>
      </c>
      <c r="S20" s="8">
        <f>VLOOKUP(Table257[[#This Row],[Player]],ImportTable[],2,FALSE)</f>
        <v>0.56799999999999995</v>
      </c>
      <c r="T20" s="8">
        <f>VLOOKUP(Table257[[#This Row],[Player]],ImportTable[],3,FALSE)</f>
        <v>0.79464299999999999</v>
      </c>
      <c r="U20" s="8">
        <f>VLOOKUP(Table257[[#This Row],[Player]],ImportTable[],4,FALSE)</f>
        <v>75</v>
      </c>
      <c r="V20" s="8">
        <f>VLOOKUP(Table257[[#This Row],[Player]],ImportTable[],5,FALSE)</f>
        <v>101</v>
      </c>
      <c r="W20" s="8">
        <f>VLOOKUP(Table257[[#This Row],[Player]],ImportTable[],6,FALSE)</f>
        <v>90</v>
      </c>
      <c r="X20" s="8">
        <f>VLOOKUP(Table257[[#This Row],[Player]],ImportTable[],7,FALSE)</f>
        <v>70</v>
      </c>
      <c r="Y20" s="77">
        <f>VLOOKUP(Table257[[#This Row],[Player]],ImportTable[],8,FALSE)</f>
        <v>48.015830000000001</v>
      </c>
      <c r="Z20" s="77">
        <f>VLOOKUP(Table257[[#This Row],[Player]],ImportTable[],9,FALSE)</f>
        <v>45.297499999999999</v>
      </c>
      <c r="AA20" s="8">
        <f>VLOOKUP(Table257[[#This Row],[Player]],ImportTable[],10,FALSE)</f>
        <v>27</v>
      </c>
      <c r="AB20" s="8">
        <f>VLOOKUP(Table257[[#This Row],[Player]],ImportTable[],11,FALSE)</f>
        <v>24</v>
      </c>
      <c r="AC20" s="3">
        <f>IFERROR(Table257[[#This Row],[Ranked Wins]]/(Table257[[#This Row],[Ranked Wins]]+Table257[[#This Row],[Ranked Losses]]),0)</f>
        <v>0.52941176470588236</v>
      </c>
      <c r="AD20" s="3">
        <f>IFERROR(Table257[[#This Row],[Attack Wins]]/(Table257[[#This Row],[Attack Wins]]+Table257[[#This Row],[Attack Losses]]),0)</f>
        <v>0.42613636363636365</v>
      </c>
      <c r="AE20" s="3">
        <f>IFERROR(Table257[[#This Row],[Defense Wins]]/(Table257[[#This Row],[Defense Wins]]+Table257[[#This Row],[Defense Losses]]),0)</f>
        <v>0.5625</v>
      </c>
      <c r="AF20" s="1" cm="1">
        <f t="array" ref="AF20">IFERROR(SUMPRODUCT(($B$2:$F$118=Table257[[#This Row],[Player]])*$G$2:$G$118),0)</f>
        <v>15</v>
      </c>
      <c r="AG20" s="1" cm="1">
        <f t="array" ref="AG20">IFERROR(SUMPRODUCT(($B$2:$F$118=Table257[[#This Row],[Player]])*$H$2:$H$118),0)</f>
        <v>15</v>
      </c>
      <c r="AH20" s="1">
        <f>Table257[[#This Row],[Wins in Stacks]]+Table257[[#This Row],[Losses in Stacks]]</f>
        <v>30</v>
      </c>
      <c r="AI20" s="3">
        <f>IFERROR(Table257[[#This Row],[Wins in Stacks]]/Table257[[#This Row],[Total Games In Stacks]],0)</f>
        <v>0.5</v>
      </c>
      <c r="AJ20" s="75">
        <v>0.5</v>
      </c>
      <c r="AK20" s="21">
        <v>4</v>
      </c>
      <c r="AL20" s="20" cm="1">
        <f t="array" ref="AL20">(Table257[[#This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0.61700451075252216</v>
      </c>
      <c r="AM20" s="1"/>
      <c r="AN20" s="12"/>
      <c r="AO20" s="12"/>
      <c r="AP20" s="1"/>
      <c r="AQ20" s="1"/>
      <c r="AR20" s="1"/>
      <c r="AS20" s="1"/>
      <c r="AT20" s="1"/>
    </row>
    <row r="21" spans="1:53">
      <c r="A21" s="40" t="str">
        <f>_xlfn.TEXTJOIN(",",TRUE,_xlfn._xlws.SORT(_xlfn.TEXTSPLIT(_xlfn.TEXTJOIN(",",TRUE,_xlfn._xlws.SORT($B21:$F21, 1, -1, FALSE)),"WWWWW",",")))</f>
        <v>Chromius.TAMU,Colonizer.BU,Glonk.MB,Nobetterdough,Timythiccums.MB</v>
      </c>
      <c r="B21" s="41" t="s">
        <v>162</v>
      </c>
      <c r="C21" s="45" t="s">
        <v>77</v>
      </c>
      <c r="D21" s="56" t="s">
        <v>81</v>
      </c>
      <c r="E21" s="46" t="s">
        <v>154</v>
      </c>
      <c r="F21" s="46" t="s">
        <v>125</v>
      </c>
      <c r="G21" s="40">
        <v>2</v>
      </c>
      <c r="H21" s="40">
        <v>1</v>
      </c>
      <c r="I21" s="40">
        <f>$G21+$H21</f>
        <v>3</v>
      </c>
      <c r="J21" s="43">
        <f>G21/(H21+G21)</f>
        <v>0.66666666666666663</v>
      </c>
      <c r="K21" s="44">
        <f>(Y8S4[[#This Row],[Wins]]-Y8S4[[#This Row],[Losses]]/SUM(Y8S4[Games Played]))/10</f>
        <v>0.19961240310077519</v>
      </c>
      <c r="L21" s="67"/>
      <c r="P21" s="1" t="str">
        <f>IF(AL21&gt;7.5, "TIER 1",
IF(AL21&gt;6.5, "TIER 2",
IF(AL21&gt;5.5, "TIER 3",
IF(AL21&gt;4.5, "TIER 4",
IF(AL21&gt;3.5, "TIER 5",
IF(AL21&gt;2,  "TIER 6",
IF(AL21&gt;0,  "TIER 7",
"TIER 8")))))))</f>
        <v>TIER 8</v>
      </c>
      <c r="Q21" s="1" t="s">
        <v>137</v>
      </c>
      <c r="R21" s="8" t="s">
        <v>138</v>
      </c>
      <c r="S21" s="8">
        <f>VLOOKUP(Table257[[#This Row],[Player]],ImportTable[],2,FALSE)</f>
        <v>0.78723399999999999</v>
      </c>
      <c r="T21" s="8">
        <f>VLOOKUP(Table257[[#This Row],[Player]],ImportTable[],3,FALSE)</f>
        <v>0.92481199999999997</v>
      </c>
      <c r="U21" s="8">
        <f>VLOOKUP(Table257[[#This Row],[Player]],ImportTable[],4,FALSE)</f>
        <v>71</v>
      </c>
      <c r="V21" s="8">
        <f>VLOOKUP(Table257[[#This Row],[Player]],ImportTable[],5,FALSE)</f>
        <v>109</v>
      </c>
      <c r="W21" s="8">
        <f>VLOOKUP(Table257[[#This Row],[Player]],ImportTable[],6,FALSE)</f>
        <v>111</v>
      </c>
      <c r="X21" s="8">
        <f>VLOOKUP(Table257[[#This Row],[Player]],ImportTable[],7,FALSE)</f>
        <v>72</v>
      </c>
      <c r="Y21" s="77">
        <f>VLOOKUP(Table257[[#This Row],[Player]],ImportTable[],8,FALSE)</f>
        <v>41.111359999999998</v>
      </c>
      <c r="Z21" s="77">
        <f>VLOOKUP(Table257[[#This Row],[Player]],ImportTable[],9,FALSE)</f>
        <v>54.704000000000001</v>
      </c>
      <c r="AA21" s="8">
        <f>VLOOKUP(Table257[[#This Row],[Player]],ImportTable[],10,FALSE)</f>
        <v>31</v>
      </c>
      <c r="AB21" s="8">
        <f>VLOOKUP(Table257[[#This Row],[Player]],ImportTable[],11,FALSE)</f>
        <v>26</v>
      </c>
      <c r="AC21" s="3">
        <f>IFERROR(Table257[[#This Row],[Ranked Wins]]/(Table257[[#This Row],[Ranked Wins]]+Table257[[#This Row],[Ranked Losses]]),0)</f>
        <v>0.54385964912280704</v>
      </c>
      <c r="AD21" s="3">
        <f>IFERROR(Table257[[#This Row],[Attack Wins]]/(Table257[[#This Row],[Attack Wins]]+Table257[[#This Row],[Attack Losses]]),0)</f>
        <v>0.39444444444444443</v>
      </c>
      <c r="AE21" s="3">
        <f>IFERROR(Table257[[#This Row],[Defense Wins]]/(Table257[[#This Row],[Defense Wins]]+Table257[[#This Row],[Defense Losses]]),0)</f>
        <v>0.60655737704918034</v>
      </c>
      <c r="AF21" s="1" cm="1">
        <f t="array" ref="AF21">IFERROR(SUMPRODUCT(($B$2:$F$118=Table257[[#This Row],[Player]])*$G$2:$G$118),0)</f>
        <v>2</v>
      </c>
      <c r="AG21" s="1" cm="1">
        <f t="array" ref="AG21">IFERROR(SUMPRODUCT(($B$2:$F$118=Table257[[#This Row],[Player]])*$H$2:$H$118),0)</f>
        <v>3</v>
      </c>
      <c r="AH21" s="1">
        <f>Table257[[#This Row],[Wins in Stacks]]+Table257[[#This Row],[Losses in Stacks]]</f>
        <v>5</v>
      </c>
      <c r="AI21" s="3">
        <f>IFERROR(Table257[[#This Row],[Wins in Stacks]]/Table257[[#This Row],[Total Games In Stacks]],0)</f>
        <v>0.4</v>
      </c>
      <c r="AJ21" s="75">
        <v>0.35</v>
      </c>
      <c r="AK21" s="21">
        <v>3</v>
      </c>
      <c r="AL21" s="20" cm="1">
        <f t="array" ref="AL21">(Table257[[#This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-1.0152560665056196</v>
      </c>
      <c r="AM21" s="1"/>
      <c r="AN21" s="12"/>
      <c r="AO21" s="12"/>
      <c r="AP21" s="1"/>
      <c r="AQ21" s="1"/>
      <c r="AR21" s="1"/>
      <c r="AS21" s="1"/>
      <c r="AT21" s="1"/>
      <c r="AU21" s="1"/>
    </row>
    <row r="22" spans="1:53">
      <c r="A22" s="40" t="str">
        <f>_xlfn.TEXTJOIN(",",TRUE,_xlfn._xlws.SORT(_xlfn.TEXTSPLIT(_xlfn.TEXTJOIN(",",TRUE,_xlfn._xlws.SORT($B22:$F22, 1, -1, FALSE)),"WWWWW",",")))</f>
        <v>Boomerjet123,Chromius.TAMU,Fallen.Rqnger,Galahad21588,Koyeetchi</v>
      </c>
      <c r="B22" s="47" t="s">
        <v>77</v>
      </c>
      <c r="C22" s="47" t="s">
        <v>96</v>
      </c>
      <c r="D22" s="48" t="s">
        <v>144</v>
      </c>
      <c r="E22" s="55" t="s">
        <v>86</v>
      </c>
      <c r="F22" s="48" t="s">
        <v>109</v>
      </c>
      <c r="G22" s="40">
        <v>2</v>
      </c>
      <c r="H22" s="40">
        <v>1</v>
      </c>
      <c r="I22" s="40">
        <f>$G22+$H22</f>
        <v>3</v>
      </c>
      <c r="J22" s="50">
        <f>G22/(H22+G22)</f>
        <v>0.66666666666666663</v>
      </c>
      <c r="K22" s="51">
        <f>(Y8S4[[#This Row],[Wins]]-Y8S4[[#This Row],[Losses]]/SUM(Y8S4[Games Played]))/10</f>
        <v>0.19961240310077519</v>
      </c>
      <c r="L22" s="68"/>
      <c r="N22" s="1"/>
      <c r="O22" s="1"/>
      <c r="P22" s="1" t="str">
        <f>IF(AL22&gt;7.5, "TIER 1",
IF(AL22&gt;6.5, "TIER 2",
IF(AL22&gt;5.5, "TIER 3",
IF(AL22&gt;4.5, "TIER 4",
IF(AL22&gt;3.5, "TIER 5",
IF(AL22&gt;2,  "TIER 6",
IF(AL22&gt;0,  "TIER 7",
"TIER 8")))))))</f>
        <v>TIER 8</v>
      </c>
      <c r="Q22" s="1" t="s">
        <v>112</v>
      </c>
      <c r="R22" s="8" t="s">
        <v>113</v>
      </c>
      <c r="S22" s="8">
        <f>VLOOKUP(Table257[[#This Row],[Player]],ImportTable[],2,FALSE)</f>
        <v>0.5</v>
      </c>
      <c r="T22" s="8">
        <f>VLOOKUP(Table257[[#This Row],[Player]],ImportTable[],3,FALSE)</f>
        <v>0.70833299999999999</v>
      </c>
      <c r="U22" s="8">
        <f>VLOOKUP(Table257[[#This Row],[Player]],ImportTable[],4,FALSE)</f>
        <v>29</v>
      </c>
      <c r="V22" s="8">
        <f>VLOOKUP(Table257[[#This Row],[Player]],ImportTable[],5,FALSE)</f>
        <v>42</v>
      </c>
      <c r="W22" s="8">
        <f>VLOOKUP(Table257[[#This Row],[Player]],ImportTable[],6,FALSE)</f>
        <v>41</v>
      </c>
      <c r="X22" s="8">
        <f>VLOOKUP(Table257[[#This Row],[Player]],ImportTable[],7,FALSE)</f>
        <v>28</v>
      </c>
      <c r="Y22" s="77">
        <f>VLOOKUP(Table257[[#This Row],[Player]],ImportTable[],8,FALSE)</f>
        <v>43.008749999999999</v>
      </c>
      <c r="Z22" s="77">
        <f>VLOOKUP(Table257[[#This Row],[Player]],ImportTable[],9,FALSE)</f>
        <v>59.53875</v>
      </c>
      <c r="AA22" s="8">
        <f>VLOOKUP(Table257[[#This Row],[Player]],ImportTable[],10,FALSE)</f>
        <v>13</v>
      </c>
      <c r="AB22" s="8">
        <f>VLOOKUP(Table257[[#This Row],[Player]],ImportTable[],11,FALSE)</f>
        <v>12</v>
      </c>
      <c r="AC22" s="3">
        <f>IFERROR(Table257[[#This Row],[Ranked Wins]]/(Table257[[#This Row],[Ranked Wins]]+Table257[[#This Row],[Ranked Losses]]),0)</f>
        <v>0.52</v>
      </c>
      <c r="AD22" s="3">
        <f>IFERROR(Table257[[#This Row],[Attack Wins]]/(Table257[[#This Row],[Attack Wins]]+Table257[[#This Row],[Attack Losses]]),0)</f>
        <v>0.40845070422535212</v>
      </c>
      <c r="AE22" s="3">
        <f>IFERROR(Table257[[#This Row],[Defense Wins]]/(Table257[[#This Row],[Defense Wins]]+Table257[[#This Row],[Defense Losses]]),0)</f>
        <v>0.59420289855072461</v>
      </c>
      <c r="AF22" s="1" cm="1">
        <f t="array" ref="AF22">IFERROR(SUMPRODUCT(($B$2:$F$118=Table257[[#This Row],[Player]])*$G$2:$G$118),0)</f>
        <v>2</v>
      </c>
      <c r="AG22" s="1" cm="1">
        <f t="array" ref="AG22">IFERROR(SUMPRODUCT(($B$2:$F$118=Table257[[#This Row],[Player]])*$H$2:$H$118),0)</f>
        <v>6</v>
      </c>
      <c r="AH22" s="1">
        <f>Table257[[#This Row],[Wins in Stacks]]+Table257[[#This Row],[Losses in Stacks]]</f>
        <v>8</v>
      </c>
      <c r="AI22" s="3">
        <f>IFERROR(Table257[[#This Row],[Wins in Stacks]]/Table257[[#This Row],[Total Games In Stacks]],0)</f>
        <v>0.25</v>
      </c>
      <c r="AJ22" s="75">
        <v>0.4</v>
      </c>
      <c r="AK22" s="21">
        <v>1</v>
      </c>
      <c r="AL22" s="20" cm="1">
        <f t="array" ref="AL22">(Table257[[#This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-1.5678337449091702</v>
      </c>
      <c r="AN22" s="12"/>
      <c r="AO22" s="12"/>
    </row>
    <row r="23" spans="1:53">
      <c r="A23" s="40" t="str">
        <f>_xlfn.TEXTJOIN(",",TRUE,_xlfn._xlws.SORT(_xlfn.TEXTSPLIT(_xlfn.TEXTJOIN(",",TRUE,_xlfn._xlws.SORT($B23:$F23, 1, -1, FALSE)),"WWWWW",",")))</f>
        <v>Boomerjet123,Chromius.TAMU,Dlehard.,Rat_Squilla,Timythiccums.MB</v>
      </c>
      <c r="B23" s="45" t="s">
        <v>77</v>
      </c>
      <c r="C23" s="45" t="s">
        <v>81</v>
      </c>
      <c r="D23" s="59" t="s">
        <v>121</v>
      </c>
      <c r="E23" s="55" t="s">
        <v>109</v>
      </c>
      <c r="F23" s="54" t="s">
        <v>152</v>
      </c>
      <c r="G23" s="40">
        <v>2</v>
      </c>
      <c r="H23" s="40">
        <v>1</v>
      </c>
      <c r="I23" s="40">
        <f>$G23+$H23</f>
        <v>3</v>
      </c>
      <c r="J23" s="43">
        <f>G23/(H23+G23)</f>
        <v>0.66666666666666663</v>
      </c>
      <c r="K23" s="44">
        <f>(Y8S4[[#This Row],[Wins]]-Y8S4[[#This Row],[Losses]]/SUM(Y8S4[Games Played]))/10</f>
        <v>0.19961240310077519</v>
      </c>
      <c r="L23" s="67"/>
      <c r="P23" s="1" t="str">
        <f>IF(AL23&gt;7.5, "TIER 1",
IF(AL23&gt;6.5, "TIER 2",
IF(AL23&gt;5.5, "TIER 3",
IF(AL23&gt;4.5, "TIER 4",
IF(AL23&gt;3.5, "TIER 5",
IF(AL23&gt;2,  "TIER 6",
IF(AL23&gt;0,  "TIER 7",
"TIER 8")))))))</f>
        <v>TIER 8</v>
      </c>
      <c r="Q23" s="1" t="s">
        <v>151</v>
      </c>
      <c r="R23" s="8" t="s">
        <v>152</v>
      </c>
      <c r="S23" s="8">
        <f>VLOOKUP(Table257[[#This Row],[Player]],ImportTable[],2,FALSE)</f>
        <v>0.89968700000000001</v>
      </c>
      <c r="T23" s="8">
        <f>VLOOKUP(Table257[[#This Row],[Player]],ImportTable[],3,FALSE)</f>
        <v>1.2906569999999999</v>
      </c>
      <c r="U23" s="8">
        <f>VLOOKUP(Table257[[#This Row],[Player]],ImportTable[],4,FALSE)</f>
        <v>169</v>
      </c>
      <c r="V23" s="8">
        <f>VLOOKUP(Table257[[#This Row],[Player]],ImportTable[],5,FALSE)</f>
        <v>223</v>
      </c>
      <c r="W23" s="8">
        <f>VLOOKUP(Table257[[#This Row],[Player]],ImportTable[],6,FALSE)</f>
        <v>250</v>
      </c>
      <c r="X23" s="8">
        <f>VLOOKUP(Table257[[#This Row],[Player]],ImportTable[],7,FALSE)</f>
        <v>160</v>
      </c>
      <c r="Y23" s="77">
        <f>VLOOKUP(Table257[[#This Row],[Player]],ImportTable[],8,FALSE)</f>
        <v>52.435450000000003</v>
      </c>
      <c r="Z23" s="77">
        <f>VLOOKUP(Table257[[#This Row],[Player]],ImportTable[],9,FALSE)</f>
        <v>58.924190000000003</v>
      </c>
      <c r="AA23" s="8">
        <f>VLOOKUP(Table257[[#This Row],[Player]],ImportTable[],10,FALSE)</f>
        <v>71</v>
      </c>
      <c r="AB23" s="8">
        <f>VLOOKUP(Table257[[#This Row],[Player]],ImportTable[],11,FALSE)</f>
        <v>65</v>
      </c>
      <c r="AC23" s="3">
        <f>IFERROR(Table257[[#This Row],[Ranked Wins]]/(Table257[[#This Row],[Ranked Wins]]+Table257[[#This Row],[Ranked Losses]]),0)</f>
        <v>0.5220588235294118</v>
      </c>
      <c r="AD23" s="3">
        <f>IFERROR(Table257[[#This Row],[Attack Wins]]/(Table257[[#This Row],[Attack Wins]]+Table257[[#This Row],[Attack Losses]]),0)</f>
        <v>0.43112244897959184</v>
      </c>
      <c r="AE23" s="3">
        <f>IFERROR(Table257[[#This Row],[Defense Wins]]/(Table257[[#This Row],[Defense Wins]]+Table257[[#This Row],[Defense Losses]]),0)</f>
        <v>0.6097560975609756</v>
      </c>
      <c r="AF23" s="1" cm="1">
        <f t="array" ref="AF23">IFERROR(SUMPRODUCT(($B$2:$F$118=Table257[[#This Row],[Player]])*$G$2:$G$118),0)</f>
        <v>16</v>
      </c>
      <c r="AG23" s="1" cm="1">
        <f t="array" ref="AG23">IFERROR(SUMPRODUCT(($B$2:$F$118=Table257[[#This Row],[Player]])*$H$2:$H$118),0)</f>
        <v>13</v>
      </c>
      <c r="AH23" s="1">
        <f>Table257[[#This Row],[Wins in Stacks]]+Table257[[#This Row],[Losses in Stacks]]</f>
        <v>29</v>
      </c>
      <c r="AI23" s="3">
        <f>IFERROR(Table257[[#This Row],[Wins in Stacks]]/Table257[[#This Row],[Total Games In Stacks]],0)</f>
        <v>0.55172413793103448</v>
      </c>
      <c r="AJ23" s="75">
        <v>0.05</v>
      </c>
      <c r="AK23" s="21">
        <v>6</v>
      </c>
      <c r="AL23" s="20" cm="1">
        <f t="array" ref="AL23">(Table257[[#This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-1.7672883133494555</v>
      </c>
    </row>
    <row r="24" spans="1:53">
      <c r="A24" s="40" t="str">
        <f>_xlfn.TEXTJOIN(",",TRUE,_xlfn._xlws.SORT(_xlfn.TEXTSPLIT(_xlfn.TEXTJOIN(",",TRUE,_xlfn._xlws.SORT($B24:$F24, 1, -1, FALSE)),"WWWWW",",")))</f>
        <v>Boomerjet123,Chromius.TAMU,Galahad21588,Kermitt.MB,Timythiccums.MB</v>
      </c>
      <c r="B24" s="47" t="s">
        <v>77</v>
      </c>
      <c r="C24" s="48" t="s">
        <v>81</v>
      </c>
      <c r="D24" s="48" t="s">
        <v>96</v>
      </c>
      <c r="E24" s="55" t="s">
        <v>109</v>
      </c>
      <c r="F24" s="48" t="s">
        <v>118</v>
      </c>
      <c r="G24" s="40">
        <v>2</v>
      </c>
      <c r="H24" s="40">
        <v>1</v>
      </c>
      <c r="I24" s="40">
        <f>$G24+$H24</f>
        <v>3</v>
      </c>
      <c r="J24" s="50">
        <f>G24/(H24+G24)</f>
        <v>0.66666666666666663</v>
      </c>
      <c r="K24" s="51">
        <f>(Y8S4[[#This Row],[Wins]]-Y8S4[[#This Row],[Losses]]/SUM(Y8S4[Games Played]))/10</f>
        <v>0.19961240310077519</v>
      </c>
      <c r="L24" s="68"/>
      <c r="P24" s="1" t="str">
        <f>IF(AL24&gt;7.5, "TIER 1",
IF(AL24&gt;6.5, "TIER 2",
IF(AL24&gt;5.5, "TIER 3",
IF(AL24&gt;4.5, "TIER 4",
IF(AL24&gt;3.5, "TIER 5",
IF(AL24&gt;2,  "TIER 6",
IF(AL24&gt;0,  "TIER 7",
"TIER 8")))))))</f>
        <v>TIER 8</v>
      </c>
      <c r="Q24" s="1" t="s">
        <v>114</v>
      </c>
      <c r="R24" s="8" t="s">
        <v>115</v>
      </c>
      <c r="S24" s="8">
        <f>VLOOKUP(Table257[[#This Row],[Player]],ImportTable[],2,FALSE)</f>
        <v>0.57333299999999998</v>
      </c>
      <c r="T24" s="8">
        <f>VLOOKUP(Table257[[#This Row],[Player]],ImportTable[],3,FALSE)</f>
        <v>0.796296</v>
      </c>
      <c r="U24" s="8">
        <f>VLOOKUP(Table257[[#This Row],[Player]],ImportTable[],4,FALSE)</f>
        <v>43</v>
      </c>
      <c r="V24" s="8">
        <f>VLOOKUP(Table257[[#This Row],[Player]],ImportTable[],5,FALSE)</f>
        <v>50</v>
      </c>
      <c r="W24" s="8">
        <f>VLOOKUP(Table257[[#This Row],[Player]],ImportTable[],6,FALSE)</f>
        <v>55</v>
      </c>
      <c r="X24" s="8">
        <f>VLOOKUP(Table257[[#This Row],[Player]],ImportTable[],7,FALSE)</f>
        <v>33</v>
      </c>
      <c r="Y24" s="77">
        <f>VLOOKUP(Table257[[#This Row],[Player]],ImportTable[],8,FALSE)</f>
        <v>44.025709999999997</v>
      </c>
      <c r="Z24" s="77">
        <f>VLOOKUP(Table257[[#This Row],[Player]],ImportTable[],9,FALSE)</f>
        <v>59.046669999999999</v>
      </c>
      <c r="AA24" s="8">
        <f>VLOOKUP(Table257[[#This Row],[Player]],ImportTable[],10,FALSE)</f>
        <v>19</v>
      </c>
      <c r="AB24" s="8">
        <f>VLOOKUP(Table257[[#This Row],[Player]],ImportTable[],11,FALSE)</f>
        <v>20</v>
      </c>
      <c r="AC24" s="3">
        <f>IFERROR(Table257[[#This Row],[Ranked Wins]]/(Table257[[#This Row],[Ranked Wins]]+Table257[[#This Row],[Ranked Losses]]),0)</f>
        <v>0.48717948717948717</v>
      </c>
      <c r="AD24" s="3">
        <f>IFERROR(Table257[[#This Row],[Attack Wins]]/(Table257[[#This Row],[Attack Wins]]+Table257[[#This Row],[Attack Losses]]),0)</f>
        <v>0.46236559139784944</v>
      </c>
      <c r="AE24" s="3">
        <f>IFERROR(Table257[[#This Row],[Defense Wins]]/(Table257[[#This Row],[Defense Wins]]+Table257[[#This Row],[Defense Losses]]),0)</f>
        <v>0.625</v>
      </c>
      <c r="AF24" s="1" cm="1">
        <f t="array" ref="AF24">IFERROR(SUMPRODUCT(($B$2:$F$118=Table257[[#This Row],[Player]])*$G$2:$G$118),0)</f>
        <v>0</v>
      </c>
      <c r="AG24" s="1" cm="1">
        <f t="array" ref="AG24">IFERROR(SUMPRODUCT(($B$2:$F$118=Table257[[#This Row],[Player]])*$H$2:$H$118),0)</f>
        <v>6</v>
      </c>
      <c r="AH24" s="1">
        <f>Table257[[#This Row],[Wins in Stacks]]+Table257[[#This Row],[Losses in Stacks]]</f>
        <v>6</v>
      </c>
      <c r="AI24" s="3">
        <f>IFERROR(Table257[[#This Row],[Wins in Stacks]]/Table257[[#This Row],[Total Games In Stacks]],0)</f>
        <v>0</v>
      </c>
      <c r="AJ24" s="75">
        <v>0.3</v>
      </c>
      <c r="AK24" s="74">
        <v>1</v>
      </c>
      <c r="AL24" s="20" cm="1">
        <f t="array" ref="AL24">(Table257[[#This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-6.8351349868965716</v>
      </c>
    </row>
    <row r="25" spans="1:53">
      <c r="A25" s="40" t="str">
        <f>_xlfn.TEXTJOIN(",",TRUE,_xlfn._xlws.SORT(_xlfn.TEXTSPLIT(_xlfn.TEXTJOIN(",",TRUE,_xlfn._xlws.SORT($B25:$F25, 1, -1, FALSE)),"WWWWW",",")))</f>
        <v>Chromius.TAMU,Fallen.Rqnger,Galahad21588,Kermitt.MB,Koyeetchi</v>
      </c>
      <c r="B25" s="45" t="s">
        <v>77</v>
      </c>
      <c r="C25" s="45" t="s">
        <v>96</v>
      </c>
      <c r="D25" s="46" t="s">
        <v>86</v>
      </c>
      <c r="E25" s="46" t="s">
        <v>144</v>
      </c>
      <c r="F25" s="46" t="s">
        <v>118</v>
      </c>
      <c r="G25" s="40">
        <v>2</v>
      </c>
      <c r="H25" s="40">
        <v>1</v>
      </c>
      <c r="I25" s="40">
        <f>$G25+$H25</f>
        <v>3</v>
      </c>
      <c r="J25" s="43">
        <f>G25/(H25+G25)</f>
        <v>0.66666666666666663</v>
      </c>
      <c r="K25" s="44">
        <f>(Y8S4[[#This Row],[Wins]]-Y8S4[[#This Row],[Losses]]/SUM(Y8S4[Games Played]))/10</f>
        <v>0.19961240310077519</v>
      </c>
      <c r="L25" s="67"/>
      <c r="P25" s="1" t="str">
        <f>IF(AL25&gt;7.5, "TIER 1",
IF(AL25&gt;6.5, "TIER 2",
IF(AL25&gt;5.5, "TIER 3",
IF(AL25&gt;4.5, "TIER 4",
IF(AL25&gt;3.5, "TIER 5",
IF(AL25&gt;2,  "TIER 6",
IF(AL25&gt;0,  "TIER 7",
"TIER 8")))))))</f>
        <v>TIER 8</v>
      </c>
      <c r="Q25" s="1" t="s">
        <v>147</v>
      </c>
      <c r="R25" s="83" t="s">
        <v>148</v>
      </c>
      <c r="S25" s="8">
        <f>VLOOKUP(Table257[[#This Row],[Player]],ImportTable[],2,FALSE)</f>
        <v>0.65365899999999999</v>
      </c>
      <c r="T25" s="8">
        <f>VLOOKUP(Table257[[#This Row],[Player]],ImportTable[],3,FALSE)</f>
        <v>0.73575100000000004</v>
      </c>
      <c r="U25" s="8">
        <f>VLOOKUP(Table257[[#This Row],[Player]],ImportTable[],4,FALSE)</f>
        <v>101</v>
      </c>
      <c r="V25" s="8">
        <f>VLOOKUP(Table257[[#This Row],[Player]],ImportTable[],5,FALSE)</f>
        <v>151</v>
      </c>
      <c r="W25" s="8">
        <f>VLOOKUP(Table257[[#This Row],[Player]],ImportTable[],6,FALSE)</f>
        <v>140</v>
      </c>
      <c r="X25" s="8">
        <f>VLOOKUP(Table257[[#This Row],[Player]],ImportTable[],7,FALSE)</f>
        <v>114</v>
      </c>
      <c r="Y25" s="77">
        <f>VLOOKUP(Table257[[#This Row],[Player]],ImportTable[],8,FALSE)</f>
        <v>52.520629999999997</v>
      </c>
      <c r="Z25" s="77">
        <f>VLOOKUP(Table257[[#This Row],[Player]],ImportTable[],9,FALSE)</f>
        <v>51.99136</v>
      </c>
      <c r="AA25" s="8">
        <f>VLOOKUP(Table257[[#This Row],[Player]],ImportTable[],10,FALSE)</f>
        <v>33</v>
      </c>
      <c r="AB25" s="8">
        <f>VLOOKUP(Table257[[#This Row],[Player]],ImportTable[],11,FALSE)</f>
        <v>42</v>
      </c>
      <c r="AC25" s="3">
        <f>IFERROR(Table257[[#This Row],[Ranked Wins]]/(Table257[[#This Row],[Ranked Wins]]+Table257[[#This Row],[Ranked Losses]]),0)</f>
        <v>0.44</v>
      </c>
      <c r="AD25" s="3">
        <f>IFERROR(Table257[[#This Row],[Attack Wins]]/(Table257[[#This Row],[Attack Wins]]+Table257[[#This Row],[Attack Losses]]),0)</f>
        <v>0.40079365079365081</v>
      </c>
      <c r="AE25" s="3">
        <f>IFERROR(Table257[[#This Row],[Defense Wins]]/(Table257[[#This Row],[Defense Wins]]+Table257[[#This Row],[Defense Losses]]),0)</f>
        <v>0.55118110236220474</v>
      </c>
      <c r="AF25" s="1" cm="1">
        <f t="array" ref="AF25">IFERROR(SUMPRODUCT(($B$2:$F$118=Table257[[#This Row],[Player]])*$G$2:$G$118),0)</f>
        <v>0</v>
      </c>
      <c r="AG25" s="1" cm="1">
        <f t="array" ref="AG25">IFERROR(SUMPRODUCT(($B$2:$F$118=Table257[[#This Row],[Player]])*$H$2:$H$118),0)</f>
        <v>0</v>
      </c>
      <c r="AH25" s="1">
        <f>Table257[[#This Row],[Wins in Stacks]]+Table257[[#This Row],[Losses in Stacks]]</f>
        <v>0</v>
      </c>
      <c r="AI25" s="3">
        <f>IFERROR(Table257[[#This Row],[Wins in Stacks]]/Table257[[#This Row],[Total Games In Stacks]],0)</f>
        <v>0</v>
      </c>
      <c r="AJ25" s="75">
        <v>0.3</v>
      </c>
      <c r="AK25" s="74">
        <v>3</v>
      </c>
      <c r="AL25" s="20" cm="1">
        <f t="array" ref="AL25">(Table257[[#This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-10.497096241111382</v>
      </c>
    </row>
    <row r="26" spans="1:53">
      <c r="A26" s="40" t="str">
        <f>_xlfn.TEXTJOIN(",",TRUE,_xlfn._xlws.SORT(_xlfn.TEXTSPLIT(_xlfn.TEXTJOIN(",",TRUE,_xlfn._xlws.SORT($B26:$F26, 1, -1, FALSE)),"WWWWW",",")))</f>
        <v>Asherzs,Chromius.TAMU,Glonk.MB,Killmer.LAT,Pathos-val</v>
      </c>
      <c r="B26" s="41" t="s">
        <v>77</v>
      </c>
      <c r="C26" s="45" t="s">
        <v>162</v>
      </c>
      <c r="D26" s="81" t="s">
        <v>100</v>
      </c>
      <c r="E26" s="81" t="s">
        <v>155</v>
      </c>
      <c r="F26" s="81" t="s">
        <v>123</v>
      </c>
      <c r="G26" s="40">
        <v>2</v>
      </c>
      <c r="H26" s="40">
        <v>1</v>
      </c>
      <c r="I26" s="40">
        <f>$G26+$H26</f>
        <v>3</v>
      </c>
      <c r="J26" s="43">
        <f>G26/(H26+G26)</f>
        <v>0.66666666666666663</v>
      </c>
      <c r="K26" s="44">
        <f>(Y8S4[[#This Row],[Wins]]-Y8S4[[#This Row],[Losses]]/SUM(Y8S4[Games Played]))/10</f>
        <v>0.19961240310077519</v>
      </c>
      <c r="L26" s="67"/>
      <c r="P26" s="1" t="str">
        <f>IF(AL26&gt;7.5, "TIER 1",
IF(AL26&gt;6.5, "TIER 2",
IF(AL26&gt;5.5, "TIER 3",
IF(AL26&gt;4.5, "TIER 4",
IF(AL26&gt;3.5, "TIER 5",
IF(AL26&gt;2,  "TIER 6",
IF(AL26&gt;0,  "TIER 7",
"TIER 8")))))))</f>
        <v>TIER 8</v>
      </c>
      <c r="Q26" s="1" t="s">
        <v>149</v>
      </c>
      <c r="R26" s="85" t="s">
        <v>150</v>
      </c>
      <c r="S26" s="8">
        <f>VLOOKUP(Table257[[#This Row],[Player]],ImportTable[],2,FALSE)</f>
        <v>0.91818200000000005</v>
      </c>
      <c r="T26" s="8">
        <f>VLOOKUP(Table257[[#This Row],[Player]],ImportTable[],3,FALSE)</f>
        <v>1.0208330000000001</v>
      </c>
      <c r="U26" s="8">
        <f>VLOOKUP(Table257[[#This Row],[Player]],ImportTable[],4,FALSE)</f>
        <v>67</v>
      </c>
      <c r="V26" s="8">
        <f>VLOOKUP(Table257[[#This Row],[Player]],ImportTable[],5,FALSE)</f>
        <v>78</v>
      </c>
      <c r="W26" s="8">
        <f>VLOOKUP(Table257[[#This Row],[Player]],ImportTable[],6,FALSE)</f>
        <v>84</v>
      </c>
      <c r="X26" s="8">
        <f>VLOOKUP(Table257[[#This Row],[Player]],ImportTable[],7,FALSE)</f>
        <v>63</v>
      </c>
      <c r="Y26" s="77">
        <f>VLOOKUP(Table257[[#This Row],[Player]],ImportTable[],8,FALSE)</f>
        <v>55.087139999999998</v>
      </c>
      <c r="Z26" s="77">
        <f>VLOOKUP(Table257[[#This Row],[Player]],ImportTable[],9,FALSE)</f>
        <v>47.63438</v>
      </c>
      <c r="AA26" s="8">
        <f>VLOOKUP(Table257[[#This Row],[Player]],ImportTable[],10,FALSE)</f>
        <v>28</v>
      </c>
      <c r="AB26" s="8">
        <f>VLOOKUP(Table257[[#This Row],[Player]],ImportTable[],11,FALSE)</f>
        <v>25</v>
      </c>
      <c r="AC26" s="3">
        <f>IFERROR(Table257[[#This Row],[Ranked Wins]]/(Table257[[#This Row],[Ranked Wins]]+Table257[[#This Row],[Ranked Losses]]),0)</f>
        <v>0.52830188679245282</v>
      </c>
      <c r="AD26" s="3">
        <f>IFERROR(Table257[[#This Row],[Attack Wins]]/(Table257[[#This Row],[Attack Wins]]+Table257[[#This Row],[Attack Losses]]),0)</f>
        <v>0.46206896551724136</v>
      </c>
      <c r="AE26" s="3">
        <f>IFERROR(Table257[[#This Row],[Defense Wins]]/(Table257[[#This Row],[Defense Wins]]+Table257[[#This Row],[Defense Losses]]),0)</f>
        <v>0.5714285714285714</v>
      </c>
      <c r="AF26" s="1" cm="1">
        <f t="array" ref="AF26">IFERROR(SUMPRODUCT(($B$2:$F$118=Table257[[#This Row],[Player]])*$G$2:$G$118),0)</f>
        <v>0</v>
      </c>
      <c r="AG26" s="1" cm="1">
        <f t="array" ref="AG26">IFERROR(SUMPRODUCT(($B$2:$F$118=Table257[[#This Row],[Player]])*$H$2:$H$118),0)</f>
        <v>1</v>
      </c>
      <c r="AH26" s="1">
        <f>Table257[[#This Row],[Wins in Stacks]]+Table257[[#This Row],[Losses in Stacks]]</f>
        <v>1</v>
      </c>
      <c r="AI26" s="3">
        <f>IFERROR(Table257[[#This Row],[Wins in Stacks]]/Table257[[#This Row],[Total Games In Stacks]],0)</f>
        <v>0</v>
      </c>
      <c r="AJ26" s="75">
        <v>0.05</v>
      </c>
      <c r="AK26" s="74">
        <v>4</v>
      </c>
      <c r="AL26" s="20" cm="1">
        <f t="array" ref="AL26">(Table257[[#This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-11.928291535287283</v>
      </c>
    </row>
    <row r="27" spans="1:53">
      <c r="A27" s="40" t="str">
        <f>_xlfn.TEXTJOIN(",",TRUE,_xlfn._xlws.SORT(_xlfn.TEXTSPLIT(_xlfn.TEXTJOIN(",",TRUE,_xlfn._xlws.SORT($B27:$F27, 1, -1, FALSE)),"WWWWW",",")))</f>
        <v>Chromius.TAMU,Glonk.MB,Kermitt.MB,Nobetterdough,Timythiccums</v>
      </c>
      <c r="B27" s="41" t="s">
        <v>162</v>
      </c>
      <c r="C27" s="45" t="s">
        <v>77</v>
      </c>
      <c r="D27" s="46" t="s">
        <v>118</v>
      </c>
      <c r="E27" s="49" t="s">
        <v>204</v>
      </c>
      <c r="F27" s="49" t="s">
        <v>125</v>
      </c>
      <c r="G27" s="40">
        <v>2</v>
      </c>
      <c r="H27" s="40">
        <v>1</v>
      </c>
      <c r="I27" s="40">
        <f>$G27+$H27</f>
        <v>3</v>
      </c>
      <c r="J27" s="43">
        <f>G27/(H27+G27)</f>
        <v>0.66666666666666663</v>
      </c>
      <c r="K27" s="44">
        <f>(Y8S4[[#This Row],[Wins]]-Y8S4[[#This Row],[Losses]]/SUM(Y8S4[Games Played]))/10</f>
        <v>0.19961240310077519</v>
      </c>
      <c r="L27" s="67"/>
      <c r="P27" s="1" t="str">
        <f>IF(AL27&gt;7.5, "TIER 1",
IF(AL27&gt;6.5, "TIER 2",
IF(AL27&gt;5.5, "TIER 3",
IF(AL27&gt;4.5, "TIER 4",
IF(AL27&gt;3.5, "TIER 5",
IF(AL27&gt;2,  "TIER 6",
IF(AL27&gt;0,  "TIER 7",
"TIER 8")))))))</f>
        <v>TIER 8</v>
      </c>
      <c r="Q27" s="85" t="s">
        <v>155</v>
      </c>
      <c r="R27" s="85" t="s">
        <v>155</v>
      </c>
      <c r="S27" s="8">
        <f>VLOOKUP(Table257[[#This Row],[Player]],ImportTable[],2,FALSE)</f>
        <v>0</v>
      </c>
      <c r="T27" s="8">
        <f>VLOOKUP(Table257[[#This Row],[Player]],ImportTable[],3,FALSE)</f>
        <v>0</v>
      </c>
      <c r="U27" s="8">
        <f>VLOOKUP(Table257[[#This Row],[Player]],ImportTable[],4,FALSE)</f>
        <v>0</v>
      </c>
      <c r="V27" s="8">
        <f>VLOOKUP(Table257[[#This Row],[Player]],ImportTable[],5,FALSE)</f>
        <v>0</v>
      </c>
      <c r="W27" s="8">
        <f>VLOOKUP(Table257[[#This Row],[Player]],ImportTable[],6,FALSE)</f>
        <v>0</v>
      </c>
      <c r="X27" s="8">
        <f>VLOOKUP(Table257[[#This Row],[Player]],ImportTable[],7,FALSE)</f>
        <v>0</v>
      </c>
      <c r="Y27" s="77">
        <f>VLOOKUP(Table257[[#This Row],[Player]],ImportTable[],8,FALSE)</f>
        <v>0</v>
      </c>
      <c r="Z27" s="77">
        <f>VLOOKUP(Table257[[#This Row],[Player]],ImportTable[],9,FALSE)</f>
        <v>0</v>
      </c>
      <c r="AA27" s="8">
        <f>VLOOKUP(Table257[[#This Row],[Player]],ImportTable[],10,FALSE)</f>
        <v>0</v>
      </c>
      <c r="AB27" s="8">
        <f>VLOOKUP(Table257[[#This Row],[Player]],ImportTable[],11,FALSE)</f>
        <v>0</v>
      </c>
      <c r="AC27" s="3">
        <f>IFERROR(Table257[[#This Row],[Ranked Wins]]/(Table257[[#This Row],[Ranked Wins]]+Table257[[#This Row],[Ranked Losses]]),0)</f>
        <v>0</v>
      </c>
      <c r="AD27" s="3">
        <f>IFERROR(Table257[[#This Row],[Attack Wins]]/(Table257[[#This Row],[Attack Wins]]+Table257[[#This Row],[Attack Losses]]),0)</f>
        <v>0</v>
      </c>
      <c r="AE27" s="3">
        <f>IFERROR(Table257[[#This Row],[Defense Wins]]/(Table257[[#This Row],[Defense Wins]]+Table257[[#This Row],[Defense Losses]]),0)</f>
        <v>0</v>
      </c>
      <c r="AF27" s="1" cm="1">
        <f t="array" ref="AF27">IFERROR(SUMPRODUCT(($B$2:$F$118=Table257[[#This Row],[Player]])*$G$2:$G$118),0)</f>
        <v>2</v>
      </c>
      <c r="AG27" s="1" cm="1">
        <f t="array" ref="AG27">IFERROR(SUMPRODUCT(($B$2:$F$118=Table257[[#This Row],[Player]])*$H$2:$H$118),0)</f>
        <v>2</v>
      </c>
      <c r="AH27" s="1">
        <f>Table257[[#This Row],[Wins in Stacks]]+Table257[[#This Row],[Losses in Stacks]]</f>
        <v>4</v>
      </c>
      <c r="AI27" s="3">
        <f>IFERROR(Table257[[#This Row],[Wins in Stacks]]/Table257[[#This Row],[Total Games In Stacks]],0)</f>
        <v>0.5</v>
      </c>
      <c r="AJ27" s="75">
        <v>0.5</v>
      </c>
      <c r="AK27" s="21">
        <v>3</v>
      </c>
      <c r="AL27" s="20" cm="1">
        <f t="array" ref="AL27">(Table257[[#This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-24.257452772669936</v>
      </c>
    </row>
    <row r="28" spans="1:53">
      <c r="A28" s="40" t="str">
        <f>_xlfn.TEXTJOIN(",",TRUE,_xlfn._xlws.SORT(_xlfn.TEXTSPLIT(_xlfn.TEXTJOIN(",",TRUE,_xlfn._xlws.SORT($B28:$F28, 1, -1, FALSE)),"WWWWW",",")))</f>
        <v>Chromius.TAMU,Fallen.Rqnger,Notlappland,Timythiccums.MB</v>
      </c>
      <c r="B28" s="47" t="s">
        <v>77</v>
      </c>
      <c r="C28" s="48" t="s">
        <v>81</v>
      </c>
      <c r="D28" s="48" t="s">
        <v>86</v>
      </c>
      <c r="E28" s="48" t="s">
        <v>184</v>
      </c>
      <c r="F28" s="49" t="s">
        <v>180</v>
      </c>
      <c r="G28" s="40">
        <v>1</v>
      </c>
      <c r="H28" s="40">
        <v>2</v>
      </c>
      <c r="I28" s="40">
        <f>$G28+$H28</f>
        <v>3</v>
      </c>
      <c r="J28" s="50">
        <f>G28/(H28+G28)</f>
        <v>0.33333333333333331</v>
      </c>
      <c r="K28" s="51">
        <f>(Y8S4[[#This Row],[Wins]]-Y8S4[[#This Row],[Losses]]/SUM(Y8S4[Games Played]))/10</f>
        <v>9.9224806201550386E-2</v>
      </c>
      <c r="L28" s="68"/>
      <c r="P28" s="1" t="str">
        <f>IF(AL28&gt;7.5, "TIER 1",
IF(AL28&gt;6.5, "TIER 2",
IF(AL28&gt;5.5, "TIER 3",
IF(AL28&gt;4.5, "TIER 4",
IF(AL28&gt;3.5, "TIER 5",
IF(AL28&gt;2,  "TIER 6",
IF(AL28&gt;0,  "TIER 7",
"TIER 8")))))))</f>
        <v>TIER 8</v>
      </c>
      <c r="Q28" s="1" t="s">
        <v>156</v>
      </c>
      <c r="R28" s="84" t="s">
        <v>157</v>
      </c>
      <c r="S28" s="8">
        <f>VLOOKUP(Table257[[#This Row],[Player]],ImportTable[],2,FALSE)</f>
        <v>0</v>
      </c>
      <c r="T28" s="8">
        <f>VLOOKUP(Table257[[#This Row],[Player]],ImportTable[],3,FALSE)</f>
        <v>0</v>
      </c>
      <c r="U28" s="8">
        <f>VLOOKUP(Table257[[#This Row],[Player]],ImportTable[],4,FALSE)</f>
        <v>0</v>
      </c>
      <c r="V28" s="8">
        <f>VLOOKUP(Table257[[#This Row],[Player]],ImportTable[],5,FALSE)</f>
        <v>0</v>
      </c>
      <c r="W28" s="8">
        <f>VLOOKUP(Table257[[#This Row],[Player]],ImportTable[],6,FALSE)</f>
        <v>0</v>
      </c>
      <c r="X28" s="8">
        <f>VLOOKUP(Table257[[#This Row],[Player]],ImportTable[],7,FALSE)</f>
        <v>0</v>
      </c>
      <c r="Y28" s="77">
        <f>VLOOKUP(Table257[[#This Row],[Player]],ImportTable[],8,FALSE)</f>
        <v>0</v>
      </c>
      <c r="Z28" s="77">
        <f>VLOOKUP(Table257[[#This Row],[Player]],ImportTable[],9,FALSE)</f>
        <v>0</v>
      </c>
      <c r="AA28" s="8">
        <f>VLOOKUP(Table257[[#This Row],[Player]],ImportTable[],10,FALSE)</f>
        <v>0</v>
      </c>
      <c r="AB28" s="8">
        <f>VLOOKUP(Table257[[#This Row],[Player]],ImportTable[],11,FALSE)</f>
        <v>0</v>
      </c>
      <c r="AC28" s="3">
        <f>IFERROR(Table257[[#This Row],[Ranked Wins]]/(Table257[[#This Row],[Ranked Wins]]+Table257[[#This Row],[Ranked Losses]]),0)</f>
        <v>0</v>
      </c>
      <c r="AD28" s="3">
        <f>IFERROR(Table257[[#This Row],[Attack Wins]]/(Table257[[#This Row],[Attack Wins]]+Table257[[#This Row],[Attack Losses]]),0)</f>
        <v>0</v>
      </c>
      <c r="AE28" s="3">
        <f>IFERROR(Table257[[#This Row],[Defense Wins]]/(Table257[[#This Row],[Defense Wins]]+Table257[[#This Row],[Defense Losses]]),0)</f>
        <v>0</v>
      </c>
      <c r="AF28" s="1" cm="1">
        <f t="array" ref="AF28">IFERROR(SUMPRODUCT(($B$2:$F$118=Table257[[#This Row],[Player]])*$G$2:$G$118),0)</f>
        <v>2</v>
      </c>
      <c r="AG28" s="1" cm="1">
        <f t="array" ref="AG28">IFERROR(SUMPRODUCT(($B$2:$F$118=Table257[[#This Row],[Player]])*$H$2:$H$118),0)</f>
        <v>3</v>
      </c>
      <c r="AH28" s="1">
        <f>Table257[[#This Row],[Wins in Stacks]]+Table257[[#This Row],[Losses in Stacks]]</f>
        <v>5</v>
      </c>
      <c r="AI28" s="3">
        <f>IFERROR(Table257[[#This Row],[Wins in Stacks]]/Table257[[#This Row],[Total Games In Stacks]],0)</f>
        <v>0.4</v>
      </c>
      <c r="AJ28" s="75">
        <v>0.01</v>
      </c>
      <c r="AK28" s="21">
        <v>5</v>
      </c>
      <c r="AL28" s="20" cm="1">
        <f t="array" ref="AL28">(Table257[[#This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-33.157452772669934</v>
      </c>
    </row>
    <row r="29" spans="1:53">
      <c r="A29" s="40" t="str">
        <f>_xlfn.TEXTJOIN(",",TRUE,_xlfn._xlws.SORT(_xlfn.TEXTSPLIT(_xlfn.TEXTJOIN(",",TRUE,_xlfn._xlws.SORT($B29:$F29, 1, -1, FALSE)),"WWWWW",",")))</f>
        <v>Chromius.TAMU,Galahad21588,Kermitt.MB,Nobetterdough,Timythiccums.MB</v>
      </c>
      <c r="B29" s="45" t="s">
        <v>77</v>
      </c>
      <c r="C29" s="46" t="s">
        <v>81</v>
      </c>
      <c r="D29" s="46" t="s">
        <v>118</v>
      </c>
      <c r="E29" s="65" t="s">
        <v>96</v>
      </c>
      <c r="F29" s="46" t="s">
        <v>125</v>
      </c>
      <c r="G29" s="40">
        <v>1</v>
      </c>
      <c r="H29" s="40">
        <v>2</v>
      </c>
      <c r="I29" s="40">
        <f>$G29+$H29</f>
        <v>3</v>
      </c>
      <c r="J29" s="43">
        <f>G29/(H29+G29)</f>
        <v>0.33333333333333331</v>
      </c>
      <c r="K29" s="44">
        <f>(Y8S4[[#This Row],[Wins]]-Y8S4[[#This Row],[Losses]]/SUM(Y8S4[Games Played]))/10</f>
        <v>9.9224806201550386E-2</v>
      </c>
      <c r="L29" s="67"/>
      <c r="P29" s="1" t="str">
        <f>IF(AL29&gt;7.5, "TIER 1",
IF(AL29&gt;6.5, "TIER 2",
IF(AL29&gt;5.5, "TIER 3",
IF(AL29&gt;4.5, "TIER 4",
IF(AL29&gt;3.5, "TIER 5",
IF(AL29&gt;2,  "TIER 6",
IF(AL29&gt;0,  "TIER 7",
"TIER 8")))))))</f>
        <v>TIER 8</v>
      </c>
      <c r="Q29" s="86" t="s">
        <v>158</v>
      </c>
      <c r="R29" s="83" t="s">
        <v>159</v>
      </c>
      <c r="S29" s="8">
        <f>VLOOKUP(Table257[[#This Row],[Player]],ImportTable[],2,FALSE)</f>
        <v>0</v>
      </c>
      <c r="T29" s="8">
        <f>VLOOKUP(Table257[[#This Row],[Player]],ImportTable[],3,FALSE)</f>
        <v>0</v>
      </c>
      <c r="U29" s="8">
        <f>VLOOKUP(Table257[[#This Row],[Player]],ImportTable[],4,FALSE)</f>
        <v>0</v>
      </c>
      <c r="V29" s="8">
        <f>VLOOKUP(Table257[[#This Row],[Player]],ImportTable[],5,FALSE)</f>
        <v>0</v>
      </c>
      <c r="W29" s="8">
        <f>VLOOKUP(Table257[[#This Row],[Player]],ImportTable[],6,FALSE)</f>
        <v>0</v>
      </c>
      <c r="X29" s="8">
        <f>VLOOKUP(Table257[[#This Row],[Player]],ImportTable[],7,FALSE)</f>
        <v>0</v>
      </c>
      <c r="Y29" s="77">
        <f>VLOOKUP(Table257[[#This Row],[Player]],ImportTable[],8,FALSE)</f>
        <v>0</v>
      </c>
      <c r="Z29" s="77">
        <f>VLOOKUP(Table257[[#This Row],[Player]],ImportTable[],9,FALSE)</f>
        <v>0</v>
      </c>
      <c r="AA29" s="8">
        <f>VLOOKUP(Table257[[#This Row],[Player]],ImportTable[],10,FALSE)</f>
        <v>0</v>
      </c>
      <c r="AB29" s="8">
        <f>VLOOKUP(Table257[[#This Row],[Player]],ImportTable[],11,FALSE)</f>
        <v>0</v>
      </c>
      <c r="AC29" s="3">
        <f>IFERROR(Table257[[#This Row],[Ranked Wins]]/(Table257[[#This Row],[Ranked Wins]]+Table257[[#This Row],[Ranked Losses]]),0)</f>
        <v>0</v>
      </c>
      <c r="AD29" s="3">
        <f>IFERROR(Table257[[#This Row],[Attack Wins]]/(Table257[[#This Row],[Attack Wins]]+Table257[[#This Row],[Attack Losses]]),0)</f>
        <v>0</v>
      </c>
      <c r="AE29" s="3">
        <f>IFERROR(Table257[[#This Row],[Defense Wins]]/(Table257[[#This Row],[Defense Wins]]+Table257[[#This Row],[Defense Losses]]),0)</f>
        <v>0</v>
      </c>
      <c r="AF29" s="1" cm="1">
        <f t="array" ref="AF29">IFERROR(SUMPRODUCT(($B$2:$F$118=Table257[[#This Row],[Player]])*$G$2:$G$118),0)</f>
        <v>2</v>
      </c>
      <c r="AG29" s="1" cm="1">
        <f t="array" ref="AG29">IFERROR(SUMPRODUCT(($B$2:$F$118=Table257[[#This Row],[Player]])*$H$2:$H$118),0)</f>
        <v>4</v>
      </c>
      <c r="AH29" s="1">
        <f>Table257[[#This Row],[Wins in Stacks]]+Table257[[#This Row],[Losses in Stacks]]</f>
        <v>6</v>
      </c>
      <c r="AI29" s="3">
        <f>IFERROR(Table257[[#This Row],[Wins in Stacks]]/Table257[[#This Row],[Total Games In Stacks]],0)</f>
        <v>0.33333333333333331</v>
      </c>
      <c r="AJ29" s="75">
        <v>0.01</v>
      </c>
      <c r="AK29" s="21">
        <v>6</v>
      </c>
      <c r="AL29" s="20" cm="1">
        <f t="array" ref="AL29">(Table257[[#This Row],[Attack K/D]]-Table58[Avg A K/D])+((Table257[[#This Row],[Defense K/D]]-Table58[Avg D K/D])+(Table257[[#This Row],[Attack KOST]]-Table58[A KOST])/10)+((Table257[[#This Row],[Defense KOST]]-Table58[D KOST])/10)+((Table257[[#This Row],[Attack Win%]]-Table58[Avg Attack W%])*10)+((Table257[[#This Row],[Defense Win%]]-Table58[Avg Defense W%])*10)+((Table257[[#This Row],[Ranked Win%]]-Table58[Avg Rank Win %])*10)+((Table257[[#This Row],[Win% in Stack]]-Table58[Avg Stack Win%])*10)*2+((Table257[[#This Row],[Comm''s %]]-Table58[Avg Comm''s %])*10)+(Table58[Avg Selfish  1-5]-Table257[[#This Row],[Selfish  1-5]])</f>
        <v>-35.49078610600327</v>
      </c>
    </row>
    <row r="30" spans="1:53">
      <c r="A30" s="40" t="str">
        <f>_xlfn.TEXTJOIN(",",TRUE,_xlfn._xlws.SORT(_xlfn.TEXTSPLIT(_xlfn.TEXTJOIN(",",TRUE,_xlfn._xlws.SORT($B30:$F30, 1, -1, FALSE)),"WWWWW",",")))</f>
        <v>Chromius.TAMU,Fallen.Rqnger,Glonk.MB,Nobetterdough,Rat_Squilla</v>
      </c>
      <c r="B30" s="47" t="s">
        <v>77</v>
      </c>
      <c r="C30" s="42" t="s">
        <v>162</v>
      </c>
      <c r="D30" s="48" t="s">
        <v>86</v>
      </c>
      <c r="E30" s="54" t="s">
        <v>152</v>
      </c>
      <c r="F30" s="48" t="s">
        <v>125</v>
      </c>
      <c r="G30" s="40">
        <v>1</v>
      </c>
      <c r="H30" s="40">
        <v>2</v>
      </c>
      <c r="I30" s="40">
        <f>$G30+$H30</f>
        <v>3</v>
      </c>
      <c r="J30" s="50">
        <f>G30/(H30+G30)</f>
        <v>0.33333333333333331</v>
      </c>
      <c r="K30" s="51">
        <f>(Y8S4[[#This Row],[Wins]]-Y8S4[[#This Row],[Losses]]/SUM(Y8S4[Games Played]))/10</f>
        <v>9.9224806201550386E-2</v>
      </c>
      <c r="L30" s="68"/>
      <c r="N30" s="1"/>
      <c r="O30" s="1"/>
      <c r="P30" s="210" t="s">
        <v>160</v>
      </c>
      <c r="Q30" s="210"/>
      <c r="R30" s="210"/>
      <c r="S30" s="210"/>
      <c r="T30" s="210"/>
      <c r="U30" s="210"/>
      <c r="V30" s="210"/>
      <c r="W30" s="210"/>
      <c r="X30" s="210"/>
      <c r="Y30" s="210"/>
      <c r="Z30" s="210"/>
      <c r="AA30" s="1"/>
      <c r="AB30" s="1"/>
      <c r="AC30" s="1"/>
      <c r="AD30" s="1"/>
      <c r="AE30" s="1"/>
      <c r="AF30" s="1"/>
      <c r="AG30" s="1"/>
      <c r="AH30" s="1"/>
      <c r="AI30" s="1"/>
      <c r="AJ30" s="1"/>
      <c r="AK30" s="1"/>
    </row>
    <row r="31" spans="1:53" ht="24">
      <c r="A31" s="40" t="str">
        <f>_xlfn.TEXTJOIN(",",TRUE,_xlfn._xlws.SORT(_xlfn.TEXTSPLIT(_xlfn.TEXTJOIN(",",TRUE,_xlfn._xlws.SORT($B31:$F31, 1, -1, FALSE)),"WWWWW",",")))</f>
        <v>Chromius.TAMU,Fallen.Rqnger,Glonk.MB</v>
      </c>
      <c r="B31" s="41" t="s">
        <v>162</v>
      </c>
      <c r="C31" s="46" t="s">
        <v>77</v>
      </c>
      <c r="D31" s="46" t="s">
        <v>86</v>
      </c>
      <c r="E31" s="49" t="s">
        <v>180</v>
      </c>
      <c r="F31" s="49" t="s">
        <v>180</v>
      </c>
      <c r="G31" s="40">
        <v>0</v>
      </c>
      <c r="H31" s="40">
        <v>3</v>
      </c>
      <c r="I31" s="40">
        <f>$G31+$H31</f>
        <v>3</v>
      </c>
      <c r="J31" s="43">
        <f>G31/(H31+G31)</f>
        <v>0</v>
      </c>
      <c r="K31" s="44">
        <f>(Y8S4[[#This Row],[Wins]]-Y8S4[[#This Row],[Losses]]/SUM(Y8S4[Games Played]))/10</f>
        <v>-1.1627906976744186E-3</v>
      </c>
      <c r="L31" s="67" t="s">
        <v>223</v>
      </c>
      <c r="N31" s="1"/>
      <c r="O31" s="1"/>
      <c r="P31" s="78" t="s">
        <v>50</v>
      </c>
      <c r="Q31" s="79" t="s">
        <v>51</v>
      </c>
      <c r="R31" s="79" t="s">
        <v>52</v>
      </c>
      <c r="S31" s="79" t="s">
        <v>53</v>
      </c>
      <c r="T31" s="79" t="s">
        <v>54</v>
      </c>
      <c r="U31" s="79" t="s">
        <v>55</v>
      </c>
      <c r="V31" s="79" t="s">
        <v>56</v>
      </c>
      <c r="W31" s="79" t="s">
        <v>57</v>
      </c>
      <c r="X31" s="79" t="s">
        <v>58</v>
      </c>
      <c r="Y31" s="79" t="s">
        <v>59</v>
      </c>
      <c r="Z31" s="79" t="s">
        <v>60</v>
      </c>
      <c r="AA31" s="1"/>
      <c r="AB31" s="1"/>
      <c r="AC31" s="1"/>
      <c r="AD31" s="1"/>
      <c r="AE31" s="1"/>
      <c r="AF31" s="1"/>
      <c r="AG31" s="1"/>
      <c r="AH31" s="1"/>
      <c r="AI31" s="1"/>
      <c r="AJ31" s="1"/>
      <c r="AK31" s="1"/>
    </row>
    <row r="32" spans="1:53">
      <c r="A32" s="40" t="str">
        <f>_xlfn.TEXTJOIN(",",TRUE,_xlfn._xlws.SORT(_xlfn.TEXTSPLIT(_xlfn.TEXTJOIN(",",TRUE,_xlfn._xlws.SORT($B32:$F32, 1, -1, FALSE)),"WWWWW",",")))</f>
        <v>catsanddog123,Chromius.TAMU,Darwin,lostarkwhale</v>
      </c>
      <c r="B32" s="91" t="s">
        <v>77</v>
      </c>
      <c r="C32" s="92" t="s">
        <v>164</v>
      </c>
      <c r="D32" s="93" t="s">
        <v>157</v>
      </c>
      <c r="E32" s="112" t="s">
        <v>215</v>
      </c>
      <c r="F32" s="49" t="s">
        <v>180</v>
      </c>
      <c r="G32" s="40">
        <v>1</v>
      </c>
      <c r="H32" s="40">
        <v>2</v>
      </c>
      <c r="I32" s="40">
        <v>3</v>
      </c>
      <c r="J32" s="97">
        <v>0.33329999999999999</v>
      </c>
      <c r="K32" s="98">
        <v>9.9199999999999997E-2</v>
      </c>
      <c r="L32" s="96"/>
      <c r="N32" s="1"/>
      <c r="O32" s="1"/>
      <c r="P32" s="8" t="s">
        <v>77</v>
      </c>
      <c r="Q32" s="8">
        <v>1.2084809999999999</v>
      </c>
      <c r="R32" s="8">
        <v>1.489598</v>
      </c>
      <c r="S32" s="8">
        <v>493</v>
      </c>
      <c r="T32" s="8">
        <v>628</v>
      </c>
      <c r="U32" s="8">
        <v>683</v>
      </c>
      <c r="V32" s="8">
        <v>441</v>
      </c>
      <c r="W32" s="8">
        <v>60.709119999999999</v>
      </c>
      <c r="X32" s="8">
        <v>67.103430000000003</v>
      </c>
      <c r="Y32" s="8">
        <v>203</v>
      </c>
      <c r="Z32" s="8">
        <v>175</v>
      </c>
      <c r="AA32" s="1"/>
      <c r="AB32" s="1" t="s">
        <v>290</v>
      </c>
      <c r="AC32" s="1"/>
      <c r="AD32" s="1"/>
      <c r="AE32" s="1"/>
      <c r="AF32" s="1"/>
      <c r="AG32" s="1"/>
      <c r="AH32" s="1"/>
      <c r="AI32" s="1"/>
      <c r="AJ32" s="1"/>
      <c r="AK32" s="1"/>
    </row>
    <row r="33" spans="1:37">
      <c r="A33" s="40" t="str">
        <f>_xlfn.TEXTJOIN(",",TRUE,_xlfn._xlws.SORT(_xlfn.TEXTSPLIT(_xlfn.TEXTJOIN(",",TRUE,_xlfn._xlws.SORT($B33:$F33, 1, -1, FALSE)),"WWWWW",",")))</f>
        <v>Chromius.TAMU,Glonk.MB,Notlappland,Timythiccums.MB</v>
      </c>
      <c r="B33" s="47" t="s">
        <v>77</v>
      </c>
      <c r="C33" s="48" t="s">
        <v>162</v>
      </c>
      <c r="D33" s="48" t="s">
        <v>81</v>
      </c>
      <c r="E33" s="48" t="s">
        <v>184</v>
      </c>
      <c r="F33" s="57" t="s">
        <v>180</v>
      </c>
      <c r="G33" s="40">
        <v>2</v>
      </c>
      <c r="H33" s="40">
        <v>0</v>
      </c>
      <c r="I33" s="40">
        <f>$G33+$H33</f>
        <v>2</v>
      </c>
      <c r="J33" s="50">
        <f>G33/(H33+G33)</f>
        <v>1</v>
      </c>
      <c r="K33" s="51">
        <f>(Y8S4[[#This Row],[Wins]]-Y8S4[[#This Row],[Losses]]/SUM(Y8S4[Games Played]))/10</f>
        <v>0.2</v>
      </c>
      <c r="L33" s="68"/>
      <c r="N33" s="1"/>
      <c r="O33" s="1"/>
      <c r="P33" s="8" t="s">
        <v>161</v>
      </c>
      <c r="Q33" s="8">
        <v>0.90151499999999996</v>
      </c>
      <c r="R33" s="8">
        <v>0.941909</v>
      </c>
      <c r="S33" s="8">
        <v>160</v>
      </c>
      <c r="T33" s="8">
        <v>207</v>
      </c>
      <c r="U33" s="8">
        <v>226</v>
      </c>
      <c r="V33" s="8">
        <v>136</v>
      </c>
      <c r="W33" s="8">
        <v>44.643000000000001</v>
      </c>
      <c r="X33" s="8">
        <v>69.809470000000005</v>
      </c>
      <c r="Y33" s="8">
        <v>70</v>
      </c>
      <c r="Z33" s="8">
        <v>53</v>
      </c>
      <c r="AA33" s="1"/>
      <c r="AB33" s="1"/>
      <c r="AC33" s="1"/>
      <c r="AD33" s="1"/>
      <c r="AE33" s="1"/>
      <c r="AF33" s="1"/>
      <c r="AG33" s="1"/>
      <c r="AH33" s="1"/>
      <c r="AI33" s="1"/>
      <c r="AJ33" s="1"/>
      <c r="AK33" s="1"/>
    </row>
    <row r="34" spans="1:37">
      <c r="A34" s="40" t="str">
        <f>_xlfn.TEXTJOIN(",",TRUE,_xlfn._xlws.SORT(_xlfn.TEXTSPLIT(_xlfn.TEXTJOIN(",",TRUE,_xlfn._xlws.SORT($B34:$F34, 1, -1, FALSE)),"WWWWW",",")))</f>
        <v>Chromius.TAMU,Glonk.MB,Koyeetchi,Notlappland,Strugg1er.</v>
      </c>
      <c r="B34" s="41" t="s">
        <v>162</v>
      </c>
      <c r="C34" s="48" t="s">
        <v>77</v>
      </c>
      <c r="D34" s="48" t="s">
        <v>144</v>
      </c>
      <c r="E34" s="48" t="s">
        <v>111</v>
      </c>
      <c r="F34" s="48" t="s">
        <v>184</v>
      </c>
      <c r="G34" s="40">
        <v>2</v>
      </c>
      <c r="H34" s="40">
        <v>0</v>
      </c>
      <c r="I34" s="40">
        <f>$G34+$H34</f>
        <v>2</v>
      </c>
      <c r="J34" s="50">
        <f>G34/(H34+G34)</f>
        <v>1</v>
      </c>
      <c r="K34" s="51">
        <f>(Y8S4[[#This Row],[Wins]]-Y8S4[[#This Row],[Losses]]/SUM(Y8S4[Games Played]))/10</f>
        <v>0.2</v>
      </c>
      <c r="L34" s="68"/>
      <c r="N34" s="1"/>
      <c r="O34" s="1"/>
      <c r="P34" s="8" t="s">
        <v>162</v>
      </c>
      <c r="Q34" s="8">
        <v>0.66964299999999999</v>
      </c>
      <c r="R34" s="8">
        <v>0.88602899999999996</v>
      </c>
      <c r="S34" s="8">
        <v>194</v>
      </c>
      <c r="T34" s="8">
        <v>242</v>
      </c>
      <c r="U34" s="8">
        <v>292</v>
      </c>
      <c r="V34" s="8">
        <v>150</v>
      </c>
      <c r="W34" s="8">
        <v>38.927140000000001</v>
      </c>
      <c r="X34" s="8">
        <v>59.126469999999998</v>
      </c>
      <c r="Y34" s="8">
        <v>83</v>
      </c>
      <c r="Z34" s="8">
        <v>59</v>
      </c>
      <c r="AA34" s="1"/>
      <c r="AB34" s="1"/>
      <c r="AC34" s="1"/>
      <c r="AD34" s="1"/>
      <c r="AE34" s="1"/>
      <c r="AF34" s="1"/>
      <c r="AG34" s="1"/>
      <c r="AH34" s="1"/>
      <c r="AI34" s="1"/>
      <c r="AJ34" s="1"/>
      <c r="AK34" s="1"/>
    </row>
    <row r="35" spans="1:37">
      <c r="A35" s="40" t="str">
        <f>_xlfn.TEXTJOIN(",",TRUE,_xlfn._xlws.SORT(_xlfn.TEXTSPLIT(_xlfn.TEXTJOIN(",",TRUE,_xlfn._xlws.SORT($B35:$F35, 1, -1, FALSE)),"WWWWW",",")))</f>
        <v>Boomerjet123,Chromius.TAMU,Fallen.Rqnger,Notlappland,Strugg1er.</v>
      </c>
      <c r="B35" s="45" t="s">
        <v>77</v>
      </c>
      <c r="C35" s="45" t="s">
        <v>109</v>
      </c>
      <c r="D35" s="46" t="s">
        <v>86</v>
      </c>
      <c r="E35" s="46" t="s">
        <v>184</v>
      </c>
      <c r="F35" s="46" t="s">
        <v>111</v>
      </c>
      <c r="G35" s="40">
        <v>2</v>
      </c>
      <c r="H35" s="40">
        <v>0</v>
      </c>
      <c r="I35" s="40">
        <f>$G35+$H35</f>
        <v>2</v>
      </c>
      <c r="J35" s="43">
        <f>G35/(H35+G35)</f>
        <v>1</v>
      </c>
      <c r="K35" s="44">
        <f>(Y8S4[[#This Row],[Wins]]-Y8S4[[#This Row],[Losses]]/SUM(Y8S4[Games Played]))/10</f>
        <v>0.2</v>
      </c>
      <c r="L35" s="67"/>
      <c r="N35" s="1"/>
      <c r="O35" s="1"/>
      <c r="P35" s="8" t="s">
        <v>104</v>
      </c>
      <c r="Q35" s="8">
        <v>1.1200000000000001</v>
      </c>
      <c r="R35" s="8">
        <v>1.9583330000000001</v>
      </c>
      <c r="S35" s="8">
        <v>32</v>
      </c>
      <c r="T35" s="8">
        <v>41</v>
      </c>
      <c r="U35" s="8">
        <v>48</v>
      </c>
      <c r="V35" s="8">
        <v>30</v>
      </c>
      <c r="W35" s="8">
        <v>42.21</v>
      </c>
      <c r="X35" s="8">
        <v>88.046250000000001</v>
      </c>
      <c r="Y35" s="8">
        <v>13</v>
      </c>
      <c r="Z35" s="8">
        <v>9</v>
      </c>
      <c r="AA35" s="1"/>
      <c r="AB35" s="1"/>
      <c r="AC35" s="1"/>
      <c r="AD35" s="1"/>
      <c r="AE35" s="1"/>
      <c r="AF35" s="1"/>
      <c r="AG35" s="1"/>
      <c r="AH35" s="1"/>
      <c r="AI35" s="1"/>
      <c r="AJ35" s="1"/>
      <c r="AK35" s="1"/>
    </row>
    <row r="36" spans="1:37">
      <c r="A36" s="40" t="str">
        <f>_xlfn.TEXTJOIN(",",TRUE,_xlfn._xlws.SORT(_xlfn.TEXTSPLIT(_xlfn.TEXTJOIN(",",TRUE,_xlfn._xlws.SORT($B36:$F36, 1, -1, FALSE)),"WWWWW",",")))</f>
        <v>Colonizer.BU,Glonk.MB</v>
      </c>
      <c r="B36" s="41" t="s">
        <v>162</v>
      </c>
      <c r="C36" s="47" t="s">
        <v>154</v>
      </c>
      <c r="D36" s="49"/>
      <c r="E36" s="49" t="s">
        <v>180</v>
      </c>
      <c r="F36" s="49" t="s">
        <v>180</v>
      </c>
      <c r="G36" s="40">
        <v>2</v>
      </c>
      <c r="H36" s="40">
        <v>0</v>
      </c>
      <c r="I36" s="40">
        <f>$G36+$H36</f>
        <v>2</v>
      </c>
      <c r="J36" s="50">
        <f>G36/(H36+G36)</f>
        <v>1</v>
      </c>
      <c r="K36" s="51">
        <f>(Y8S4[[#This Row],[Wins]]-Y8S4[[#This Row],[Losses]]/SUM(Y8S4[Games Played]))/10</f>
        <v>0.2</v>
      </c>
      <c r="L36" s="68"/>
      <c r="P36" s="8" t="s">
        <v>86</v>
      </c>
      <c r="Q36" s="8">
        <v>1.208955</v>
      </c>
      <c r="R36" s="8">
        <v>1.271676</v>
      </c>
      <c r="S36" s="8">
        <v>142</v>
      </c>
      <c r="T36" s="8">
        <v>154</v>
      </c>
      <c r="U36" s="8">
        <v>175</v>
      </c>
      <c r="V36" s="8">
        <v>109</v>
      </c>
      <c r="W36" s="8">
        <v>56.228749999999998</v>
      </c>
      <c r="X36" s="8">
        <v>62.583159999999999</v>
      </c>
      <c r="Y36" s="8">
        <v>46</v>
      </c>
      <c r="Z36" s="8">
        <v>30</v>
      </c>
    </row>
    <row r="37" spans="1:37">
      <c r="A37" s="40" t="str">
        <f>_xlfn.TEXTJOIN(",",TRUE,_xlfn._xlws.SORT(_xlfn.TEXTSPLIT(_xlfn.TEXTJOIN(",",TRUE,_xlfn._xlws.SORT($B37:$F37, 1, -1, FALSE)),"WWWWW",",")))</f>
        <v>Chromius.TAMU,Fallen.Cortex</v>
      </c>
      <c r="B37" s="47" t="s">
        <v>77</v>
      </c>
      <c r="C37" s="48" t="s">
        <v>140</v>
      </c>
      <c r="D37" s="49" t="s">
        <v>180</v>
      </c>
      <c r="E37" s="49" t="s">
        <v>180</v>
      </c>
      <c r="F37" s="49" t="s">
        <v>180</v>
      </c>
      <c r="G37" s="40">
        <v>2</v>
      </c>
      <c r="H37" s="40">
        <v>0</v>
      </c>
      <c r="I37" s="40">
        <f>$G37+$H37</f>
        <v>2</v>
      </c>
      <c r="J37" s="50">
        <f>G37/(H37+G37)</f>
        <v>1</v>
      </c>
      <c r="K37" s="51">
        <f>(Y8S4[[#This Row],[Wins]]-Y8S4[[#This Row],[Losses]]/SUM(Y8S4[Games Played]))/10</f>
        <v>0.2</v>
      </c>
      <c r="L37" s="68"/>
      <c r="P37" s="8" t="s">
        <v>111</v>
      </c>
      <c r="Q37" s="8">
        <v>1.120879</v>
      </c>
      <c r="R37" s="8">
        <v>1.2903230000000001</v>
      </c>
      <c r="S37" s="8">
        <v>114</v>
      </c>
      <c r="T37" s="8">
        <v>140</v>
      </c>
      <c r="U37" s="8">
        <v>155</v>
      </c>
      <c r="V37" s="8">
        <v>112</v>
      </c>
      <c r="W37" s="8">
        <v>67.593789999999998</v>
      </c>
      <c r="X37" s="8">
        <v>58.880299999999998</v>
      </c>
      <c r="Y37" s="8">
        <v>46</v>
      </c>
      <c r="Z37" s="8">
        <v>44</v>
      </c>
    </row>
    <row r="38" spans="1:37">
      <c r="A38" s="40" t="str">
        <f>_xlfn.TEXTJOIN(",",TRUE,_xlfn._xlws.SORT(_xlfn.TEXTSPLIT(_xlfn.TEXTJOIN(",",TRUE,_xlfn._xlws.SORT($B38:$F38, 1, -1, FALSE)),"WWWWW",",")))</f>
        <v>Chromius.TAMU,Fallen.Rqnger,Glonk.MB,Nobetterdough,Strugg1er.</v>
      </c>
      <c r="B38" s="47" t="s">
        <v>77</v>
      </c>
      <c r="C38" s="42" t="s">
        <v>162</v>
      </c>
      <c r="D38" s="48" t="s">
        <v>86</v>
      </c>
      <c r="E38" s="46" t="s">
        <v>125</v>
      </c>
      <c r="F38" s="49" t="s">
        <v>111</v>
      </c>
      <c r="G38" s="40">
        <v>2</v>
      </c>
      <c r="H38" s="40">
        <v>0</v>
      </c>
      <c r="I38" s="40">
        <f>$G38+$H38</f>
        <v>2</v>
      </c>
      <c r="J38" s="50">
        <f>G38/(H38+G38)</f>
        <v>1</v>
      </c>
      <c r="K38" s="51">
        <f>(Y8S4[[#This Row],[Wins]]-Y8S4[[#This Row],[Losses]]/SUM(Y8S4[Games Played]))/10</f>
        <v>0.2</v>
      </c>
      <c r="L38" s="68"/>
      <c r="P38" s="8" t="s">
        <v>81</v>
      </c>
      <c r="Q38" s="8">
        <v>0.711816</v>
      </c>
      <c r="R38" s="8">
        <v>0.96655500000000005</v>
      </c>
      <c r="S38" s="8">
        <v>180</v>
      </c>
      <c r="T38" s="8">
        <v>292</v>
      </c>
      <c r="U38" s="8">
        <v>293</v>
      </c>
      <c r="V38" s="8">
        <v>186</v>
      </c>
      <c r="W38" s="8">
        <v>54.600909999999999</v>
      </c>
      <c r="X38" s="8">
        <v>65.560630000000003</v>
      </c>
      <c r="Y38" s="8">
        <v>75</v>
      </c>
      <c r="Z38" s="8">
        <v>77</v>
      </c>
      <c r="AB38" t="s">
        <v>290</v>
      </c>
    </row>
    <row r="39" spans="1:37">
      <c r="A39" s="40" t="str">
        <f>_xlfn.TEXTJOIN(",",TRUE,_xlfn._xlws.SORT(_xlfn.TEXTSPLIT(_xlfn.TEXTJOIN(",",TRUE,_xlfn._xlws.SORT($B39:$F39, 1, -1, FALSE)),"WWWWW",",")))</f>
        <v>Chromius.TAMU,Kermitt.MB,PincheConcha,Rat_Squilla,Timythiccums.MB</v>
      </c>
      <c r="B39" s="47" t="s">
        <v>77</v>
      </c>
      <c r="C39" s="48" t="s">
        <v>81</v>
      </c>
      <c r="D39" s="49" t="s">
        <v>152</v>
      </c>
      <c r="E39" s="49" t="s">
        <v>118</v>
      </c>
      <c r="F39" s="121" t="s">
        <v>91</v>
      </c>
      <c r="G39" s="40">
        <v>2</v>
      </c>
      <c r="H39" s="40">
        <v>0</v>
      </c>
      <c r="I39" s="40">
        <f>$G39+$H39</f>
        <v>2</v>
      </c>
      <c r="J39" s="50">
        <f>G39/(H39+G39)</f>
        <v>1</v>
      </c>
      <c r="K39" s="51">
        <f>(Y8S4[[#This Row],[Wins]]-Y8S4[[#This Row],[Losses]]/SUM(Y8S4[Games Played]))/10</f>
        <v>0.2</v>
      </c>
      <c r="L39" s="68"/>
      <c r="P39" s="8" t="s">
        <v>109</v>
      </c>
      <c r="Q39" s="8">
        <v>0.70053500000000002</v>
      </c>
      <c r="R39" s="8">
        <v>0.89119199999999998</v>
      </c>
      <c r="S39" s="8">
        <v>125</v>
      </c>
      <c r="T39" s="8">
        <v>137</v>
      </c>
      <c r="U39" s="8">
        <v>142</v>
      </c>
      <c r="V39" s="8">
        <v>118</v>
      </c>
      <c r="W39" s="8">
        <v>38.544440000000002</v>
      </c>
      <c r="X39" s="8">
        <v>51.405709999999999</v>
      </c>
      <c r="Y39" s="8">
        <v>43</v>
      </c>
      <c r="Z39" s="8">
        <v>31</v>
      </c>
    </row>
    <row r="40" spans="1:37">
      <c r="A40" s="40" t="str">
        <f>_xlfn.TEXTJOIN(",",TRUE,_xlfn._xlws.SORT(_xlfn.TEXTSPLIT(_xlfn.TEXTJOIN(",",TRUE,_xlfn._xlws.SORT($B40:$F40, 1, -1, FALSE)),"WWWWW",",")))</f>
        <v>catsanddog123,Chromius.TAMU,lostarkwhale</v>
      </c>
      <c r="B40" s="41" t="s">
        <v>77</v>
      </c>
      <c r="C40" s="46" t="s">
        <v>164</v>
      </c>
      <c r="D40" s="88" t="s">
        <v>157</v>
      </c>
      <c r="E40" s="49" t="s">
        <v>180</v>
      </c>
      <c r="F40" s="49" t="s">
        <v>180</v>
      </c>
      <c r="G40" s="40">
        <v>1</v>
      </c>
      <c r="H40" s="40">
        <v>1</v>
      </c>
      <c r="I40" s="40">
        <f>$G40+$H40</f>
        <v>2</v>
      </c>
      <c r="J40" s="43">
        <f>G40/(H40+G40)</f>
        <v>0.5</v>
      </c>
      <c r="K40" s="44">
        <f>(Y8S4[[#This Row],[Wins]]-Y8S4[[#This Row],[Losses]]/SUM(Y8S4[Games Played]))/10</f>
        <v>9.9612403100775196E-2</v>
      </c>
      <c r="L40" s="67"/>
      <c r="P40" s="8" t="s">
        <v>138</v>
      </c>
      <c r="Q40" s="8">
        <v>0.78723399999999999</v>
      </c>
      <c r="R40" s="8">
        <v>0.92481199999999997</v>
      </c>
      <c r="S40" s="8">
        <v>71</v>
      </c>
      <c r="T40" s="8">
        <v>109</v>
      </c>
      <c r="U40" s="8">
        <v>111</v>
      </c>
      <c r="V40" s="8">
        <v>72</v>
      </c>
      <c r="W40" s="8">
        <v>41.111359999999998</v>
      </c>
      <c r="X40" s="8">
        <v>54.704000000000001</v>
      </c>
      <c r="Y40" s="8">
        <v>31</v>
      </c>
      <c r="Z40" s="8">
        <v>26</v>
      </c>
    </row>
    <row r="41" spans="1:37">
      <c r="A41" s="40" t="str">
        <f>_xlfn.TEXTJOIN(",",TRUE,_xlfn._xlws.SORT(_xlfn.TEXTSPLIT(_xlfn.TEXTJOIN(",",TRUE,_xlfn._xlws.SORT($B41:$F41, 1, -1, FALSE)),"WWWWW",",")))</f>
        <v>Chromius.TAMU,Galahad21588,Timythiccums.MB</v>
      </c>
      <c r="B41" s="45" t="s">
        <v>77</v>
      </c>
      <c r="C41" s="46" t="s">
        <v>81</v>
      </c>
      <c r="D41" s="46" t="s">
        <v>96</v>
      </c>
      <c r="E41" s="52" t="s">
        <v>180</v>
      </c>
      <c r="F41" s="52" t="s">
        <v>180</v>
      </c>
      <c r="G41" s="40">
        <v>1</v>
      </c>
      <c r="H41" s="40">
        <v>1</v>
      </c>
      <c r="I41" s="40">
        <f>$G41+$H41</f>
        <v>2</v>
      </c>
      <c r="J41" s="43">
        <f>G41/(H41+G41)</f>
        <v>0.5</v>
      </c>
      <c r="K41" s="44">
        <f>(Y8S4[[#This Row],[Wins]]-Y8S4[[#This Row],[Losses]]/SUM(Y8S4[Games Played]))/10</f>
        <v>9.9612403100775196E-2</v>
      </c>
      <c r="L41" s="67" t="s">
        <v>209</v>
      </c>
      <c r="P41" s="8" t="s">
        <v>96</v>
      </c>
      <c r="Q41" s="8">
        <v>0.69721100000000003</v>
      </c>
      <c r="R41" s="8">
        <v>0.793103</v>
      </c>
      <c r="S41" s="8">
        <v>156</v>
      </c>
      <c r="T41" s="8">
        <v>194</v>
      </c>
      <c r="U41" s="8">
        <v>198</v>
      </c>
      <c r="V41" s="8">
        <v>138</v>
      </c>
      <c r="W41" s="8">
        <v>44.22045</v>
      </c>
      <c r="X41" s="8">
        <v>48.439050000000002</v>
      </c>
      <c r="Y41" s="8">
        <v>59</v>
      </c>
      <c r="Z41" s="8">
        <v>58</v>
      </c>
    </row>
    <row r="42" spans="1:37">
      <c r="A42" s="40" t="str">
        <f>_xlfn.TEXTJOIN(",",TRUE,_xlfn._xlws.SORT(_xlfn.TEXTSPLIT(_xlfn.TEXTJOIN(",",TRUE,_xlfn._xlws.SORT($B42:$F42, 1, -1, FALSE)),"WWWWW",",")))</f>
        <v>Boomerjet123,Chromius.TAMU,Fallen.Rqnger,Koyeetchi,Notlappland</v>
      </c>
      <c r="B42" s="47" t="s">
        <v>77</v>
      </c>
      <c r="C42" s="48" t="s">
        <v>184</v>
      </c>
      <c r="D42" s="48" t="s">
        <v>144</v>
      </c>
      <c r="E42" s="55" t="s">
        <v>86</v>
      </c>
      <c r="F42" s="48" t="s">
        <v>109</v>
      </c>
      <c r="G42" s="40">
        <v>1</v>
      </c>
      <c r="H42" s="40">
        <v>1</v>
      </c>
      <c r="I42" s="40">
        <f>$G42+$H42</f>
        <v>2</v>
      </c>
      <c r="J42" s="50">
        <f>G42/(H42+G42)</f>
        <v>0.5</v>
      </c>
      <c r="K42" s="51">
        <f>(Y8S4[[#This Row],[Wins]]-Y8S4[[#This Row],[Losses]]/SUM(Y8S4[Games Played]))/10</f>
        <v>9.9612403100775196E-2</v>
      </c>
      <c r="L42" s="68" t="s">
        <v>291</v>
      </c>
      <c r="P42" s="8" t="s">
        <v>140</v>
      </c>
      <c r="Q42" s="8">
        <v>1.0963860000000001</v>
      </c>
      <c r="R42" s="8">
        <v>1.448718</v>
      </c>
      <c r="S42" s="8">
        <v>59</v>
      </c>
      <c r="T42" s="8">
        <v>64</v>
      </c>
      <c r="U42" s="8">
        <v>99</v>
      </c>
      <c r="V42" s="8">
        <v>40</v>
      </c>
      <c r="W42" s="8">
        <v>54.525260000000003</v>
      </c>
      <c r="X42" s="8">
        <v>68.770430000000005</v>
      </c>
      <c r="Y42" s="8">
        <v>26</v>
      </c>
      <c r="Z42" s="8">
        <v>9</v>
      </c>
    </row>
    <row r="43" spans="1:37">
      <c r="A43" s="40" t="str">
        <f>_xlfn.TEXTJOIN(",",TRUE,_xlfn._xlws.SORT(_xlfn.TEXTSPLIT(_xlfn.TEXTJOIN(",",TRUE,_xlfn._xlws.SORT($B43:$F43, 1, -1, FALSE)),"WWWWW",",")))</f>
        <v>Chromius.TAMU,Glonk.MB,MrFish,Penguy</v>
      </c>
      <c r="B43" s="41" t="s">
        <v>162</v>
      </c>
      <c r="C43" s="46" t="s">
        <v>77</v>
      </c>
      <c r="D43" s="118" t="s">
        <v>210</v>
      </c>
      <c r="E43" s="87" t="s">
        <v>211</v>
      </c>
      <c r="F43" s="52" t="s">
        <v>180</v>
      </c>
      <c r="G43" s="40">
        <v>1</v>
      </c>
      <c r="H43" s="40">
        <v>1</v>
      </c>
      <c r="I43" s="40">
        <f>$G43+$H43</f>
        <v>2</v>
      </c>
      <c r="J43" s="43">
        <f>G43/(H43+G43)</f>
        <v>0.5</v>
      </c>
      <c r="K43" s="44">
        <f>(Y8S4[[#This Row],[Wins]]-Y8S4[[#This Row],[Losses]]/SUM(Y8S4[Games Played]))/10</f>
        <v>9.9612403100775196E-2</v>
      </c>
      <c r="L43" s="67"/>
      <c r="P43" s="8" t="s">
        <v>121</v>
      </c>
      <c r="Q43" s="8">
        <v>0.95918400000000004</v>
      </c>
      <c r="R43" s="8">
        <v>1.156566</v>
      </c>
      <c r="S43" s="8">
        <v>255</v>
      </c>
      <c r="T43" s="8">
        <v>369</v>
      </c>
      <c r="U43" s="8">
        <v>360</v>
      </c>
      <c r="V43" s="8">
        <v>277</v>
      </c>
      <c r="W43" s="8">
        <v>53.622860000000003</v>
      </c>
      <c r="X43" s="8">
        <v>58.85548</v>
      </c>
      <c r="Y43" s="8">
        <v>101</v>
      </c>
      <c r="Z43" s="8">
        <v>103</v>
      </c>
    </row>
    <row r="44" spans="1:37">
      <c r="A44" s="40" t="str">
        <f>_xlfn.TEXTJOIN(",",TRUE,_xlfn._xlws.SORT(_xlfn.TEXTSPLIT(_xlfn.TEXTJOIN(",",TRUE,_xlfn._xlws.SORT($B44:$F44, 1, -1, FALSE)),"WWWWW",",")))</f>
        <v>Boomerjet123,Chromius.TAMU,Kermitt.MB,Timythiccums.MB</v>
      </c>
      <c r="B44" s="47" t="s">
        <v>77</v>
      </c>
      <c r="C44" s="47" t="s">
        <v>81</v>
      </c>
      <c r="D44" s="40" t="s">
        <v>109</v>
      </c>
      <c r="E44" s="48" t="s">
        <v>118</v>
      </c>
      <c r="F44" s="49" t="s">
        <v>180</v>
      </c>
      <c r="G44" s="40">
        <v>1</v>
      </c>
      <c r="H44" s="40">
        <v>1</v>
      </c>
      <c r="I44" s="40">
        <f>$G44+$H44</f>
        <v>2</v>
      </c>
      <c r="J44" s="50">
        <f>G44/(H44+G44)</f>
        <v>0.5</v>
      </c>
      <c r="K44" s="51">
        <f>(Y8S4[[#This Row],[Wins]]-Y8S4[[#This Row],[Losses]]/SUM(Y8S4[Games Played]))/10</f>
        <v>9.9612403100775196E-2</v>
      </c>
      <c r="L44" s="68"/>
      <c r="P44" s="8" t="s">
        <v>125</v>
      </c>
      <c r="Q44" s="8">
        <v>0.71698099999999998</v>
      </c>
      <c r="R44" s="8">
        <v>0.84146299999999996</v>
      </c>
      <c r="S44" s="8">
        <v>54</v>
      </c>
      <c r="T44" s="8">
        <v>84</v>
      </c>
      <c r="U44" s="8">
        <v>82</v>
      </c>
      <c r="V44" s="8">
        <v>59</v>
      </c>
      <c r="W44" s="8">
        <v>50.004170000000002</v>
      </c>
      <c r="X44" s="8">
        <v>54.231999999999999</v>
      </c>
      <c r="Y44" s="8">
        <v>24</v>
      </c>
      <c r="Z44" s="8">
        <v>21</v>
      </c>
    </row>
    <row r="45" spans="1:37">
      <c r="A45" s="40" t="str">
        <f>_xlfn.TEXTJOIN(",",TRUE,_xlfn._xlws.SORT(_xlfn.TEXTSPLIT(_xlfn.TEXTJOIN(",",TRUE,_xlfn._xlws.SORT($B45:$F45, 1, -1, FALSE)),"WWWWW",",")))</f>
        <v>Chromius.TAMU,Dlehard.,Fallen.Rqnger,Glonk.MB,Timythiccums.MB</v>
      </c>
      <c r="B45" s="47" t="s">
        <v>77</v>
      </c>
      <c r="C45" s="41" t="s">
        <v>162</v>
      </c>
      <c r="D45" s="48" t="s">
        <v>86</v>
      </c>
      <c r="E45" s="48" t="s">
        <v>121</v>
      </c>
      <c r="F45" s="57" t="s">
        <v>81</v>
      </c>
      <c r="G45" s="40">
        <v>1</v>
      </c>
      <c r="H45" s="40">
        <v>1</v>
      </c>
      <c r="I45" s="40">
        <f>$G45+$H45</f>
        <v>2</v>
      </c>
      <c r="J45" s="50">
        <f>G45/(H45+G45)</f>
        <v>0.5</v>
      </c>
      <c r="K45" s="51">
        <f>(Y8S4[[#This Row],[Wins]]-Y8S4[[#This Row],[Losses]]/SUM(Y8S4[Games Played]))/10</f>
        <v>9.9612403100775196E-2</v>
      </c>
      <c r="L45" s="68"/>
      <c r="P45" s="8" t="s">
        <v>113</v>
      </c>
      <c r="Q45" s="8">
        <v>0.5</v>
      </c>
      <c r="R45" s="8">
        <v>0.70833299999999999</v>
      </c>
      <c r="S45" s="8">
        <v>29</v>
      </c>
      <c r="T45" s="8">
        <v>42</v>
      </c>
      <c r="U45" s="8">
        <v>41</v>
      </c>
      <c r="V45" s="8">
        <v>28</v>
      </c>
      <c r="W45" s="8">
        <v>43.008749999999999</v>
      </c>
      <c r="X45" s="8">
        <v>59.53875</v>
      </c>
      <c r="Y45" s="8">
        <v>13</v>
      </c>
      <c r="Z45" s="8">
        <v>12</v>
      </c>
    </row>
    <row r="46" spans="1:37">
      <c r="A46" s="40" t="str">
        <f>_xlfn.TEXTJOIN(",",TRUE,_xlfn._xlws.SORT(_xlfn.TEXTSPLIT(_xlfn.TEXTJOIN(",",TRUE,_xlfn._xlws.SORT($B46:$F46, 1, -1, FALSE)),"WWWWW",",")))</f>
        <v>Chromius.TAMU,Fallen.Rqnger,Glonk.MB,Rat_Squilla</v>
      </c>
      <c r="B46" s="47" t="s">
        <v>77</v>
      </c>
      <c r="C46" s="42" t="s">
        <v>162</v>
      </c>
      <c r="D46" s="48" t="s">
        <v>86</v>
      </c>
      <c r="E46" s="54" t="s">
        <v>152</v>
      </c>
      <c r="F46" s="52" t="s">
        <v>180</v>
      </c>
      <c r="G46" s="40">
        <v>1</v>
      </c>
      <c r="H46" s="40">
        <v>1</v>
      </c>
      <c r="I46" s="40">
        <f>$G46+$H46</f>
        <v>2</v>
      </c>
      <c r="J46" s="50">
        <f>G46/(H46+G46)</f>
        <v>0.5</v>
      </c>
      <c r="K46" s="51">
        <f>(Y8S4[[#This Row],[Wins]]-Y8S4[[#This Row],[Losses]]/SUM(Y8S4[Games Played]))/10</f>
        <v>9.9612403100775196E-2</v>
      </c>
      <c r="L46" s="68"/>
      <c r="P46" s="8" t="s">
        <v>152</v>
      </c>
      <c r="Q46" s="8">
        <v>0.89968700000000001</v>
      </c>
      <c r="R46" s="8">
        <v>1.2906569999999999</v>
      </c>
      <c r="S46" s="8">
        <v>169</v>
      </c>
      <c r="T46" s="8">
        <v>223</v>
      </c>
      <c r="U46" s="8">
        <v>250</v>
      </c>
      <c r="V46" s="8">
        <v>160</v>
      </c>
      <c r="W46" s="8">
        <v>52.435450000000003</v>
      </c>
      <c r="X46" s="8">
        <v>58.924190000000003</v>
      </c>
      <c r="Y46" s="8">
        <v>71</v>
      </c>
      <c r="Z46" s="8">
        <v>65</v>
      </c>
    </row>
    <row r="47" spans="1:37">
      <c r="A47" s="40" t="str">
        <f>_xlfn.TEXTJOIN(",",TRUE,_xlfn._xlws.SORT(_xlfn.TEXTSPLIT(_xlfn.TEXTJOIN(",",TRUE,_xlfn._xlws.SORT($B47:$F47, 1, -1, FALSE)),"WWWWW",",")))</f>
        <v>Chromius.TAMU,Fallen.Rqnger,Galahad21588 ,Polar...-</v>
      </c>
      <c r="B47" s="47" t="s">
        <v>77</v>
      </c>
      <c r="C47" s="48" t="s">
        <v>193</v>
      </c>
      <c r="D47" s="54" t="s">
        <v>159</v>
      </c>
      <c r="E47" s="46" t="s">
        <v>86</v>
      </c>
      <c r="F47" s="49" t="s">
        <v>180</v>
      </c>
      <c r="G47" s="40">
        <v>1</v>
      </c>
      <c r="H47" s="40">
        <v>1</v>
      </c>
      <c r="I47" s="40">
        <f>$G47+$H47</f>
        <v>2</v>
      </c>
      <c r="J47" s="50">
        <f>G47/(H47+G47)</f>
        <v>0.5</v>
      </c>
      <c r="K47" s="51">
        <f>(Y8S4[[#This Row],[Wins]]-Y8S4[[#This Row],[Losses]]/SUM(Y8S4[Games Played]))/10</f>
        <v>9.9612403100775196E-2</v>
      </c>
      <c r="L47" s="68"/>
      <c r="P47" s="8" t="s">
        <v>154</v>
      </c>
      <c r="Q47" s="8">
        <v>0.66666700000000001</v>
      </c>
      <c r="R47" s="8">
        <v>1.25</v>
      </c>
      <c r="S47" s="8">
        <v>15</v>
      </c>
      <c r="T47" s="8">
        <v>37</v>
      </c>
      <c r="U47" s="8">
        <v>32</v>
      </c>
      <c r="V47" s="8">
        <v>20</v>
      </c>
      <c r="W47" s="8">
        <v>62.182499999999997</v>
      </c>
      <c r="X47" s="8">
        <v>63.856670000000001</v>
      </c>
      <c r="Y47" s="8">
        <v>6</v>
      </c>
      <c r="Z47" s="8">
        <v>13</v>
      </c>
    </row>
    <row r="48" spans="1:37">
      <c r="A48" s="40" t="str">
        <f>_xlfn.TEXTJOIN(",",TRUE,_xlfn._xlws.SORT(_xlfn.TEXTSPLIT(_xlfn.TEXTJOIN(",",TRUE,_xlfn._xlws.SORT($B48:$F48, 1, -1, FALSE)),"WWWWW",",")))</f>
        <v>Chromius.TAMU,Galahad21588 ,Koyeetchi,Polar...-</v>
      </c>
      <c r="B48" s="47" t="s">
        <v>77</v>
      </c>
      <c r="C48" s="48" t="s">
        <v>193</v>
      </c>
      <c r="D48" s="54" t="s">
        <v>159</v>
      </c>
      <c r="E48" s="48" t="s">
        <v>144</v>
      </c>
      <c r="F48" s="49" t="s">
        <v>180</v>
      </c>
      <c r="G48" s="40">
        <v>1</v>
      </c>
      <c r="H48" s="40">
        <v>1</v>
      </c>
      <c r="I48" s="40">
        <f>$G48+$H48</f>
        <v>2</v>
      </c>
      <c r="J48" s="50">
        <f>G48/(H48+G48)</f>
        <v>0.5</v>
      </c>
      <c r="K48" s="51">
        <f>(Y8S4[[#This Row],[Wins]]-Y8S4[[#This Row],[Losses]]/SUM(Y8S4[Games Played]))/10</f>
        <v>9.9612403100775196E-2</v>
      </c>
      <c r="L48" s="68"/>
      <c r="P48" s="8" t="s">
        <v>142</v>
      </c>
      <c r="Q48" s="8">
        <v>1.0317460000000001</v>
      </c>
      <c r="R48" s="8">
        <v>1.1401870000000001</v>
      </c>
      <c r="S48" s="8">
        <v>83</v>
      </c>
      <c r="T48" s="8">
        <v>80</v>
      </c>
      <c r="U48" s="8">
        <v>83</v>
      </c>
      <c r="V48" s="8">
        <v>68</v>
      </c>
      <c r="W48" s="8">
        <v>49.223480000000002</v>
      </c>
      <c r="X48" s="8">
        <v>65.700379999999996</v>
      </c>
      <c r="Y48" s="8">
        <v>25</v>
      </c>
      <c r="Z48" s="8">
        <v>20</v>
      </c>
    </row>
    <row r="49" spans="1:26">
      <c r="A49" s="40" t="str">
        <f>_xlfn.TEXTJOIN(",",TRUE,_xlfn._xlws.SORT(_xlfn.TEXTSPLIT(_xlfn.TEXTJOIN(",",TRUE,_xlfn._xlws.SORT($B49:$F49, 1, -1, FALSE)),"WWWWW",",")))</f>
        <v>Coolrocket.TAMU,Fallen.Cortex,Fallen.Rqnger,Glonk.MB,Kermitt.MB</v>
      </c>
      <c r="B49" s="41" t="s">
        <v>162</v>
      </c>
      <c r="C49" s="47" t="s">
        <v>86</v>
      </c>
      <c r="D49" s="48" t="s">
        <v>140</v>
      </c>
      <c r="E49" s="46" t="s">
        <v>118</v>
      </c>
      <c r="F49" s="58" t="s">
        <v>138</v>
      </c>
      <c r="G49" s="40">
        <v>1</v>
      </c>
      <c r="H49" s="40">
        <v>1</v>
      </c>
      <c r="I49" s="40">
        <f>$G49+$H49</f>
        <v>2</v>
      </c>
      <c r="J49" s="50">
        <f>G49/(H49+G49)</f>
        <v>0.5</v>
      </c>
      <c r="K49" s="51">
        <f>(Y8S4[[#This Row],[Wins]]-Y8S4[[#This Row],[Losses]]/SUM(Y8S4[Games Played]))/10</f>
        <v>9.9612403100775196E-2</v>
      </c>
      <c r="L49" s="68"/>
      <c r="P49" s="8" t="s">
        <v>144</v>
      </c>
      <c r="Q49" s="8">
        <v>0.56799999999999995</v>
      </c>
      <c r="R49" s="8">
        <v>0.79464299999999999</v>
      </c>
      <c r="S49" s="8">
        <v>75</v>
      </c>
      <c r="T49" s="8">
        <v>101</v>
      </c>
      <c r="U49" s="8">
        <v>90</v>
      </c>
      <c r="V49" s="8">
        <v>70</v>
      </c>
      <c r="W49" s="8">
        <v>48.015830000000001</v>
      </c>
      <c r="X49" s="8">
        <v>45.297499999999999</v>
      </c>
      <c r="Y49" s="8">
        <v>27</v>
      </c>
      <c r="Z49" s="8">
        <v>24</v>
      </c>
    </row>
    <row r="50" spans="1:26">
      <c r="A50" s="40" t="str">
        <f>_xlfn.TEXTJOIN(",",TRUE,_xlfn._xlws.SORT(_xlfn.TEXTSPLIT(_xlfn.TEXTJOIN(",",TRUE,_xlfn._xlws.SORT($B50:$F50, 1, -1, FALSE)),"WWWWW",",")))</f>
        <v>Chromius.TAMU,Fallen.Cortex,Glonk.MB,Timythiccums.MB</v>
      </c>
      <c r="B50" s="45" t="s">
        <v>77</v>
      </c>
      <c r="C50" s="42" t="s">
        <v>162</v>
      </c>
      <c r="D50" s="46" t="s">
        <v>81</v>
      </c>
      <c r="E50" s="63" t="s">
        <v>140</v>
      </c>
      <c r="F50" s="52" t="s">
        <v>180</v>
      </c>
      <c r="G50" s="40">
        <v>1</v>
      </c>
      <c r="H50" s="40">
        <v>1</v>
      </c>
      <c r="I50" s="40">
        <f>$G50+$H50</f>
        <v>2</v>
      </c>
      <c r="J50" s="43">
        <f>G50/(H50+G50)</f>
        <v>0.5</v>
      </c>
      <c r="K50" s="44">
        <f>(Y8S4[[#This Row],[Wins]]-Y8S4[[#This Row],[Losses]]/SUM(Y8S4[Games Played]))/10</f>
        <v>9.9612403100775196E-2</v>
      </c>
      <c r="L50" s="67"/>
      <c r="P50" s="8" t="s">
        <v>118</v>
      </c>
      <c r="Q50" s="8">
        <v>0.68571400000000005</v>
      </c>
      <c r="R50" s="8">
        <v>0.93333299999999997</v>
      </c>
      <c r="S50" s="8">
        <v>104</v>
      </c>
      <c r="T50" s="8">
        <v>194</v>
      </c>
      <c r="U50" s="8">
        <v>182</v>
      </c>
      <c r="V50" s="8">
        <v>113</v>
      </c>
      <c r="W50" s="8">
        <v>42.040480000000002</v>
      </c>
      <c r="X50" s="8">
        <v>58.100909999999999</v>
      </c>
      <c r="Y50" s="8">
        <v>41</v>
      </c>
      <c r="Z50" s="8">
        <v>47</v>
      </c>
    </row>
    <row r="51" spans="1:26" ht="36">
      <c r="A51" s="40" t="str">
        <f>_xlfn.TEXTJOIN(",",TRUE,_xlfn._xlws.SORT(_xlfn.TEXTSPLIT(_xlfn.TEXTJOIN(",",TRUE,_xlfn._xlws.SORT($B51:$F51, 1, -1, FALSE)),"WWWWW",",")))</f>
        <v>Chromius.TAMU,Dlehard.,Kermitt.MB,Nobetterdough,Rat_Squilla</v>
      </c>
      <c r="B51" s="45" t="s">
        <v>77</v>
      </c>
      <c r="C51" s="46" t="s">
        <v>118</v>
      </c>
      <c r="D51" s="49" t="s">
        <v>152</v>
      </c>
      <c r="E51" s="48" t="s">
        <v>121</v>
      </c>
      <c r="F51" s="52" t="s">
        <v>125</v>
      </c>
      <c r="G51" s="40">
        <v>1</v>
      </c>
      <c r="H51" s="40">
        <v>1</v>
      </c>
      <c r="I51" s="40">
        <f>$G51+$H51</f>
        <v>2</v>
      </c>
      <c r="J51" s="43">
        <f>G51/(H51+G51)</f>
        <v>0.5</v>
      </c>
      <c r="K51" s="44">
        <f>(Y8S4[[#This Row],[Wins]]-Y8S4[[#This Row],[Losses]]/SUM(Y8S4[Games Played]))/10</f>
        <v>9.9612403100775196E-2</v>
      </c>
      <c r="L51" s="67" t="s">
        <v>208</v>
      </c>
      <c r="P51" s="8" t="s">
        <v>163</v>
      </c>
      <c r="Q51" s="8">
        <v>0.57333299999999998</v>
      </c>
      <c r="R51" s="8">
        <v>0.796296</v>
      </c>
      <c r="S51" s="8">
        <v>43</v>
      </c>
      <c r="T51" s="8">
        <v>50</v>
      </c>
      <c r="U51" s="8">
        <v>55</v>
      </c>
      <c r="V51" s="8">
        <v>33</v>
      </c>
      <c r="W51" s="8">
        <v>44.025709999999997</v>
      </c>
      <c r="X51" s="8">
        <v>59.046669999999999</v>
      </c>
      <c r="Y51" s="8">
        <v>19</v>
      </c>
      <c r="Z51" s="8">
        <v>20</v>
      </c>
    </row>
    <row r="52" spans="1:26">
      <c r="A52" s="40" t="str">
        <f>_xlfn.TEXTJOIN(",",TRUE,_xlfn._xlws.SORT(_xlfn.TEXTSPLIT(_xlfn.TEXTJOIN(",",TRUE,_xlfn._xlws.SORT($B52:$F52, 1, -1, FALSE)),"WWWWW",",")))</f>
        <v>Fallen.Rqnger,Glonk.MB,Kermitt.MB,Notlappland,Timythiccums.MB</v>
      </c>
      <c r="B52" s="41" t="s">
        <v>162</v>
      </c>
      <c r="C52" s="45" t="s">
        <v>86</v>
      </c>
      <c r="D52" s="46" t="s">
        <v>118</v>
      </c>
      <c r="E52" s="49" t="s">
        <v>81</v>
      </c>
      <c r="F52" s="49" t="s">
        <v>184</v>
      </c>
      <c r="G52" s="40">
        <v>1</v>
      </c>
      <c r="H52" s="40">
        <v>1</v>
      </c>
      <c r="I52" s="40">
        <f>$G52+$H52</f>
        <v>2</v>
      </c>
      <c r="J52" s="43">
        <f>G52/(H52+G52)</f>
        <v>0.5</v>
      </c>
      <c r="K52" s="44">
        <f>(Y8S4[[#This Row],[Wins]]-Y8S4[[#This Row],[Losses]]/SUM(Y8S4[Games Played]))/10</f>
        <v>9.9612403100775196E-2</v>
      </c>
      <c r="L52" s="67"/>
      <c r="P52" s="8" t="s">
        <v>150</v>
      </c>
      <c r="Q52" s="8">
        <v>0.91818200000000005</v>
      </c>
      <c r="R52" s="8">
        <v>1.0208330000000001</v>
      </c>
      <c r="S52" s="8">
        <v>67</v>
      </c>
      <c r="T52" s="8">
        <v>78</v>
      </c>
      <c r="U52" s="8">
        <v>84</v>
      </c>
      <c r="V52" s="8">
        <v>63</v>
      </c>
      <c r="W52" s="8">
        <v>55.087139999999998</v>
      </c>
      <c r="X52" s="8">
        <v>47.63438</v>
      </c>
      <c r="Y52" s="8">
        <v>28</v>
      </c>
      <c r="Z52" s="8">
        <v>25</v>
      </c>
    </row>
    <row r="53" spans="1:26">
      <c r="A53" s="40" t="str">
        <f>_xlfn.TEXTJOIN(",",TRUE,_xlfn._xlws.SORT(_xlfn.TEXTSPLIT(_xlfn.TEXTJOIN(",",TRUE,_xlfn._xlws.SORT($B53:$F53, 1, -1, FALSE)),"WWWWW",",")))</f>
        <v>Boomerjet123,Chromius.TAMU,Fallen.Cortex,Glonk.MB,Timythiccums.MB</v>
      </c>
      <c r="B53" s="45" t="s">
        <v>77</v>
      </c>
      <c r="C53" s="42" t="s">
        <v>162</v>
      </c>
      <c r="D53" s="46" t="s">
        <v>109</v>
      </c>
      <c r="E53" s="46" t="s">
        <v>140</v>
      </c>
      <c r="F53" s="46" t="s">
        <v>81</v>
      </c>
      <c r="G53" s="40">
        <v>0</v>
      </c>
      <c r="H53" s="40">
        <v>2</v>
      </c>
      <c r="I53" s="40">
        <f>$G53+$H53</f>
        <v>2</v>
      </c>
      <c r="J53" s="43">
        <f>G53/(H53+G53)</f>
        <v>0</v>
      </c>
      <c r="K53" s="44">
        <f>(Y8S4[[#This Row],[Wins]]-Y8S4[[#This Row],[Losses]]/SUM(Y8S4[Games Played]))/10</f>
        <v>-7.7519379844961239E-4</v>
      </c>
      <c r="L53" s="67"/>
      <c r="P53" s="8" t="s">
        <v>91</v>
      </c>
      <c r="Q53" s="8">
        <v>1.035714</v>
      </c>
      <c r="R53" s="8">
        <v>0.93827199999999999</v>
      </c>
      <c r="S53" s="8">
        <v>49</v>
      </c>
      <c r="T53" s="8">
        <v>57</v>
      </c>
      <c r="U53" s="8">
        <v>63</v>
      </c>
      <c r="V53" s="8">
        <v>42</v>
      </c>
      <c r="W53" s="8">
        <v>41.482729999999997</v>
      </c>
      <c r="X53" s="8">
        <v>57.882939999999998</v>
      </c>
      <c r="Y53" s="8">
        <v>19</v>
      </c>
      <c r="Z53" s="8">
        <v>17</v>
      </c>
    </row>
    <row r="54" spans="1:26">
      <c r="A54" s="40" t="str">
        <f>_xlfn.TEXTJOIN(",",TRUE,_xlfn._xlws.SORT(_xlfn.TEXTSPLIT(_xlfn.TEXTJOIN(",",TRUE,_xlfn._xlws.SORT($B54:$F54, 1, -1, FALSE)),"WWWWW",",")))</f>
        <v>Boomerjet123,Chromius.TAMU,Glonk.MB,Mason10_10,Strugg1er.</v>
      </c>
      <c r="B54" s="41" t="s">
        <v>162</v>
      </c>
      <c r="C54" s="48" t="s">
        <v>77</v>
      </c>
      <c r="D54" s="48" t="s">
        <v>109</v>
      </c>
      <c r="E54" s="48" t="s">
        <v>111</v>
      </c>
      <c r="F54" s="48" t="s">
        <v>115</v>
      </c>
      <c r="G54" s="40">
        <v>0</v>
      </c>
      <c r="H54" s="40">
        <v>2</v>
      </c>
      <c r="I54" s="40">
        <f>$G54+$H54</f>
        <v>2</v>
      </c>
      <c r="J54" s="50">
        <f>G54/(H54+G54)</f>
        <v>0</v>
      </c>
      <c r="K54" s="44">
        <f>(Y8S4[[#This Row],[Wins]]-Y8S4[[#This Row],[Losses]]/SUM(Y8S4[Games Played]))/10</f>
        <v>-7.7519379844961239E-4</v>
      </c>
      <c r="L54" s="68"/>
      <c r="P54" s="8" t="s">
        <v>148</v>
      </c>
      <c r="Q54" s="8">
        <v>0.65365899999999999</v>
      </c>
      <c r="R54" s="8">
        <v>0.73575100000000004</v>
      </c>
      <c r="S54" s="8">
        <v>101</v>
      </c>
      <c r="T54" s="8">
        <v>151</v>
      </c>
      <c r="U54" s="8">
        <v>140</v>
      </c>
      <c r="V54" s="8">
        <v>114</v>
      </c>
      <c r="W54" s="8">
        <v>52.520629999999997</v>
      </c>
      <c r="X54" s="8">
        <v>51.99136</v>
      </c>
      <c r="Y54" s="8">
        <v>33</v>
      </c>
      <c r="Z54" s="8">
        <v>42</v>
      </c>
    </row>
    <row r="55" spans="1:26">
      <c r="A55" s="40" t="str">
        <f>_xlfn.TEXTJOIN(",",TRUE,_xlfn._xlws.SORT(_xlfn.TEXTSPLIT(_xlfn.TEXTJOIN(",",TRUE,_xlfn._xlws.SORT($B55:$F55, 1, -1, FALSE)),"WWWWW",",")))</f>
        <v>Boomerjet123,Chromius.TAMU,Glonk.MB,Koyeetchi,Notlappland</v>
      </c>
      <c r="B55" s="41" t="s">
        <v>162</v>
      </c>
      <c r="C55" s="46" t="s">
        <v>77</v>
      </c>
      <c r="D55" s="46" t="s">
        <v>109</v>
      </c>
      <c r="E55" s="46" t="s">
        <v>184</v>
      </c>
      <c r="F55" s="46" t="s">
        <v>144</v>
      </c>
      <c r="G55" s="40">
        <v>0</v>
      </c>
      <c r="H55" s="40">
        <v>2</v>
      </c>
      <c r="I55" s="40">
        <f>$G55+$H55</f>
        <v>2</v>
      </c>
      <c r="J55" s="43">
        <f>G55/(H55+G55)</f>
        <v>0</v>
      </c>
      <c r="K55" s="44">
        <f>(Y8S4[[#This Row],[Wins]]-Y8S4[[#This Row],[Losses]]/SUM(Y8S4[Games Played]))/10</f>
        <v>-7.7519379844961239E-4</v>
      </c>
      <c r="L55" s="67"/>
      <c r="P55" s="8" t="s">
        <v>164</v>
      </c>
      <c r="Q55" s="8">
        <v>1.1627909999999999</v>
      </c>
      <c r="R55" s="8">
        <v>1.54955</v>
      </c>
      <c r="S55" s="8">
        <v>75</v>
      </c>
      <c r="T55" s="8">
        <v>100</v>
      </c>
      <c r="U55" s="8">
        <v>113</v>
      </c>
      <c r="V55" s="8">
        <v>66</v>
      </c>
      <c r="W55" s="8">
        <v>59.73</v>
      </c>
      <c r="X55" s="8">
        <v>72.043329999999997</v>
      </c>
      <c r="Y55" s="8">
        <v>33</v>
      </c>
      <c r="Z55" s="8">
        <v>26</v>
      </c>
    </row>
    <row r="56" spans="1:26">
      <c r="A56" s="40" t="str">
        <f>_xlfn.TEXTJOIN(",",TRUE,_xlfn._xlws.SORT(_xlfn.TEXTSPLIT(_xlfn.TEXTJOIN(",",TRUE,_xlfn._xlws.SORT($B56:$F56, 1, -1, FALSE)),"WWWWW",",")))</f>
        <v>Chromius.TAMU,Fallen.Rqnger,Glonk.MB,Koyeetchi</v>
      </c>
      <c r="B56" s="47" t="s">
        <v>77</v>
      </c>
      <c r="C56" s="41" t="s">
        <v>162</v>
      </c>
      <c r="D56" s="48" t="s">
        <v>86</v>
      </c>
      <c r="E56" s="48" t="s">
        <v>144</v>
      </c>
      <c r="F56" s="49" t="s">
        <v>180</v>
      </c>
      <c r="G56" s="40">
        <v>0</v>
      </c>
      <c r="H56" s="40">
        <v>2</v>
      </c>
      <c r="I56" s="40">
        <f>$G56+$H56</f>
        <v>2</v>
      </c>
      <c r="J56" s="50">
        <f>G56/(H56+G56)</f>
        <v>0</v>
      </c>
      <c r="K56" s="44">
        <f>(Y8S4[[#This Row],[Wins]]-Y8S4[[#This Row],[Losses]]/SUM(Y8S4[Games Played]))/10</f>
        <v>-7.7519379844961239E-4</v>
      </c>
      <c r="L56" s="68"/>
      <c r="P56" s="80" t="s">
        <v>159</v>
      </c>
      <c r="Q56" s="8">
        <v>0</v>
      </c>
      <c r="R56" s="8">
        <v>0</v>
      </c>
      <c r="S56" s="8">
        <v>0</v>
      </c>
      <c r="T56" s="8">
        <v>0</v>
      </c>
      <c r="U56" s="8">
        <v>0</v>
      </c>
      <c r="V56" s="8">
        <v>0</v>
      </c>
      <c r="W56" s="8">
        <v>0</v>
      </c>
      <c r="X56" s="8">
        <v>0</v>
      </c>
      <c r="Y56" s="8">
        <v>0</v>
      </c>
      <c r="Z56" s="8">
        <v>0</v>
      </c>
    </row>
    <row r="57" spans="1:26">
      <c r="A57" s="40" t="str">
        <f>_xlfn.TEXTJOIN(",",TRUE,_xlfn._xlws.SORT(_xlfn.TEXTSPLIT(_xlfn.TEXTJOIN(",",TRUE,_xlfn._xlws.SORT($B57:$F57, 1, -1, FALSE)),"WWWWW",",")))</f>
        <v>Chromius.TAMU,Fallen.Cortex,Timythiccums.MB</v>
      </c>
      <c r="B57" s="45" t="s">
        <v>77</v>
      </c>
      <c r="C57" s="46" t="s">
        <v>140</v>
      </c>
      <c r="D57" s="46" t="s">
        <v>81</v>
      </c>
      <c r="E57" s="52" t="s">
        <v>180</v>
      </c>
      <c r="F57" s="52" t="s">
        <v>180</v>
      </c>
      <c r="G57" s="40">
        <v>0</v>
      </c>
      <c r="H57" s="40">
        <v>2</v>
      </c>
      <c r="I57" s="40">
        <f>$G57+$H57</f>
        <v>2</v>
      </c>
      <c r="J57" s="43">
        <f>G57/(H57+G57)</f>
        <v>0</v>
      </c>
      <c r="K57" s="44">
        <f>(Y8S4[[#This Row],[Wins]]-Y8S4[[#This Row],[Losses]]/SUM(Y8S4[Games Played]))/10</f>
        <v>-7.7519379844961239E-4</v>
      </c>
      <c r="L57" s="67"/>
      <c r="P57" s="82" t="s">
        <v>157</v>
      </c>
      <c r="Q57" s="8">
        <v>0</v>
      </c>
      <c r="R57" s="8">
        <v>0</v>
      </c>
      <c r="S57" s="8">
        <v>0</v>
      </c>
      <c r="T57" s="8">
        <v>0</v>
      </c>
      <c r="U57" s="8">
        <v>0</v>
      </c>
      <c r="V57" s="8">
        <v>0</v>
      </c>
      <c r="W57" s="8">
        <v>0</v>
      </c>
      <c r="X57" s="8">
        <v>0</v>
      </c>
      <c r="Y57" s="8">
        <v>0</v>
      </c>
      <c r="Z57" s="8">
        <v>0</v>
      </c>
    </row>
    <row r="58" spans="1:26" ht="36">
      <c r="A58" s="40" t="str">
        <f>_xlfn.TEXTJOIN(",",TRUE,_xlfn._xlws.SORT(_xlfn.TEXTSPLIT(_xlfn.TEXTJOIN(",",TRUE,_xlfn._xlws.SORT($B58:$F58, 1, -1, FALSE)),"WWWWW",",")))</f>
        <v>Chromius.TAMU,Galahad21588,Kermitt.MB</v>
      </c>
      <c r="B58" s="45" t="s">
        <v>77</v>
      </c>
      <c r="C58" s="48" t="s">
        <v>96</v>
      </c>
      <c r="D58" s="46" t="s">
        <v>118</v>
      </c>
      <c r="E58" s="53" t="s">
        <v>180</v>
      </c>
      <c r="F58" s="52" t="s">
        <v>180</v>
      </c>
      <c r="G58" s="40">
        <v>0</v>
      </c>
      <c r="H58" s="40">
        <v>2</v>
      </c>
      <c r="I58" s="40">
        <f>$G58+$H58</f>
        <v>2</v>
      </c>
      <c r="J58" s="50">
        <f>G58/(H58+G58)</f>
        <v>0</v>
      </c>
      <c r="K58" s="44">
        <f>(Y8S4[[#This Row],[Wins]]-Y8S4[[#This Row],[Losses]]/SUM(Y8S4[Games Played]))/10</f>
        <v>-7.7519379844961239E-4</v>
      </c>
      <c r="L58" s="68" t="s">
        <v>217</v>
      </c>
      <c r="P58" s="8" t="s">
        <v>100</v>
      </c>
      <c r="Q58" s="8">
        <v>0.92727300000000001</v>
      </c>
      <c r="R58" s="8">
        <v>1.6153850000000001</v>
      </c>
      <c r="S58" s="8">
        <v>66</v>
      </c>
      <c r="T58" s="8">
        <v>80</v>
      </c>
      <c r="U58" s="8">
        <v>87</v>
      </c>
      <c r="V58" s="8">
        <v>62</v>
      </c>
      <c r="W58" s="8">
        <v>56.708750000000002</v>
      </c>
      <c r="X58" s="8">
        <v>71.674170000000004</v>
      </c>
      <c r="Y58" s="8">
        <v>25</v>
      </c>
      <c r="Z58" s="8">
        <v>31</v>
      </c>
    </row>
    <row r="59" spans="1:26">
      <c r="A59" s="40" t="str">
        <f>_xlfn.TEXTJOIN(",",TRUE,_xlfn._xlws.SORT(_xlfn.TEXTSPLIT(_xlfn.TEXTJOIN(",",TRUE,_xlfn._xlws.SORT($B59:$F59, 1, -1, FALSE)),"WWWWW",",")))</f>
        <v>Chromius.TAMU,Fallen.Rqnger,Kermitt.MB</v>
      </c>
      <c r="B59" s="45" t="s">
        <v>77</v>
      </c>
      <c r="C59" s="45" t="s">
        <v>86</v>
      </c>
      <c r="D59" s="46" t="s">
        <v>118</v>
      </c>
      <c r="E59" s="57" t="s">
        <v>180</v>
      </c>
      <c r="F59" s="49" t="s">
        <v>180</v>
      </c>
      <c r="G59" s="40">
        <v>0</v>
      </c>
      <c r="H59" s="40">
        <v>2</v>
      </c>
      <c r="I59" s="40">
        <f>$G59+$H59</f>
        <v>2</v>
      </c>
      <c r="J59" s="43">
        <f>G59/(H59+G59)</f>
        <v>0</v>
      </c>
      <c r="K59" s="44">
        <f>(Y8S4[[#This Row],[Wins]]-Y8S4[[#This Row],[Losses]]/SUM(Y8S4[Games Played]))/10</f>
        <v>-7.7519379844961239E-4</v>
      </c>
      <c r="L59" s="67"/>
      <c r="P59" s="8" t="s">
        <v>155</v>
      </c>
      <c r="Q59" s="8">
        <v>0</v>
      </c>
      <c r="R59" s="8">
        <v>0</v>
      </c>
      <c r="S59" s="8">
        <v>0</v>
      </c>
      <c r="T59" s="8">
        <v>0</v>
      </c>
      <c r="U59" s="8">
        <v>0</v>
      </c>
      <c r="V59" s="8">
        <v>0</v>
      </c>
      <c r="W59" s="8">
        <v>0</v>
      </c>
      <c r="X59" s="8">
        <v>0</v>
      </c>
      <c r="Y59" s="8">
        <v>0</v>
      </c>
      <c r="Z59" s="8">
        <v>0</v>
      </c>
    </row>
    <row r="60" spans="1:26">
      <c r="A60" s="40" t="str">
        <f>_xlfn.TEXTJOIN(",",TRUE,_xlfn._xlws.SORT(_xlfn.TEXTSPLIT(_xlfn.TEXTJOIN(",",TRUE,_xlfn._xlws.SORT($B60:$F60, 1, -1, FALSE)),"WWWWW",",")))</f>
        <v>Boomerjet123,Chromius.TAMU,Galahad21588,Koyeetchi,Mason10_10</v>
      </c>
      <c r="B60" s="47" t="s">
        <v>77</v>
      </c>
      <c r="C60" s="48" t="s">
        <v>109</v>
      </c>
      <c r="D60" s="48" t="s">
        <v>96</v>
      </c>
      <c r="E60" s="61" t="s">
        <v>144</v>
      </c>
      <c r="F60" s="48" t="s">
        <v>115</v>
      </c>
      <c r="G60" s="40">
        <v>0</v>
      </c>
      <c r="H60" s="40">
        <v>2</v>
      </c>
      <c r="I60" s="40">
        <f>$G60+$H60</f>
        <v>2</v>
      </c>
      <c r="J60" s="50">
        <f>G60/(H60+G60)</f>
        <v>0</v>
      </c>
      <c r="K60" s="44">
        <f>(Y8S4[[#This Row],[Wins]]-Y8S4[[#This Row],[Losses]]/SUM(Y8S4[Games Played]))/10</f>
        <v>-7.7519379844961239E-4</v>
      </c>
      <c r="L60" s="68"/>
      <c r="P60" s="8" t="s">
        <v>123</v>
      </c>
      <c r="Q60" s="8">
        <v>0.93193700000000002</v>
      </c>
      <c r="R60" s="8">
        <v>1.1280490000000001</v>
      </c>
      <c r="S60" s="8">
        <v>233</v>
      </c>
      <c r="T60" s="8">
        <v>290</v>
      </c>
      <c r="U60" s="8">
        <v>294</v>
      </c>
      <c r="V60" s="8">
        <v>199</v>
      </c>
      <c r="W60" s="8">
        <v>59.490589999999997</v>
      </c>
      <c r="X60" s="8">
        <v>59.18</v>
      </c>
      <c r="Y60" s="8">
        <v>90</v>
      </c>
      <c r="Z60" s="8">
        <v>79</v>
      </c>
    </row>
    <row r="61" spans="1:26">
      <c r="A61" s="40" t="str">
        <f>_xlfn.TEXTJOIN(",",TRUE,_xlfn._xlws.SORT(_xlfn.TEXTSPLIT(_xlfn.TEXTJOIN(",",TRUE,_xlfn._xlws.SORT($B61:$F61, 1, -1, FALSE)),"WWWWW",",")))</f>
        <v>Chromius.TAMU,Fallen.Cortex,Kermitt.MB,Timythiccums.MB</v>
      </c>
      <c r="B61" s="45" t="s">
        <v>77</v>
      </c>
      <c r="C61" s="46" t="s">
        <v>81</v>
      </c>
      <c r="D61" s="46" t="s">
        <v>118</v>
      </c>
      <c r="E61" s="64" t="s">
        <v>140</v>
      </c>
      <c r="F61" s="49" t="s">
        <v>180</v>
      </c>
      <c r="G61" s="40">
        <v>0</v>
      </c>
      <c r="H61" s="40">
        <v>2</v>
      </c>
      <c r="I61" s="40">
        <f>$G61+$H61</f>
        <v>2</v>
      </c>
      <c r="J61" s="43">
        <f>G61/(H61+G61)</f>
        <v>0</v>
      </c>
      <c r="K61" s="44">
        <f>(Y8S4[[#This Row],[Wins]]-Y8S4[[#This Row],[Losses]]/SUM(Y8S4[Games Played]))/10</f>
        <v>-7.7519379844961239E-4</v>
      </c>
      <c r="L61" s="67"/>
      <c r="P61" s="8" t="s">
        <v>165</v>
      </c>
      <c r="Q61" s="8"/>
      <c r="R61" s="8"/>
      <c r="S61" s="8"/>
      <c r="T61" s="8"/>
      <c r="U61" s="8"/>
      <c r="V61" s="8"/>
      <c r="W61" s="8"/>
      <c r="X61" s="8"/>
      <c r="Y61" s="8">
        <v>90</v>
      </c>
      <c r="Z61" s="8">
        <v>76</v>
      </c>
    </row>
    <row r="62" spans="1:26">
      <c r="A62" s="40" t="str">
        <f>_xlfn.TEXTJOIN(",",TRUE,_xlfn._xlws.SORT(_xlfn.TEXTSPLIT(_xlfn.TEXTJOIN(",",TRUE,_xlfn._xlws.SORT($B62:$F62, 1, -1, FALSE)),"WWWWW",",")))</f>
        <v>Boomerjet123,Chromius.TAMU,Glonk.MB,Strugg1er.</v>
      </c>
      <c r="B62" s="41" t="s">
        <v>162</v>
      </c>
      <c r="C62" s="46" t="s">
        <v>77</v>
      </c>
      <c r="D62" s="46" t="s">
        <v>109</v>
      </c>
      <c r="E62" s="60" t="s">
        <v>111</v>
      </c>
      <c r="F62" s="52" t="s">
        <v>180</v>
      </c>
      <c r="G62" s="40">
        <v>1</v>
      </c>
      <c r="H62" s="40">
        <v>0</v>
      </c>
      <c r="I62" s="40">
        <f>$G62+$H62</f>
        <v>1</v>
      </c>
      <c r="J62" s="43">
        <f>G62/(H62+G62)</f>
        <v>1</v>
      </c>
      <c r="K62" s="44">
        <f>(Y8S4[[#This Row],[Wins]]-Y8S4[[#This Row],[Losses]]/SUM(Y8S4[Games Played]))/10</f>
        <v>0.1</v>
      </c>
      <c r="L62" s="67"/>
    </row>
    <row r="63" spans="1:26">
      <c r="A63" s="40" t="str">
        <f>_xlfn.TEXTJOIN(",",TRUE,_xlfn._xlws.SORT(_xlfn.TEXTSPLIT(_xlfn.TEXTJOIN(",",TRUE,_xlfn._xlws.SORT($B63:$F63, 1, -1, FALSE)),"WWWWW",",")))</f>
        <v>Chromius.TAMU,Fallen.Cortex,Fallen.Rqnger,Notlappland,Timythiccums.MB</v>
      </c>
      <c r="B63" s="47" t="s">
        <v>77</v>
      </c>
      <c r="C63" s="48" t="s">
        <v>81</v>
      </c>
      <c r="D63" s="48" t="s">
        <v>86</v>
      </c>
      <c r="E63" s="48" t="s">
        <v>140</v>
      </c>
      <c r="F63" s="48" t="s">
        <v>184</v>
      </c>
      <c r="G63" s="40">
        <v>1</v>
      </c>
      <c r="H63" s="40">
        <v>0</v>
      </c>
      <c r="I63" s="40">
        <f>$G63+$H63</f>
        <v>1</v>
      </c>
      <c r="J63" s="50">
        <f>G63/(H63+G63)</f>
        <v>1</v>
      </c>
      <c r="K63" s="51">
        <f>(Y8S4[[#This Row],[Wins]]-Y8S4[[#This Row],[Losses]]/SUM(Y8S4[Games Played]))/10</f>
        <v>0.1</v>
      </c>
      <c r="L63" s="68"/>
    </row>
    <row r="64" spans="1:26">
      <c r="A64" s="40" t="str">
        <f>_xlfn.TEXTJOIN(",",TRUE,_xlfn._xlws.SORT(_xlfn.TEXTSPLIT(_xlfn.TEXTJOIN(",",TRUE,_xlfn._xlws.SORT($B64:$F64, 1, -1, FALSE)),"WWWWW",",")))</f>
        <v>Boomerjet123,Chromius.TAMU,Fallen.Rqnger,Notlappland</v>
      </c>
      <c r="B64" s="45" t="s">
        <v>77</v>
      </c>
      <c r="C64" s="46" t="s">
        <v>109</v>
      </c>
      <c r="D64" s="46" t="s">
        <v>86</v>
      </c>
      <c r="E64" s="60" t="s">
        <v>184</v>
      </c>
      <c r="F64" s="52" t="s">
        <v>180</v>
      </c>
      <c r="G64" s="40">
        <v>1</v>
      </c>
      <c r="H64" s="40">
        <v>0</v>
      </c>
      <c r="I64" s="40">
        <f>$G64+$H64</f>
        <v>1</v>
      </c>
      <c r="J64" s="43">
        <f>G64/(H64+G64)</f>
        <v>1</v>
      </c>
      <c r="K64" s="44">
        <f>(Y8S4[[#This Row],[Wins]]-Y8S4[[#This Row],[Losses]]/SUM(Y8S4[Games Played]))/10</f>
        <v>0.1</v>
      </c>
      <c r="L64" s="67"/>
    </row>
    <row r="65" spans="1:12">
      <c r="A65" s="40" t="str">
        <f>_xlfn.TEXTJOIN(",",TRUE,_xlfn._xlws.SORT(_xlfn.TEXTSPLIT(_xlfn.TEXTJOIN(",",TRUE,_xlfn._xlws.SORT($B65:$F65, 1, -1, FALSE)),"WWWWW",",")))</f>
        <v>Chromius.TAMU,Fallen.Cortex,Glonk.MB</v>
      </c>
      <c r="B65" s="41" t="s">
        <v>162</v>
      </c>
      <c r="C65" s="45" t="s">
        <v>77</v>
      </c>
      <c r="D65" s="46" t="s">
        <v>140</v>
      </c>
      <c r="E65" s="52" t="s">
        <v>180</v>
      </c>
      <c r="F65" s="52" t="s">
        <v>180</v>
      </c>
      <c r="G65" s="40">
        <v>1</v>
      </c>
      <c r="H65" s="40">
        <v>0</v>
      </c>
      <c r="I65" s="40">
        <f>$G65+$H65</f>
        <v>1</v>
      </c>
      <c r="J65" s="43">
        <f>G65/(H65+G65)</f>
        <v>1</v>
      </c>
      <c r="K65" s="44">
        <f>(Y8S4[[#This Row],[Wins]]-Y8S4[[#This Row],[Losses]]/SUM(Y8S4[Games Played]))/10</f>
        <v>0.1</v>
      </c>
      <c r="L65" s="67"/>
    </row>
    <row r="66" spans="1:12">
      <c r="A66" s="40" t="str">
        <f>_xlfn.TEXTJOIN(",",TRUE,_xlfn._xlws.SORT(_xlfn.TEXTSPLIT(_xlfn.TEXTJOIN(",",TRUE,_xlfn._xlws.SORT($B66:$F66, 1, -1, FALSE)),"WWWWW",",")))</f>
        <v>Blade2420,Chromius.TAMU,Galahad21588,Kermitt.MB,Koyeetchi</v>
      </c>
      <c r="B66" s="45" t="s">
        <v>77</v>
      </c>
      <c r="C66" s="46" t="s">
        <v>96</v>
      </c>
      <c r="D66" s="54" t="s">
        <v>113</v>
      </c>
      <c r="E66" s="46" t="s">
        <v>144</v>
      </c>
      <c r="F66" s="46" t="s">
        <v>118</v>
      </c>
      <c r="G66" s="40">
        <v>1</v>
      </c>
      <c r="H66" s="40">
        <v>0</v>
      </c>
      <c r="I66" s="40">
        <f>$G66+$H66</f>
        <v>1</v>
      </c>
      <c r="J66" s="43">
        <f>G66/(H66+G66)</f>
        <v>1</v>
      </c>
      <c r="K66" s="44">
        <f>(Y8S4[[#This Row],[Wins]]-Y8S4[[#This Row],[Losses]]/SUM(Y8S4[Games Played]))/10</f>
        <v>0.1</v>
      </c>
      <c r="L66" s="67"/>
    </row>
    <row r="67" spans="1:12">
      <c r="A67" s="40" t="str">
        <f>_xlfn.TEXTJOIN(",",TRUE,_xlfn._xlws.SORT(_xlfn.TEXTSPLIT(_xlfn.TEXTJOIN(",",TRUE,_xlfn._xlws.SORT($B67:$F67, 1, -1, FALSE)),"WWWWW",",")))</f>
        <v>Chromius.TAMU,Glonk.MB,Notlappland,Strugg1er.,Timythiccums.MB</v>
      </c>
      <c r="B67" s="47" t="s">
        <v>77</v>
      </c>
      <c r="C67" s="117" t="s">
        <v>162</v>
      </c>
      <c r="D67" s="48" t="s">
        <v>111</v>
      </c>
      <c r="E67" s="40" t="s">
        <v>184</v>
      </c>
      <c r="F67" s="48" t="s">
        <v>81</v>
      </c>
      <c r="G67" s="40">
        <v>1</v>
      </c>
      <c r="H67" s="40">
        <v>0</v>
      </c>
      <c r="I67" s="40">
        <f>$G67+$H67</f>
        <v>1</v>
      </c>
      <c r="J67" s="50">
        <f>G67/(H67+G67)</f>
        <v>1</v>
      </c>
      <c r="K67" s="51">
        <f>(Y8S4[[#This Row],[Wins]]-Y8S4[[#This Row],[Losses]]/SUM(Y8S4[Games Played]))/10</f>
        <v>0.1</v>
      </c>
      <c r="L67" s="68"/>
    </row>
    <row r="68" spans="1:12">
      <c r="A68" s="40" t="str">
        <f>_xlfn.TEXTJOIN(",",TRUE,_xlfn._xlws.SORT(_xlfn.TEXTSPLIT(_xlfn.TEXTJOIN(",",TRUE,_xlfn._xlws.SORT($B68:$F68, 1, -1, FALSE)),"WWWWW",",")))</f>
        <v>Chromius.TAMU,Galahad21588,Glonk.MB,Nobetterdough,Timythiccums.MB</v>
      </c>
      <c r="B68" s="47" t="s">
        <v>77</v>
      </c>
      <c r="C68" s="42" t="s">
        <v>162</v>
      </c>
      <c r="D68" s="119" t="s">
        <v>81</v>
      </c>
      <c r="E68" s="60" t="s">
        <v>96</v>
      </c>
      <c r="F68" s="49" t="s">
        <v>125</v>
      </c>
      <c r="G68" s="40">
        <v>1</v>
      </c>
      <c r="H68" s="40">
        <v>0</v>
      </c>
      <c r="I68" s="40">
        <f>$G68+$H68</f>
        <v>1</v>
      </c>
      <c r="J68" s="50">
        <f>G68/(H68+G68)</f>
        <v>1</v>
      </c>
      <c r="K68" s="51">
        <f>(Y8S4[[#This Row],[Wins]]-Y8S4[[#This Row],[Losses]]/SUM(Y8S4[Games Played]))/10</f>
        <v>0.1</v>
      </c>
      <c r="L68" s="68"/>
    </row>
    <row r="69" spans="1:12">
      <c r="A69" s="40" t="str">
        <f>_xlfn.TEXTJOIN(",",TRUE,_xlfn._xlws.SORT(_xlfn.TEXTSPLIT(_xlfn.TEXTJOIN(",",TRUE,_xlfn._xlws.SORT($B69:$F69, 1, -1, FALSE)),"WWWWW",",")))</f>
        <v>Chromius.TAMU,Fallen.Cortex,Fallen.Rqnger</v>
      </c>
      <c r="B69" s="47" t="s">
        <v>77</v>
      </c>
      <c r="C69" s="48" t="s">
        <v>140</v>
      </c>
      <c r="D69" s="48" t="s">
        <v>86</v>
      </c>
      <c r="E69" s="57" t="s">
        <v>180</v>
      </c>
      <c r="F69" s="57" t="s">
        <v>180</v>
      </c>
      <c r="G69" s="40">
        <v>1</v>
      </c>
      <c r="H69" s="40">
        <v>0</v>
      </c>
      <c r="I69" s="40">
        <f>$G69+$H69</f>
        <v>1</v>
      </c>
      <c r="J69" s="50">
        <f>G69/(H69+G69)</f>
        <v>1</v>
      </c>
      <c r="K69" s="51">
        <f>(Y8S4[[#This Row],[Wins]]-Y8S4[[#This Row],[Losses]]/SUM(Y8S4[Games Played]))/10</f>
        <v>0.1</v>
      </c>
      <c r="L69" s="68"/>
    </row>
    <row r="70" spans="1:12">
      <c r="A70" s="40" t="str">
        <f>_xlfn.TEXTJOIN(",",TRUE,_xlfn._xlws.SORT(_xlfn.TEXTSPLIT(_xlfn.TEXTJOIN(",",TRUE,_xlfn._xlws.SORT($B70:$F70, 1, -1, FALSE)),"WWWWW",",")))</f>
        <v>Chromius.TAMU,Fallen.Rqnger,Glonk.MB,Nobetterdough</v>
      </c>
      <c r="B70" s="47" t="s">
        <v>77</v>
      </c>
      <c r="C70" s="42" t="s">
        <v>162</v>
      </c>
      <c r="D70" s="48" t="s">
        <v>86</v>
      </c>
      <c r="E70" s="60" t="s">
        <v>125</v>
      </c>
      <c r="F70" s="49" t="s">
        <v>180</v>
      </c>
      <c r="G70" s="40">
        <v>1</v>
      </c>
      <c r="H70" s="40">
        <v>0</v>
      </c>
      <c r="I70" s="40">
        <f>$G70+$H70</f>
        <v>1</v>
      </c>
      <c r="J70" s="50">
        <f>G70/(H70+G70)</f>
        <v>1</v>
      </c>
      <c r="K70" s="51">
        <f>(Y8S4[[#This Row],[Wins]]-Y8S4[[#This Row],[Losses]]/SUM(Y8S4[Games Played]))/10</f>
        <v>0.1</v>
      </c>
      <c r="L70" s="68"/>
    </row>
    <row r="71" spans="1:12">
      <c r="A71" s="40" t="str">
        <f>_xlfn.TEXTJOIN(",",TRUE,_xlfn._xlws.SORT(_xlfn.TEXTSPLIT(_xlfn.TEXTJOIN(",",TRUE,_xlfn._xlws.SORT($B71:$F71, 1, -1, FALSE)),"WWWWW",",")))</f>
        <v>Chromius.TAMU,Coolrocket.TAMU,Glonk.MB,Kermitt.MB,Rat_Squilla</v>
      </c>
      <c r="B71" s="47" t="s">
        <v>77</v>
      </c>
      <c r="C71" s="42" t="s">
        <v>162</v>
      </c>
      <c r="D71" s="57" t="s">
        <v>152</v>
      </c>
      <c r="E71" s="49" t="s">
        <v>118</v>
      </c>
      <c r="F71" s="58" t="s">
        <v>138</v>
      </c>
      <c r="G71" s="40">
        <v>1</v>
      </c>
      <c r="H71" s="40">
        <v>0</v>
      </c>
      <c r="I71" s="40">
        <f>$G71+$H71</f>
        <v>1</v>
      </c>
      <c r="J71" s="50">
        <f>G71/(H71+G71)</f>
        <v>1</v>
      </c>
      <c r="K71" s="51">
        <f>(Y8S4[[#This Row],[Wins]]-Y8S4[[#This Row],[Losses]]/SUM(Y8S4[Games Played]))/10</f>
        <v>0.1</v>
      </c>
      <c r="L71" s="68"/>
    </row>
    <row r="72" spans="1:12">
      <c r="A72" s="40" t="str">
        <f>_xlfn.TEXTJOIN(",",TRUE,_xlfn._xlws.SORT(_xlfn.TEXTSPLIT(_xlfn.TEXTJOIN(",",TRUE,_xlfn._xlws.SORT($B72:$F72, 1, -1, FALSE)),"WWWWW",",")))</f>
        <v>Chromius.TAMU,Fallen.Cortex,Fallen.Rqnger,Kermitt.MB,Timythiccums.MB</v>
      </c>
      <c r="B72" s="47" t="s">
        <v>77</v>
      </c>
      <c r="C72" s="48" t="s">
        <v>81</v>
      </c>
      <c r="D72" s="48" t="s">
        <v>86</v>
      </c>
      <c r="E72" s="60" t="s">
        <v>140</v>
      </c>
      <c r="F72" s="49" t="s">
        <v>118</v>
      </c>
      <c r="G72" s="40">
        <v>1</v>
      </c>
      <c r="H72" s="40">
        <v>0</v>
      </c>
      <c r="I72" s="40">
        <f>$G72+$H72</f>
        <v>1</v>
      </c>
      <c r="J72" s="50">
        <f>G72/(H72+G72)</f>
        <v>1</v>
      </c>
      <c r="K72" s="51">
        <f>(Y8S4[[#This Row],[Wins]]-Y8S4[[#This Row],[Losses]]/SUM(Y8S4[Games Played]))/10</f>
        <v>0.1</v>
      </c>
      <c r="L72" s="68"/>
    </row>
    <row r="73" spans="1:12">
      <c r="A73" s="40" t="str">
        <f>_xlfn.TEXTJOIN(",",TRUE,_xlfn._xlws.SORT(_xlfn.TEXTSPLIT(_xlfn.TEXTJOIN(",",TRUE,_xlfn._xlws.SORT($B73:$F73, 1, -1, FALSE)),"WWWWW",",")))</f>
        <v>Chromius.TAMU,Fallen.Cortex,Fallen.Rqnger,Glonk.MB,Kermitt.MB</v>
      </c>
      <c r="B73" s="47" t="s">
        <v>77</v>
      </c>
      <c r="C73" s="41" t="s">
        <v>162</v>
      </c>
      <c r="D73" s="48" t="s">
        <v>86</v>
      </c>
      <c r="E73" s="46" t="s">
        <v>140</v>
      </c>
      <c r="F73" s="49" t="s">
        <v>118</v>
      </c>
      <c r="G73" s="40">
        <v>1</v>
      </c>
      <c r="H73" s="40">
        <v>0</v>
      </c>
      <c r="I73" s="40">
        <f>$G73+$H73</f>
        <v>1</v>
      </c>
      <c r="J73" s="50">
        <f>G73/(H73+G73)</f>
        <v>1</v>
      </c>
      <c r="K73" s="51">
        <f>(Y8S4[[#This Row],[Wins]]-Y8S4[[#This Row],[Losses]]/SUM(Y8S4[Games Played]))/10</f>
        <v>0.1</v>
      </c>
      <c r="L73" s="68"/>
    </row>
    <row r="74" spans="1:12">
      <c r="A74" s="40" t="str">
        <f>_xlfn.TEXTJOIN(",",TRUE,_xlfn._xlws.SORT(_xlfn.TEXTSPLIT(_xlfn.TEXTJOIN(",",TRUE,_xlfn._xlws.SORT($B74:$F74, 1, -1, FALSE)),"WWWWW",",")))</f>
        <v>Chromius.TAMU,Fallen.Rqnger,Glonk.MB,Timythiccums.MB</v>
      </c>
      <c r="B74" s="45" t="s">
        <v>77</v>
      </c>
      <c r="C74" s="42" t="s">
        <v>162</v>
      </c>
      <c r="D74" s="46" t="s">
        <v>81</v>
      </c>
      <c r="E74" s="63" t="s">
        <v>86</v>
      </c>
      <c r="F74" s="52" t="s">
        <v>180</v>
      </c>
      <c r="G74" s="40">
        <v>1</v>
      </c>
      <c r="H74" s="40">
        <v>0</v>
      </c>
      <c r="I74" s="40">
        <f>$G74+$H74</f>
        <v>1</v>
      </c>
      <c r="J74" s="43">
        <f>G74/(H74+G74)</f>
        <v>1</v>
      </c>
      <c r="K74" s="44">
        <f>(Y8S4[[#This Row],[Wins]]-Y8S4[[#This Row],[Losses]]/SUM(Y8S4[Games Played]))/10</f>
        <v>0.1</v>
      </c>
      <c r="L74" s="67"/>
    </row>
    <row r="75" spans="1:12">
      <c r="A75" s="40" t="str">
        <f>_xlfn.TEXTJOIN(",",TRUE,_xlfn._xlws.SORT(_xlfn.TEXTSPLIT(_xlfn.TEXTJOIN(",",TRUE,_xlfn._xlws.SORT($B75:$F75, 1, -1, FALSE)),"WWWWW",",")))</f>
        <v>Boomerjet123,Chromius.TAMU,Fallen.Rqnger,Glonk.MB,Timythiccums.MB</v>
      </c>
      <c r="B75" s="45" t="s">
        <v>77</v>
      </c>
      <c r="C75" s="42" t="s">
        <v>162</v>
      </c>
      <c r="D75" s="46" t="s">
        <v>81</v>
      </c>
      <c r="E75" s="63" t="s">
        <v>86</v>
      </c>
      <c r="F75" s="52" t="s">
        <v>109</v>
      </c>
      <c r="G75" s="40">
        <v>1</v>
      </c>
      <c r="H75" s="40">
        <v>0</v>
      </c>
      <c r="I75" s="40">
        <f>$G75+$H75</f>
        <v>1</v>
      </c>
      <c r="J75" s="43">
        <f>G75/(H75+G75)</f>
        <v>1</v>
      </c>
      <c r="K75" s="44">
        <f>(Y8S4[[#This Row],[Wins]]-Y8S4[[#This Row],[Losses]]/SUM(Y8S4[Games Played]))/10</f>
        <v>0.1</v>
      </c>
      <c r="L75" s="67"/>
    </row>
    <row r="76" spans="1:12">
      <c r="A76" s="40" t="str">
        <f>_xlfn.TEXTJOIN(",",TRUE,_xlfn._xlws.SORT(_xlfn.TEXTSPLIT(_xlfn.TEXTJOIN(",",TRUE,_xlfn._xlws.SORT($B76:$F76, 1, -1, FALSE)),"WWWWW",",")))</f>
        <v xml:space="preserve">Dlehard.,Galahad21588 </v>
      </c>
      <c r="B76" s="45" t="s">
        <v>121</v>
      </c>
      <c r="C76" s="46" t="s">
        <v>193</v>
      </c>
      <c r="D76" s="52" t="s">
        <v>180</v>
      </c>
      <c r="E76" s="52" t="s">
        <v>180</v>
      </c>
      <c r="F76" s="52" t="s">
        <v>180</v>
      </c>
      <c r="G76" s="40">
        <v>1</v>
      </c>
      <c r="H76" s="40">
        <v>0</v>
      </c>
      <c r="I76" s="40">
        <f>$G76+$H76</f>
        <v>1</v>
      </c>
      <c r="J76" s="43">
        <f>G76/(H76+G76)</f>
        <v>1</v>
      </c>
      <c r="K76" s="44">
        <f>(Y8S4[[#This Row],[Wins]]-Y8S4[[#This Row],[Losses]]/SUM(Y8S4[Games Played]))/10</f>
        <v>0.1</v>
      </c>
      <c r="L76" s="67"/>
    </row>
    <row r="77" spans="1:12">
      <c r="A77" s="40" t="str">
        <f>_xlfn.TEXTJOIN(",",TRUE,_xlfn._xlws.SORT(_xlfn.TEXTSPLIT(_xlfn.TEXTJOIN(",",TRUE,_xlfn._xlws.SORT($B77:$F77, 1, -1, FALSE)),"WWWWW",",")))</f>
        <v xml:space="preserve">Chromius.TAMU,Dlehard.,Galahad21588 </v>
      </c>
      <c r="B77" s="45" t="s">
        <v>77</v>
      </c>
      <c r="C77" s="46" t="s">
        <v>121</v>
      </c>
      <c r="D77" s="46" t="s">
        <v>193</v>
      </c>
      <c r="E77" s="53" t="s">
        <v>180</v>
      </c>
      <c r="F77" s="52" t="s">
        <v>180</v>
      </c>
      <c r="G77" s="40">
        <v>1</v>
      </c>
      <c r="H77" s="40">
        <v>0</v>
      </c>
      <c r="I77" s="40">
        <f>$G77+$H77</f>
        <v>1</v>
      </c>
      <c r="J77" s="43">
        <f>G77/(H77+G77)</f>
        <v>1</v>
      </c>
      <c r="K77" s="44">
        <f>(Y8S4[[#This Row],[Wins]]-Y8S4[[#This Row],[Losses]]/SUM(Y8S4[Games Played]))/10</f>
        <v>0.1</v>
      </c>
      <c r="L77" s="67"/>
    </row>
    <row r="78" spans="1:12" ht="43.5" customHeight="1">
      <c r="A78" s="40" t="str">
        <f>_xlfn.TEXTJOIN(",",TRUE,_xlfn._xlws.SORT(_xlfn.TEXTSPLIT(_xlfn.TEXTJOIN(",",TRUE,_xlfn._xlws.SORT($B78:$F78, 1, -1, FALSE)),"WWWWW",",")))</f>
        <v>Chromius.TAMU,Fallen.Cortex,Kermitt.MB,Rat_Squilla</v>
      </c>
      <c r="B78" s="45" t="s">
        <v>77</v>
      </c>
      <c r="C78" s="42" t="s">
        <v>118</v>
      </c>
      <c r="D78" s="46" t="s">
        <v>140</v>
      </c>
      <c r="E78" s="57" t="s">
        <v>152</v>
      </c>
      <c r="F78" s="52" t="s">
        <v>180</v>
      </c>
      <c r="G78" s="40">
        <v>1</v>
      </c>
      <c r="H78" s="40">
        <v>0</v>
      </c>
      <c r="I78" s="40">
        <f>$G78+$H78</f>
        <v>1</v>
      </c>
      <c r="J78" s="43">
        <f>G78/(H78+G78)</f>
        <v>1</v>
      </c>
      <c r="K78" s="44">
        <f>(Y8S4[[#This Row],[Wins]]-Y8S4[[#This Row],[Losses]]/SUM(Y8S4[Games Played]))/10</f>
        <v>0.1</v>
      </c>
      <c r="L78" s="67" t="s">
        <v>195</v>
      </c>
    </row>
    <row r="79" spans="1:12">
      <c r="A79" s="40" t="str">
        <f>_xlfn.TEXTJOIN(",",TRUE,_xlfn._xlws.SORT(_xlfn.TEXTSPLIT(_xlfn.TEXTJOIN(",",TRUE,_xlfn._xlws.SORT($B79:$F79, 1, -1, FALSE)),"WWWWW",",")))</f>
        <v>Chromius.TAMU,Kermitt.MB,Koyeetchi,Rat_Squilla,Timythiccums.MB</v>
      </c>
      <c r="B79" s="45" t="s">
        <v>77</v>
      </c>
      <c r="C79" s="41" t="s">
        <v>118</v>
      </c>
      <c r="D79" s="46" t="s">
        <v>144</v>
      </c>
      <c r="E79" s="57" t="s">
        <v>152</v>
      </c>
      <c r="F79" s="52" t="s">
        <v>81</v>
      </c>
      <c r="G79" s="40">
        <v>1</v>
      </c>
      <c r="H79" s="40">
        <v>0</v>
      </c>
      <c r="I79" s="40">
        <f>$G79+$H79</f>
        <v>1</v>
      </c>
      <c r="J79" s="43">
        <f>G79/(H79+G79)</f>
        <v>1</v>
      </c>
      <c r="K79" s="44">
        <f>(Y8S4[[#This Row],[Wins]]-Y8S4[[#This Row],[Losses]]/SUM(Y8S4[Games Played]))/10</f>
        <v>0.1</v>
      </c>
      <c r="L79" s="67" t="s">
        <v>196</v>
      </c>
    </row>
    <row r="80" spans="1:12">
      <c r="A80" s="40" t="str">
        <f>_xlfn.TEXTJOIN(",",TRUE,_xlfn._xlws.SORT(_xlfn.TEXTSPLIT(_xlfn.TEXTJOIN(",",TRUE,_xlfn._xlws.SORT($B80:$F80, 1, -1, FALSE)),"WWWWW",",")))</f>
        <v>Chromius.TAMU,Fallen.Cortex,Kermitt.MB</v>
      </c>
      <c r="B80" s="45" t="s">
        <v>77</v>
      </c>
      <c r="C80" s="41" t="s">
        <v>118</v>
      </c>
      <c r="D80" s="46" t="s">
        <v>140</v>
      </c>
      <c r="E80" s="53" t="s">
        <v>180</v>
      </c>
      <c r="F80" s="52" t="s">
        <v>180</v>
      </c>
      <c r="G80" s="40">
        <v>1</v>
      </c>
      <c r="H80" s="40">
        <v>0</v>
      </c>
      <c r="I80" s="40">
        <f>$G80+$H80</f>
        <v>1</v>
      </c>
      <c r="J80" s="43">
        <f>G80/(H80+G80)</f>
        <v>1</v>
      </c>
      <c r="K80" s="44">
        <f>(Y8S4[[#This Row],[Wins]]-Y8S4[[#This Row],[Losses]]/SUM(Y8S4[Games Played]))/10</f>
        <v>0.1</v>
      </c>
      <c r="L80" s="67" t="s">
        <v>194</v>
      </c>
    </row>
    <row r="81" spans="1:12">
      <c r="A81" s="40" t="str">
        <f>_xlfn.TEXTJOIN(",",TRUE,_xlfn._xlws.SORT(_xlfn.TEXTSPLIT(_xlfn.TEXTJOIN(",",TRUE,_xlfn._xlws.SORT($B81:$F81, 1, -1, FALSE)),"WWWWW",",")))</f>
        <v>Chromius.TAMU,FallenCortex,Glonk,Kermitt.MB,lostarkwhale</v>
      </c>
      <c r="B81" s="41" t="s">
        <v>197</v>
      </c>
      <c r="C81" s="46" t="s">
        <v>77</v>
      </c>
      <c r="D81" s="46" t="s">
        <v>118</v>
      </c>
      <c r="E81" s="81" t="s">
        <v>164</v>
      </c>
      <c r="F81" s="49" t="s">
        <v>198</v>
      </c>
      <c r="G81" s="40">
        <v>1</v>
      </c>
      <c r="H81" s="40">
        <v>0</v>
      </c>
      <c r="I81" s="40">
        <f>$G81+$H81</f>
        <v>1</v>
      </c>
      <c r="J81" s="43">
        <f>G81/(H81+G81)</f>
        <v>1</v>
      </c>
      <c r="K81" s="44">
        <f>(Y8S4[[#This Row],[Wins]]-Y8S4[[#This Row],[Losses]]/SUM(Y8S4[Games Played]))/10</f>
        <v>0.1</v>
      </c>
      <c r="L81" s="67"/>
    </row>
    <row r="82" spans="1:12">
      <c r="A82" s="40" t="str">
        <f>_xlfn.TEXTJOIN(",",TRUE,_xlfn._xlws.SORT(_xlfn.TEXTSPLIT(_xlfn.TEXTJOIN(",",TRUE,_xlfn._xlws.SORT($B82:$F82, 1, -1, FALSE)),"WWWWW",",")))</f>
        <v>Chromius.TAMU,Glonk.MB,Timythiccums.MB</v>
      </c>
      <c r="B82" s="41" t="s">
        <v>77</v>
      </c>
      <c r="C82" s="46" t="s">
        <v>162</v>
      </c>
      <c r="D82" s="46" t="s">
        <v>81</v>
      </c>
      <c r="E82" s="57" t="s">
        <v>180</v>
      </c>
      <c r="F82" s="49" t="s">
        <v>180</v>
      </c>
      <c r="G82" s="40">
        <v>1</v>
      </c>
      <c r="H82" s="40">
        <v>1</v>
      </c>
      <c r="I82" s="40">
        <f>$G82+$H82</f>
        <v>2</v>
      </c>
      <c r="J82" s="43">
        <f>G82/(H82+G82)</f>
        <v>0.5</v>
      </c>
      <c r="K82" s="44">
        <f>(Y8S4[[#This Row],[Wins]]-Y8S4[[#This Row],[Losses]]/SUM(Y8S4[Games Played]))/10</f>
        <v>9.9612403100775196E-2</v>
      </c>
      <c r="L82" s="67"/>
    </row>
    <row r="83" spans="1:12">
      <c r="A83" s="40" t="str">
        <f>_xlfn.TEXTJOIN(",",TRUE,_xlfn._xlws.SORT(_xlfn.TEXTSPLIT(_xlfn.TEXTJOIN(",",TRUE,_xlfn._xlws.SORT($B83:$F83, 1, -1, FALSE)),"WWWWW",",")))</f>
        <v>Glonkl.MB,NotLappland,PincheConcha,Rat_Squilla</v>
      </c>
      <c r="B83" s="41" t="s">
        <v>292</v>
      </c>
      <c r="C83" s="45" t="s">
        <v>91</v>
      </c>
      <c r="D83" s="49" t="s">
        <v>152</v>
      </c>
      <c r="E83" s="57" t="s">
        <v>142</v>
      </c>
      <c r="F83" s="49" t="s">
        <v>180</v>
      </c>
      <c r="G83" s="40">
        <v>1</v>
      </c>
      <c r="H83" s="40">
        <v>0</v>
      </c>
      <c r="I83" s="40">
        <f>$G83+$H83</f>
        <v>1</v>
      </c>
      <c r="J83" s="43">
        <f>G83/(H83+G83)</f>
        <v>1</v>
      </c>
      <c r="K83" s="44">
        <f>(Y8S4[[#This Row],[Wins]]-Y8S4[[#This Row],[Losses]]/SUM(Y8S4[Games Played]))/10</f>
        <v>0.1</v>
      </c>
      <c r="L83" s="67" t="s">
        <v>191</v>
      </c>
    </row>
    <row r="84" spans="1:12">
      <c r="A84" s="40" t="str">
        <f>_xlfn.TEXTJOIN(",",TRUE,_xlfn._xlws.SORT(_xlfn.TEXTSPLIT(_xlfn.TEXTJOIN(",",TRUE,_xlfn._xlws.SORT($B84:$F84, 1, -1, FALSE)),"WWWWW",",")))</f>
        <v>Chromius.TAMU,Dlehard.,Kermitt.MB,Rat_Squilla</v>
      </c>
      <c r="B84" s="47" t="s">
        <v>77</v>
      </c>
      <c r="C84" s="49" t="s">
        <v>121</v>
      </c>
      <c r="D84" s="54" t="s">
        <v>152</v>
      </c>
      <c r="E84" s="57" t="s">
        <v>118</v>
      </c>
      <c r="F84" s="49" t="s">
        <v>180</v>
      </c>
      <c r="G84" s="40">
        <v>0</v>
      </c>
      <c r="H84" s="40">
        <v>1</v>
      </c>
      <c r="I84" s="40">
        <f>$G84+$H84</f>
        <v>1</v>
      </c>
      <c r="J84" s="50">
        <f>G84/(H84+G84)</f>
        <v>0</v>
      </c>
      <c r="K84" s="44">
        <f>(Y8S4[[#This Row],[Wins]]-Y8S4[[#This Row],[Losses]]/SUM(Y8S4[Games Played]))/10</f>
        <v>-3.875968992248062E-4</v>
      </c>
      <c r="L84" s="68"/>
    </row>
    <row r="85" spans="1:12">
      <c r="A85" s="40" t="str">
        <f>_xlfn.TEXTJOIN(",",TRUE,_xlfn._xlws.SORT(_xlfn.TEXTSPLIT(_xlfn.TEXTJOIN(",",TRUE,_xlfn._xlws.SORT($B85:$F85, 1, -1, FALSE)),"WWWWW",",")))</f>
        <v>Blade2420,Chromius.TAMU,Galahad21588,Glonk.MB</v>
      </c>
      <c r="B85" s="45" t="s">
        <v>77</v>
      </c>
      <c r="C85" s="42" t="s">
        <v>162</v>
      </c>
      <c r="D85" s="46" t="s">
        <v>96</v>
      </c>
      <c r="E85" s="72" t="s">
        <v>113</v>
      </c>
      <c r="F85" s="52" t="s">
        <v>180</v>
      </c>
      <c r="G85" s="40">
        <v>0</v>
      </c>
      <c r="H85" s="40">
        <v>1</v>
      </c>
      <c r="I85" s="40">
        <f>$G85+$H85</f>
        <v>1</v>
      </c>
      <c r="J85" s="43">
        <f>G85/(H85+G85)</f>
        <v>0</v>
      </c>
      <c r="K85" s="44">
        <f>(Y8S4[[#This Row],[Wins]]-Y8S4[[#This Row],[Losses]]/SUM(Y8S4[Games Played]))/10</f>
        <v>-3.875968992248062E-4</v>
      </c>
      <c r="L85" s="67"/>
    </row>
    <row r="86" spans="1:12">
      <c r="A86" s="40" t="str">
        <f>_xlfn.TEXTJOIN(",",TRUE,_xlfn._xlws.SORT(_xlfn.TEXTSPLIT(_xlfn.TEXTJOIN(",",TRUE,_xlfn._xlws.SORT($B86:$F86, 1, -1, FALSE)),"WWWWW",",")))</f>
        <v>Blade2420,Chromius.TAMU,Galahad21588</v>
      </c>
      <c r="B86" s="47" t="s">
        <v>77</v>
      </c>
      <c r="C86" s="48" t="s">
        <v>96</v>
      </c>
      <c r="D86" s="54" t="s">
        <v>113</v>
      </c>
      <c r="E86" s="57" t="s">
        <v>180</v>
      </c>
      <c r="F86" s="49" t="s">
        <v>180</v>
      </c>
      <c r="G86" s="40">
        <v>0</v>
      </c>
      <c r="H86" s="40">
        <v>1</v>
      </c>
      <c r="I86" s="40">
        <f>$G86+$H86</f>
        <v>1</v>
      </c>
      <c r="J86" s="50">
        <f>G86/(H86+G86)</f>
        <v>0</v>
      </c>
      <c r="K86" s="44">
        <f>(Y8S4[[#This Row],[Wins]]-Y8S4[[#This Row],[Losses]]/SUM(Y8S4[Games Played]))/10</f>
        <v>-3.875968992248062E-4</v>
      </c>
      <c r="L86" s="68"/>
    </row>
    <row r="87" spans="1:12">
      <c r="A87" s="40" t="str">
        <f>_xlfn.TEXTJOIN(",",TRUE,_xlfn._xlws.SORT(_xlfn.TEXTSPLIT(_xlfn.TEXTJOIN(",",TRUE,_xlfn._xlws.SORT($B87:$F87, 1, -1, FALSE)),"WWWWW",",")))</f>
        <v>Chromius.TAMU,Fallen.Rqnger,Glonk.MB,Koyeetchi,Mason10_10</v>
      </c>
      <c r="B87" s="41" t="s">
        <v>162</v>
      </c>
      <c r="C87" s="46" t="s">
        <v>77</v>
      </c>
      <c r="D87" s="46" t="s">
        <v>86</v>
      </c>
      <c r="E87" s="60" t="s">
        <v>115</v>
      </c>
      <c r="F87" s="46" t="s">
        <v>144</v>
      </c>
      <c r="G87" s="40">
        <v>0</v>
      </c>
      <c r="H87" s="40">
        <v>1</v>
      </c>
      <c r="I87" s="40">
        <f>$G87+$H87</f>
        <v>1</v>
      </c>
      <c r="J87" s="43">
        <f>G87/(H87+G87)</f>
        <v>0</v>
      </c>
      <c r="K87" s="44">
        <f>(Y8S4[[#This Row],[Wins]]-Y8S4[[#This Row],[Losses]]/SUM(Y8S4[Games Played]))/10</f>
        <v>-3.875968992248062E-4</v>
      </c>
      <c r="L87" s="67"/>
    </row>
    <row r="88" spans="1:12">
      <c r="A88" s="40" t="str">
        <f>_xlfn.TEXTJOIN(",",TRUE,_xlfn._xlws.SORT(_xlfn.TEXTSPLIT(_xlfn.TEXTJOIN(",",TRUE,_xlfn._xlws.SORT($B88:$F88, 1, -1, FALSE)),"WWWWW",",")))</f>
        <v>Chromius.TAMU,Glonk.MB,MrFish</v>
      </c>
      <c r="B88" s="42" t="s">
        <v>162</v>
      </c>
      <c r="C88" s="47" t="s">
        <v>77</v>
      </c>
      <c r="D88" s="90" t="s">
        <v>210</v>
      </c>
      <c r="E88" s="57" t="s">
        <v>180</v>
      </c>
      <c r="F88" s="57" t="s">
        <v>180</v>
      </c>
      <c r="G88" s="40">
        <v>0</v>
      </c>
      <c r="H88" s="40">
        <v>1</v>
      </c>
      <c r="I88" s="40">
        <f>$G88+$H88</f>
        <v>1</v>
      </c>
      <c r="J88" s="50">
        <f>G88/(H88+G88)</f>
        <v>0</v>
      </c>
      <c r="K88" s="44">
        <f>(Y8S4[[#This Row],[Wins]]-Y8S4[[#This Row],[Losses]]/SUM(Y8S4[Games Played]))/10</f>
        <v>-3.875968992248062E-4</v>
      </c>
      <c r="L88" s="68"/>
    </row>
    <row r="89" spans="1:12">
      <c r="A89" s="40" t="str">
        <f>_xlfn.TEXTJOIN(",",TRUE,_xlfn._xlws.SORT(_xlfn.TEXTSPLIT(_xlfn.TEXTJOIN(",",TRUE,_xlfn._xlws.SORT($B89:$F89, 1, -1, FALSE)),"WWWWW",",")))</f>
        <v>Chromius.TAMU,Fallen.Cortex,Fallen.Rqnger,Strugg1er.</v>
      </c>
      <c r="B89" s="45" t="s">
        <v>77</v>
      </c>
      <c r="C89" s="46" t="s">
        <v>140</v>
      </c>
      <c r="D89" s="46" t="s">
        <v>86</v>
      </c>
      <c r="E89" s="46" t="s">
        <v>111</v>
      </c>
      <c r="F89" s="53" t="s">
        <v>180</v>
      </c>
      <c r="G89" s="40">
        <v>0</v>
      </c>
      <c r="H89" s="40">
        <v>1</v>
      </c>
      <c r="I89" s="40">
        <f>$G89+$H89</f>
        <v>1</v>
      </c>
      <c r="J89" s="43">
        <f>G89/(H89+G89)</f>
        <v>0</v>
      </c>
      <c r="K89" s="44">
        <f>(Y8S4[[#This Row],[Wins]]-Y8S4[[#This Row],[Losses]]/SUM(Y8S4[Games Played]))/10</f>
        <v>-3.875968992248062E-4</v>
      </c>
      <c r="L89" s="67"/>
    </row>
    <row r="90" spans="1:12">
      <c r="A90" s="40" t="str">
        <f>_xlfn.TEXTJOIN(",",TRUE,_xlfn._xlws.SORT(_xlfn.TEXTSPLIT(_xlfn.TEXTJOIN(",",TRUE,_xlfn._xlws.SORT($B90:$F90, 1, -1, FALSE)),"WWWWW",",")))</f>
        <v>Chromius.TAMU,Galahad21588,Glonk.MB,Mason10_10,Strugg1er.</v>
      </c>
      <c r="B90" s="47" t="s">
        <v>77</v>
      </c>
      <c r="C90" s="42" t="s">
        <v>162</v>
      </c>
      <c r="D90" s="48" t="s">
        <v>111</v>
      </c>
      <c r="E90" s="48" t="s">
        <v>96</v>
      </c>
      <c r="F90" s="48" t="s">
        <v>115</v>
      </c>
      <c r="G90" s="40">
        <v>0</v>
      </c>
      <c r="H90" s="40">
        <v>1</v>
      </c>
      <c r="I90" s="40">
        <f>$G90+$H90</f>
        <v>1</v>
      </c>
      <c r="J90" s="50">
        <f>G90/(H90+G90)</f>
        <v>0</v>
      </c>
      <c r="K90" s="44">
        <f>(Y8S4[[#This Row],[Wins]]-Y8S4[[#This Row],[Losses]]/SUM(Y8S4[Games Played]))/10</f>
        <v>-3.875968992248062E-4</v>
      </c>
      <c r="L90" s="68"/>
    </row>
    <row r="91" spans="1:12">
      <c r="A91" s="40" t="str">
        <f>_xlfn.TEXTJOIN(",",TRUE,_xlfn._xlws.SORT(_xlfn.TEXTSPLIT(_xlfn.TEXTJOIN(",",TRUE,_xlfn._xlws.SORT($B91:$F91, 1, -1, FALSE)),"WWWWW",",")))</f>
        <v>Chromius.TAMU,Fallen.Rqnger,Galahad21588,Kermitt.MB</v>
      </c>
      <c r="B91" s="45" t="s">
        <v>77</v>
      </c>
      <c r="C91" s="46" t="s">
        <v>86</v>
      </c>
      <c r="D91" s="46" t="s">
        <v>118</v>
      </c>
      <c r="E91" s="48" t="s">
        <v>96</v>
      </c>
      <c r="F91" s="52" t="s">
        <v>180</v>
      </c>
      <c r="G91" s="40">
        <v>0</v>
      </c>
      <c r="H91" s="40">
        <v>1</v>
      </c>
      <c r="I91" s="40">
        <f>$G91+$H91</f>
        <v>1</v>
      </c>
      <c r="J91" s="50">
        <f>G91/(H91+G91)</f>
        <v>0</v>
      </c>
      <c r="K91" s="44">
        <f>(Y8S4[[#This Row],[Wins]]-Y8S4[[#This Row],[Losses]]/SUM(Y8S4[Games Played]))/10</f>
        <v>-3.875968992248062E-4</v>
      </c>
      <c r="L91" s="68"/>
    </row>
    <row r="92" spans="1:12">
      <c r="A92" s="40" t="str">
        <f>_xlfn.TEXTJOIN(",",TRUE,_xlfn._xlws.SORT(_xlfn.TEXTSPLIT(_xlfn.TEXTJOIN(",",TRUE,_xlfn._xlws.SORT($B92:$F92, 1, -1, FALSE)),"WWWWW",",")))</f>
        <v>Chromius.TAMU,Fallen.Rqnger,Notlappland,ThiccPie.OU,Timythiccums.MB</v>
      </c>
      <c r="B92" s="45" t="s">
        <v>77</v>
      </c>
      <c r="C92" s="46" t="s">
        <v>86</v>
      </c>
      <c r="D92" s="46" t="s">
        <v>104</v>
      </c>
      <c r="E92" s="60" t="s">
        <v>81</v>
      </c>
      <c r="F92" s="60" t="s">
        <v>184</v>
      </c>
      <c r="G92" s="40">
        <v>0</v>
      </c>
      <c r="H92" s="40">
        <v>1</v>
      </c>
      <c r="I92" s="40">
        <f>$G92+$H92</f>
        <v>1</v>
      </c>
      <c r="J92" s="43">
        <f>G92/(H92+G92)</f>
        <v>0</v>
      </c>
      <c r="K92" s="44">
        <f>(Y8S4[[#This Row],[Wins]]-Y8S4[[#This Row],[Losses]]/SUM(Y8S4[Games Played]))/10</f>
        <v>-3.875968992248062E-4</v>
      </c>
      <c r="L92" s="67"/>
    </row>
    <row r="93" spans="1:12">
      <c r="A93" s="40" t="str">
        <f>_xlfn.TEXTJOIN(",",TRUE,_xlfn._xlws.SORT(_xlfn.TEXTSPLIT(_xlfn.TEXTJOIN(",",TRUE,_xlfn._xlws.SORT($B93:$F93, 1, -1, FALSE)),"WWWWW",",")))</f>
        <v>Glonk.MB,ThiccPie.OU,Timythiccums.MB</v>
      </c>
      <c r="B93" s="41" t="s">
        <v>162</v>
      </c>
      <c r="C93" s="48" t="s">
        <v>104</v>
      </c>
      <c r="D93" s="48" t="s">
        <v>81</v>
      </c>
      <c r="E93" s="57" t="s">
        <v>180</v>
      </c>
      <c r="F93" s="57" t="s">
        <v>180</v>
      </c>
      <c r="G93" s="40">
        <v>0</v>
      </c>
      <c r="H93" s="40">
        <v>1</v>
      </c>
      <c r="I93" s="40">
        <f>$G93+$H93</f>
        <v>1</v>
      </c>
      <c r="J93" s="50">
        <f>G93/(H93+G93)</f>
        <v>0</v>
      </c>
      <c r="K93" s="44">
        <f>(Y8S4[[#This Row],[Wins]]-Y8S4[[#This Row],[Losses]]/SUM(Y8S4[Games Played]))/10</f>
        <v>-3.875968992248062E-4</v>
      </c>
      <c r="L93" s="68"/>
    </row>
    <row r="94" spans="1:12">
      <c r="A94" s="40" t="str">
        <f>_xlfn.TEXTJOIN(",",TRUE,_xlfn._xlws.SORT(_xlfn.TEXTSPLIT(_xlfn.TEXTJOIN(",",TRUE,_xlfn._xlws.SORT($B94:$F94, 1, -1, FALSE)),"WWWWW",",")))</f>
        <v>Boomerjet123,Chromius.TAMU,Fallen.Rqnger,Galahad21588,Kermitt.MB</v>
      </c>
      <c r="B94" s="47" t="s">
        <v>77</v>
      </c>
      <c r="C94" s="48" t="s">
        <v>96</v>
      </c>
      <c r="D94" s="48" t="s">
        <v>86</v>
      </c>
      <c r="E94" s="48" t="s">
        <v>109</v>
      </c>
      <c r="F94" s="48" t="s">
        <v>118</v>
      </c>
      <c r="G94" s="40">
        <v>0</v>
      </c>
      <c r="H94" s="40">
        <v>1</v>
      </c>
      <c r="I94" s="40">
        <f>$G94+$H94</f>
        <v>1</v>
      </c>
      <c r="J94" s="50">
        <f>G94/(H94+G94)</f>
        <v>0</v>
      </c>
      <c r="K94" s="44">
        <f>(Y8S4[[#This Row],[Wins]]-Y8S4[[#This Row],[Losses]]/SUM(Y8S4[Games Played]))/10</f>
        <v>-3.875968992248062E-4</v>
      </c>
      <c r="L94" s="68"/>
    </row>
    <row r="95" spans="1:12">
      <c r="A95" s="40" t="str">
        <f>_xlfn.TEXTJOIN(",",TRUE,_xlfn._xlws.SORT(_xlfn.TEXTSPLIT(_xlfn.TEXTJOIN(",",TRUE,_xlfn._xlws.SORT($B95:$F95, 1, -1, FALSE)),"WWWWW",",")))</f>
        <v>Chromius.TAMU,Fallen.Rqnger,Galahad21588 ,Timythiccums.MB</v>
      </c>
      <c r="B95" s="47" t="s">
        <v>77</v>
      </c>
      <c r="C95" s="48" t="s">
        <v>81</v>
      </c>
      <c r="D95" s="48" t="s">
        <v>193</v>
      </c>
      <c r="E95" s="61" t="s">
        <v>86</v>
      </c>
      <c r="F95" s="49" t="s">
        <v>180</v>
      </c>
      <c r="G95" s="40">
        <v>0</v>
      </c>
      <c r="H95" s="40">
        <v>1</v>
      </c>
      <c r="I95" s="40">
        <f>$G95+$H95</f>
        <v>1</v>
      </c>
      <c r="J95" s="50">
        <f>G95/(H95+G95)</f>
        <v>0</v>
      </c>
      <c r="K95" s="44">
        <f>(Y8S4[[#This Row],[Wins]]-Y8S4[[#This Row],[Losses]]/SUM(Y8S4[Games Played]))/10</f>
        <v>-3.875968992248062E-4</v>
      </c>
      <c r="L95" s="68"/>
    </row>
    <row r="96" spans="1:12">
      <c r="A96" s="40" t="str">
        <f>_xlfn.TEXTJOIN(",",TRUE,_xlfn._xlws.SORT(_xlfn.TEXTSPLIT(_xlfn.TEXTJOIN(",",TRUE,_xlfn._xlws.SORT($B96:$F96, 1, -1, FALSE)),"WWWWW",",")))</f>
        <v>Chromius.TAMU,Dlehard.,Fallen.Rqnger,Glonk.MB,Strix.BBy</v>
      </c>
      <c r="B96" s="45" t="s">
        <v>77</v>
      </c>
      <c r="C96" s="42" t="s">
        <v>162</v>
      </c>
      <c r="D96" s="46" t="s">
        <v>86</v>
      </c>
      <c r="E96" s="46" t="s">
        <v>121</v>
      </c>
      <c r="F96" s="52" t="s">
        <v>150</v>
      </c>
      <c r="G96" s="40">
        <v>0</v>
      </c>
      <c r="H96" s="40">
        <v>1</v>
      </c>
      <c r="I96" s="40">
        <f>$G96+$H96</f>
        <v>1</v>
      </c>
      <c r="J96" s="43">
        <f>G96/(H96+G96)</f>
        <v>0</v>
      </c>
      <c r="K96" s="44">
        <f>(Y8S4[[#This Row],[Wins]]-Y8S4[[#This Row],[Losses]]/SUM(Y8S4[Games Played]))/10</f>
        <v>-3.875968992248062E-4</v>
      </c>
      <c r="L96" s="67"/>
    </row>
    <row r="97" spans="1:12">
      <c r="A97" s="40" t="str">
        <f>_xlfn.TEXTJOIN(",",TRUE,_xlfn._xlws.SORT(_xlfn.TEXTSPLIT(_xlfn.TEXTJOIN(",",TRUE,_xlfn._xlws.SORT($B97:$F97, 1, -1, FALSE)),"WWWWW",",")))</f>
        <v>Chromius.TAMU,Fallen.Cortex,Kermitt.MB,Nobetterdough,Timythiccums.MB</v>
      </c>
      <c r="B97" s="48" t="s">
        <v>77</v>
      </c>
      <c r="C97" s="48" t="s">
        <v>81</v>
      </c>
      <c r="D97" s="61" t="s">
        <v>118</v>
      </c>
      <c r="E97" s="55" t="s">
        <v>140</v>
      </c>
      <c r="F97" s="48" t="s">
        <v>125</v>
      </c>
      <c r="G97" s="40">
        <v>0</v>
      </c>
      <c r="H97" s="40">
        <v>1</v>
      </c>
      <c r="I97" s="40">
        <f>$G97+$H97</f>
        <v>1</v>
      </c>
      <c r="J97" s="50">
        <f>G97/(H97+G97)</f>
        <v>0</v>
      </c>
      <c r="K97" s="44">
        <f>(Y8S4[[#This Row],[Wins]]-Y8S4[[#This Row],[Losses]]/SUM(Y8S4[Games Played]))/10</f>
        <v>-3.875968992248062E-4</v>
      </c>
      <c r="L97" s="68"/>
    </row>
    <row r="98" spans="1:12">
      <c r="A98" s="40" t="str">
        <f>_xlfn.TEXTJOIN(",",TRUE,_xlfn._xlws.SORT(_xlfn.TEXTSPLIT(_xlfn.TEXTJOIN(",",TRUE,_xlfn._xlws.SORT($B98:$F98, 1, -1, FALSE)),"WWWWW",",")))</f>
        <v>Chromius.TAMU,Fallen.Cortex,Fallen.Rqnger,Strugg1er.,Timythiccums.MB</v>
      </c>
      <c r="B98" s="47" t="s">
        <v>77</v>
      </c>
      <c r="C98" s="48" t="s">
        <v>81</v>
      </c>
      <c r="D98" s="48" t="s">
        <v>111</v>
      </c>
      <c r="E98" s="55" t="s">
        <v>140</v>
      </c>
      <c r="F98" s="48" t="s">
        <v>86</v>
      </c>
      <c r="G98" s="40">
        <v>0</v>
      </c>
      <c r="H98" s="40">
        <v>1</v>
      </c>
      <c r="I98" s="40">
        <f>$G98+$H98</f>
        <v>1</v>
      </c>
      <c r="J98" s="50">
        <f>G98/(H98+G98)</f>
        <v>0</v>
      </c>
      <c r="K98" s="44">
        <f>(Y8S4[[#This Row],[Wins]]-Y8S4[[#This Row],[Losses]]/SUM(Y8S4[Games Played]))/10</f>
        <v>-3.875968992248062E-4</v>
      </c>
      <c r="L98" s="68"/>
    </row>
    <row r="99" spans="1:12">
      <c r="A99" s="40" t="str">
        <f>_xlfn.TEXTJOIN(",",TRUE,_xlfn._xlws.SORT(_xlfn.TEXTSPLIT(_xlfn.TEXTJOIN(",",TRUE,_xlfn._xlws.SORT($B99:$F99, 1, -1, FALSE)),"WWWWW",",")))</f>
        <v>Chromius.TAMU,Glonk.MB,Notlappland,Strugg1er.</v>
      </c>
      <c r="B99" s="47" t="s">
        <v>77</v>
      </c>
      <c r="C99" s="42" t="s">
        <v>162</v>
      </c>
      <c r="D99" s="48" t="s">
        <v>111</v>
      </c>
      <c r="E99" s="46" t="s">
        <v>184</v>
      </c>
      <c r="F99" s="49" t="s">
        <v>180</v>
      </c>
      <c r="G99" s="40">
        <v>0</v>
      </c>
      <c r="H99" s="40">
        <v>1</v>
      </c>
      <c r="I99" s="40">
        <f>$G99+$H99</f>
        <v>1</v>
      </c>
      <c r="J99" s="50">
        <f>G99/(H99+G99)</f>
        <v>0</v>
      </c>
      <c r="K99" s="44">
        <f>(Y8S4[[#This Row],[Wins]]-Y8S4[[#This Row],[Losses]]/SUM(Y8S4[Games Played]))/10</f>
        <v>-3.875968992248062E-4</v>
      </c>
      <c r="L99" s="68"/>
    </row>
    <row r="100" spans="1:12">
      <c r="A100" s="40" t="str">
        <f>_xlfn.TEXTJOIN(",",TRUE,_xlfn._xlws.SORT(_xlfn.TEXTSPLIT(_xlfn.TEXTJOIN(",",TRUE,_xlfn._xlws.SORT($B100:$F100, 1, -1, FALSE)),"WWWWW",",")))</f>
        <v>Chromius.TAMU,Galahad21588,Polar...-</v>
      </c>
      <c r="B100" s="47" t="s">
        <v>77</v>
      </c>
      <c r="C100" s="54" t="s">
        <v>159</v>
      </c>
      <c r="D100" s="46" t="s">
        <v>96</v>
      </c>
      <c r="E100" s="49" t="s">
        <v>180</v>
      </c>
      <c r="F100" s="49" t="s">
        <v>180</v>
      </c>
      <c r="G100" s="40">
        <v>0</v>
      </c>
      <c r="H100" s="40">
        <v>1</v>
      </c>
      <c r="I100" s="40">
        <f>$G100+$H100</f>
        <v>1</v>
      </c>
      <c r="J100" s="50">
        <f>G100/(H100+G100)</f>
        <v>0</v>
      </c>
      <c r="K100" s="44">
        <f>(Y8S4[[#This Row],[Wins]]-Y8S4[[#This Row],[Losses]]/SUM(Y8S4[Games Played]))/10</f>
        <v>-3.875968992248062E-4</v>
      </c>
      <c r="L100" s="68"/>
    </row>
    <row r="101" spans="1:12">
      <c r="A101" s="40" t="str">
        <f>_xlfn.TEXTJOIN(",",TRUE,_xlfn._xlws.SORT(_xlfn.TEXTSPLIT(_xlfn.TEXTJOIN(",",TRUE,_xlfn._xlws.SORT($B101:$F101, 1, -1, FALSE)),"WWWWW",",")))</f>
        <v>Chromius.TAMU,Galahad21588,Polar...-,Timythiccums.MB</v>
      </c>
      <c r="B101" s="47" t="s">
        <v>77</v>
      </c>
      <c r="C101" s="48" t="s">
        <v>81</v>
      </c>
      <c r="D101" s="54" t="s">
        <v>159</v>
      </c>
      <c r="E101" s="46" t="s">
        <v>96</v>
      </c>
      <c r="F101" s="49" t="s">
        <v>180</v>
      </c>
      <c r="G101" s="40">
        <v>0</v>
      </c>
      <c r="H101" s="40">
        <v>1</v>
      </c>
      <c r="I101" s="40">
        <f>$G101+$H101</f>
        <v>1</v>
      </c>
      <c r="J101" s="50">
        <f>G101/(H101+G101)</f>
        <v>0</v>
      </c>
      <c r="K101" s="44">
        <f>(Y8S4[[#This Row],[Wins]]-Y8S4[[#This Row],[Losses]]/SUM(Y8S4[Games Played]))/10</f>
        <v>-3.875968992248062E-4</v>
      </c>
      <c r="L101" s="68"/>
    </row>
    <row r="102" spans="1:12">
      <c r="A102" s="40" t="str">
        <f>_xlfn.TEXTJOIN(",",TRUE,_xlfn._xlws.SORT(_xlfn.TEXTSPLIT(_xlfn.TEXTJOIN(",",TRUE,_xlfn._xlws.SORT($B102:$F102, 1, -1, FALSE)),"WWWWW",",")))</f>
        <v>Chromius.TAMU,Coolrocket.TAMU,Kermitt.MB,Rat_Squilla,Timythiccums.MB</v>
      </c>
      <c r="B102" s="47" t="s">
        <v>77</v>
      </c>
      <c r="C102" s="48" t="s">
        <v>81</v>
      </c>
      <c r="D102" s="49" t="s">
        <v>152</v>
      </c>
      <c r="E102" s="57" t="s">
        <v>118</v>
      </c>
      <c r="F102" s="58" t="s">
        <v>138</v>
      </c>
      <c r="G102" s="40">
        <v>0</v>
      </c>
      <c r="H102" s="40">
        <v>1</v>
      </c>
      <c r="I102" s="40">
        <f>$G102+$H102</f>
        <v>1</v>
      </c>
      <c r="J102" s="50">
        <f>G102/(H102+G102)</f>
        <v>0</v>
      </c>
      <c r="K102" s="44">
        <f>(Y8S4[[#This Row],[Wins]]-Y8S4[[#This Row],[Losses]]/SUM(Y8S4[Games Played]))/10</f>
        <v>-3.875968992248062E-4</v>
      </c>
      <c r="L102" s="68"/>
    </row>
    <row r="103" spans="1:12">
      <c r="A103" s="40" t="str">
        <f>_xlfn.TEXTJOIN(",",TRUE,_xlfn._xlws.SORT(_xlfn.TEXTSPLIT(_xlfn.TEXTJOIN(",",TRUE,_xlfn._xlws.SORT($B103:$F103, 1, -1, FALSE)),"WWWWW",",")))</f>
        <v>Chromius.TAMU,Kermitt.MB,Rat_Squilla,Timythiccums.MB</v>
      </c>
      <c r="B103" s="47" t="s">
        <v>77</v>
      </c>
      <c r="C103" s="48" t="s">
        <v>81</v>
      </c>
      <c r="D103" s="49" t="s">
        <v>152</v>
      </c>
      <c r="E103" s="49" t="s">
        <v>118</v>
      </c>
      <c r="F103" s="49" t="s">
        <v>180</v>
      </c>
      <c r="G103" s="40">
        <v>0</v>
      </c>
      <c r="H103" s="40">
        <v>1</v>
      </c>
      <c r="I103" s="40">
        <f>$G103+$H103</f>
        <v>1</v>
      </c>
      <c r="J103" s="50">
        <f>G103/(H103+G103)</f>
        <v>0</v>
      </c>
      <c r="K103" s="44">
        <f>(Y8S4[[#This Row],[Wins]]-Y8S4[[#This Row],[Losses]]/SUM(Y8S4[Games Played]))/10</f>
        <v>-3.875968992248062E-4</v>
      </c>
      <c r="L103" s="68"/>
    </row>
    <row r="104" spans="1:12">
      <c r="A104" s="40" t="str">
        <f>_xlfn.TEXTJOIN(",",TRUE,_xlfn._xlws.SORT(_xlfn.TEXTSPLIT(_xlfn.TEXTJOIN(",",TRUE,_xlfn._xlws.SORT($B104:$F104, 1, -1, FALSE)),"WWWWW",",")))</f>
        <v>Boomerjet123,Chromius.TAMU,Fallen.Cortex,Fallen.Rqnger,Strugg1er.</v>
      </c>
      <c r="B104" s="47" t="s">
        <v>77</v>
      </c>
      <c r="C104" s="48" t="s">
        <v>111</v>
      </c>
      <c r="D104" s="48" t="s">
        <v>86</v>
      </c>
      <c r="E104" s="46" t="s">
        <v>109</v>
      </c>
      <c r="F104" s="49" t="s">
        <v>140</v>
      </c>
      <c r="G104" s="40">
        <v>0</v>
      </c>
      <c r="H104" s="40">
        <v>1</v>
      </c>
      <c r="I104" s="40">
        <f>$G104+$H104</f>
        <v>1</v>
      </c>
      <c r="J104" s="50">
        <f>G104/(H104+G104)</f>
        <v>0</v>
      </c>
      <c r="K104" s="44">
        <f>(Y8S4[[#This Row],[Wins]]-Y8S4[[#This Row],[Losses]]/SUM(Y8S4[Games Played]))/10</f>
        <v>-3.875968992248062E-4</v>
      </c>
      <c r="L104" s="68"/>
    </row>
    <row r="105" spans="1:12">
      <c r="A105" s="40" t="str">
        <f>_xlfn.TEXTJOIN(",",TRUE,_xlfn._xlws.SORT(_xlfn.TEXTSPLIT(_xlfn.TEXTJOIN(",",TRUE,_xlfn._xlws.SORT($B105:$F105, 1, -1, FALSE)),"WWWWW",",")))</f>
        <v>Blade2420,Chromius.TAMU,Fallen.Rqnger,Glonk.MB,Timythiccums.MB</v>
      </c>
      <c r="B105" s="45" t="s">
        <v>77</v>
      </c>
      <c r="C105" s="42" t="s">
        <v>162</v>
      </c>
      <c r="D105" s="46" t="s">
        <v>81</v>
      </c>
      <c r="E105" s="63" t="s">
        <v>86</v>
      </c>
      <c r="F105" s="52" t="s">
        <v>113</v>
      </c>
      <c r="G105" s="40">
        <v>0</v>
      </c>
      <c r="H105" s="40">
        <v>1</v>
      </c>
      <c r="I105" s="40">
        <f>$G105+$H105</f>
        <v>1</v>
      </c>
      <c r="J105" s="43">
        <f>G105/(H105+G105)</f>
        <v>0</v>
      </c>
      <c r="K105" s="44">
        <f>(Y8S4[[#This Row],[Wins]]-Y8S4[[#This Row],[Losses]]/SUM(Y8S4[Games Played]))/10</f>
        <v>-3.875968992248062E-4</v>
      </c>
      <c r="L105" s="67"/>
    </row>
    <row r="106" spans="1:12">
      <c r="A106" s="40" t="str">
        <f>_xlfn.TEXTJOIN(",",TRUE,_xlfn._xlws.SORT(_xlfn.TEXTSPLIT(_xlfn.TEXTJOIN(",",TRUE,_xlfn._xlws.SORT($B106:$F106, 1, -1, FALSE)),"WWWWW",",")))</f>
        <v>Chromius.TAMU,Glonk.MB,Kermitt.MB,Koyeetchi</v>
      </c>
      <c r="B106" s="41" t="s">
        <v>162</v>
      </c>
      <c r="C106" s="46" t="s">
        <v>77</v>
      </c>
      <c r="D106" s="46" t="s">
        <v>118</v>
      </c>
      <c r="E106" s="52" t="s">
        <v>144</v>
      </c>
      <c r="F106" s="52"/>
      <c r="G106" s="40">
        <v>0</v>
      </c>
      <c r="H106" s="40">
        <v>1</v>
      </c>
      <c r="I106" s="40">
        <f>$G106+$H106</f>
        <v>1</v>
      </c>
      <c r="J106" s="43">
        <f>G106/(H106+G106)</f>
        <v>0</v>
      </c>
      <c r="K106" s="44">
        <f>(Y8S4[[#This Row],[Wins]]-Y8S4[[#This Row],[Losses]]/SUM(Y8S4[Games Played]))/10</f>
        <v>-3.875968992248062E-4</v>
      </c>
      <c r="L106" s="67"/>
    </row>
    <row r="107" spans="1:12">
      <c r="A107" s="40" t="str">
        <f>_xlfn.TEXTJOIN(",",TRUE,_xlfn._xlws.SORT(_xlfn.TEXTSPLIT(_xlfn.TEXTJOIN(",",TRUE,_xlfn._xlws.SORT($B107:$F107, 1, -1, FALSE)),"WWWWW",",")))</f>
        <v>Chromius.TAMU,Coolrocket,JoeHashish,PincheConcha</v>
      </c>
      <c r="B107" s="45" t="s">
        <v>77</v>
      </c>
      <c r="C107" s="46" t="s">
        <v>91</v>
      </c>
      <c r="D107" s="81" t="s">
        <v>199</v>
      </c>
      <c r="E107" s="57" t="s">
        <v>200</v>
      </c>
      <c r="F107" s="49" t="s">
        <v>180</v>
      </c>
      <c r="G107" s="40">
        <v>0</v>
      </c>
      <c r="H107" s="40">
        <v>1</v>
      </c>
      <c r="I107" s="40">
        <f>$G107+$H107</f>
        <v>1</v>
      </c>
      <c r="J107" s="43">
        <f>G107/(H107+G107)</f>
        <v>0</v>
      </c>
      <c r="K107" s="44">
        <f>(Y8S4[[#This Row],[Wins]]-Y8S4[[#This Row],[Losses]]/SUM(Y8S4[Games Played]))/10</f>
        <v>-3.875968992248062E-4</v>
      </c>
      <c r="L107" s="67"/>
    </row>
    <row r="108" spans="1:12">
      <c r="A108" s="40" t="str">
        <f>_xlfn.TEXTJOIN(",",TRUE,_xlfn._xlws.SORT(_xlfn.TEXTSPLIT(_xlfn.TEXTJOIN(",",TRUE,_xlfn._xlws.SORT($B108:$F108, 1, -1, FALSE)),"WWWWW",",")))</f>
        <v>Chromius.TAMU,Coolrocket.TAMU</v>
      </c>
      <c r="B108" s="41" t="s">
        <v>77</v>
      </c>
      <c r="C108" s="46" t="s">
        <v>138</v>
      </c>
      <c r="D108" s="49" t="s">
        <v>180</v>
      </c>
      <c r="E108" s="57" t="s">
        <v>180</v>
      </c>
      <c r="F108" s="49" t="s">
        <v>180</v>
      </c>
      <c r="G108" s="40">
        <v>0</v>
      </c>
      <c r="H108" s="40">
        <v>1</v>
      </c>
      <c r="I108" s="40">
        <f>$G108+$H108</f>
        <v>1</v>
      </c>
      <c r="J108" s="43">
        <f>G108/(H108+G108)</f>
        <v>0</v>
      </c>
      <c r="K108" s="44">
        <f>(Y8S4[[#This Row],[Wins]]-Y8S4[[#This Row],[Losses]]/SUM(Y8S4[Games Played]))/10</f>
        <v>-3.875968992248062E-4</v>
      </c>
      <c r="L108" s="67"/>
    </row>
    <row r="109" spans="1:12">
      <c r="A109" s="40" t="str">
        <f>_xlfn.TEXTJOIN(",",TRUE,_xlfn._xlws.SORT(_xlfn.TEXTSPLIT(_xlfn.TEXTJOIN(",",TRUE,_xlfn._xlws.SORT($B109:$F109, 1, -1, FALSE)),"WWWWW",",")))</f>
        <v>Chromius.TAMU,Galahad21588,Glonk.MB,Timythiccums.MB</v>
      </c>
      <c r="B109" s="41" t="s">
        <v>77</v>
      </c>
      <c r="C109" s="46" t="s">
        <v>162</v>
      </c>
      <c r="D109" s="46" t="s">
        <v>81</v>
      </c>
      <c r="E109" s="49" t="s">
        <v>96</v>
      </c>
      <c r="F109" s="49" t="s">
        <v>180</v>
      </c>
      <c r="G109" s="40">
        <v>0</v>
      </c>
      <c r="H109" s="40">
        <v>1</v>
      </c>
      <c r="I109" s="40">
        <f>$G109+$H109</f>
        <v>1</v>
      </c>
      <c r="J109" s="43">
        <f>G109/(H109+G109)</f>
        <v>0</v>
      </c>
      <c r="K109" s="44">
        <f>(Y8S4[[#This Row],[Wins]]-Y8S4[[#This Row],[Losses]]/SUM(Y8S4[Games Played]))/10</f>
        <v>-3.875968992248062E-4</v>
      </c>
      <c r="L109" s="67"/>
    </row>
    <row r="110" spans="1:12">
      <c r="A110" s="40" t="str">
        <f>_xlfn.TEXTJOIN(",",TRUE,_xlfn._xlws.SORT(_xlfn.TEXTSPLIT(_xlfn.TEXTJOIN(",",TRUE,_xlfn._xlws.SORT($B110:$F110, 1, -1, FALSE)),"WWWWW",",")))</f>
        <v>Chromius.TAMU,Galahad21588,Glonk.MB,lostarkwhale</v>
      </c>
      <c r="B110" s="41" t="s">
        <v>77</v>
      </c>
      <c r="C110" s="46" t="s">
        <v>162</v>
      </c>
      <c r="D110" s="46" t="s">
        <v>96</v>
      </c>
      <c r="E110" s="57" t="s">
        <v>164</v>
      </c>
      <c r="F110" s="49" t="s">
        <v>180</v>
      </c>
      <c r="G110" s="40">
        <v>0</v>
      </c>
      <c r="H110" s="40">
        <v>1</v>
      </c>
      <c r="I110" s="40">
        <f>$G110+$H110</f>
        <v>1</v>
      </c>
      <c r="J110" s="43">
        <f>G110/(H110+G110)</f>
        <v>0</v>
      </c>
      <c r="K110" s="44">
        <f>(Y8S4[[#This Row],[Wins]]-Y8S4[[#This Row],[Losses]]/SUM(Y8S4[Games Played]))/10</f>
        <v>-3.875968992248062E-4</v>
      </c>
      <c r="L110" s="67"/>
    </row>
    <row r="111" spans="1:12">
      <c r="A111" s="40" t="str">
        <f>_xlfn.TEXTJOIN(",",TRUE,_xlfn._xlws.SORT(_xlfn.TEXTSPLIT(_xlfn.TEXTJOIN(",",TRUE,_xlfn._xlws.SORT($B111:$F111, 1, -1, FALSE)),"WWWWW",",")))</f>
        <v>Chromius.TAMU,Glonk.MB,Pathos-val</v>
      </c>
      <c r="B111" s="41" t="s">
        <v>77</v>
      </c>
      <c r="C111" s="46" t="s">
        <v>162</v>
      </c>
      <c r="D111" s="81" t="s">
        <v>155</v>
      </c>
      <c r="E111" s="49" t="s">
        <v>180</v>
      </c>
      <c r="F111" s="49" t="s">
        <v>180</v>
      </c>
      <c r="G111" s="40">
        <v>0</v>
      </c>
      <c r="H111" s="40">
        <v>1</v>
      </c>
      <c r="I111" s="40">
        <f>$G111+$H111</f>
        <v>1</v>
      </c>
      <c r="J111" s="43">
        <f>G111/(H111+G111)</f>
        <v>0</v>
      </c>
      <c r="K111" s="44">
        <f>(Y8S4[[#This Row],[Wins]]-Y8S4[[#This Row],[Losses]]/SUM(Y8S4[Games Played]))/10</f>
        <v>-3.875968992248062E-4</v>
      </c>
      <c r="L111" s="67"/>
    </row>
    <row r="112" spans="1:12">
      <c r="A112" s="40" t="str">
        <f>_xlfn.TEXTJOIN(",",TRUE,_xlfn._xlws.SORT(_xlfn.TEXTSPLIT(_xlfn.TEXTJOIN(",",TRUE,_xlfn._xlws.SORT($B112:$F112, 1, -1, FALSE)),"WWWWW",",")))</f>
        <v>Chromius.TAMU,Glonk.MB,NotLappland,PincheConcha,Timythiccums.MB</v>
      </c>
      <c r="B112" s="41" t="s">
        <v>77</v>
      </c>
      <c r="C112" s="46" t="s">
        <v>162</v>
      </c>
      <c r="D112" s="49" t="s">
        <v>91</v>
      </c>
      <c r="E112" s="57" t="s">
        <v>142</v>
      </c>
      <c r="F112" s="49" t="s">
        <v>81</v>
      </c>
      <c r="G112" s="40">
        <v>0</v>
      </c>
      <c r="H112" s="40">
        <v>1</v>
      </c>
      <c r="I112" s="40">
        <f>$G112+$H112</f>
        <v>1</v>
      </c>
      <c r="J112" s="43">
        <f>G112/(H112+G112)</f>
        <v>0</v>
      </c>
      <c r="K112" s="44">
        <f>(Y8S4[[#This Row],[Wins]]-Y8S4[[#This Row],[Losses]]/SUM(Y8S4[Games Played]))/10</f>
        <v>-3.875968992248062E-4</v>
      </c>
      <c r="L112" s="67" t="s">
        <v>218</v>
      </c>
    </row>
    <row r="113" spans="1:12" ht="24">
      <c r="A113" s="40" t="str">
        <f>_xlfn.TEXTJOIN(",",TRUE,_xlfn._xlws.SORT(_xlfn.TEXTSPLIT(_xlfn.TEXTJOIN(",",TRUE,_xlfn._xlws.SORT($B113:$F113, 1, -1, FALSE)),"WWWWW",",")))</f>
        <v>Chromius.TAMU,Galahad21588,PincheConcha</v>
      </c>
      <c r="B113" s="41" t="s">
        <v>77</v>
      </c>
      <c r="C113" s="49" t="s">
        <v>91</v>
      </c>
      <c r="D113" s="49" t="s">
        <v>96</v>
      </c>
      <c r="E113" s="57" t="s">
        <v>180</v>
      </c>
      <c r="F113" s="49" t="s">
        <v>180</v>
      </c>
      <c r="G113" s="40">
        <v>0</v>
      </c>
      <c r="H113" s="40">
        <v>1</v>
      </c>
      <c r="I113" s="40">
        <f>$G113+$H113</f>
        <v>1</v>
      </c>
      <c r="J113" s="43">
        <f>G113/(H113+G113)</f>
        <v>0</v>
      </c>
      <c r="K113" s="44">
        <f>(Y8S4[[#This Row],[Wins]]-Y8S4[[#This Row],[Losses]]/SUM(Y8S4[Games Played]))/10</f>
        <v>-3.875968992248062E-4</v>
      </c>
      <c r="L113" s="67" t="s">
        <v>222</v>
      </c>
    </row>
    <row r="114" spans="1:12">
      <c r="A114" s="40" t="str">
        <f>_xlfn.TEXTJOIN(",",TRUE,_xlfn._xlws.SORT(_xlfn.TEXTSPLIT(_xlfn.TEXTJOIN(",",TRUE,_xlfn._xlws.SORT($B114:$F114, 1, -1, FALSE)),"WWWWW",",")))</f>
        <v>Chromius.TAMU,Glonk.MB,NotLappland,PincheConcha,Rat_Squilla</v>
      </c>
      <c r="B114" s="41" t="s">
        <v>77</v>
      </c>
      <c r="C114" s="46" t="s">
        <v>162</v>
      </c>
      <c r="D114" s="49" t="s">
        <v>91</v>
      </c>
      <c r="E114" s="57" t="s">
        <v>142</v>
      </c>
      <c r="F114" s="49" t="s">
        <v>152</v>
      </c>
      <c r="G114" s="40">
        <v>0</v>
      </c>
      <c r="H114" s="40">
        <v>1</v>
      </c>
      <c r="I114" s="40">
        <f>$G114+$H114</f>
        <v>1</v>
      </c>
      <c r="J114" s="43">
        <f>G114/(H114+G114)</f>
        <v>0</v>
      </c>
      <c r="K114" s="44">
        <f>(Y8S4[[#This Row],[Wins]]-Y8S4[[#This Row],[Losses]]/SUM(Y8S4[Games Played]))/10</f>
        <v>-3.875968992248062E-4</v>
      </c>
      <c r="L114" s="67"/>
    </row>
    <row r="115" spans="1:12">
      <c r="A115" s="40" t="str">
        <f>_xlfn.TEXTJOIN(",",TRUE,_xlfn._xlws.SORT(_xlfn.TEXTSPLIT(_xlfn.TEXTJOIN(",",TRUE,_xlfn._xlws.SORT($B115:$F115, 1, -1, FALSE)),"WWWWW",",")))</f>
        <v>Asherzs,Chromius.TAMU,Glonk.MB,Timythiccums.MB</v>
      </c>
      <c r="B115" s="41" t="s">
        <v>77</v>
      </c>
      <c r="C115" s="46" t="s">
        <v>162</v>
      </c>
      <c r="D115" s="49" t="s">
        <v>81</v>
      </c>
      <c r="E115" s="89" t="s">
        <v>100</v>
      </c>
      <c r="F115" s="57" t="s">
        <v>180</v>
      </c>
      <c r="G115" s="40">
        <v>0</v>
      </c>
      <c r="H115" s="40">
        <v>1</v>
      </c>
      <c r="I115" s="40">
        <f>$G115+$H115</f>
        <v>1</v>
      </c>
      <c r="J115" s="43">
        <f>G115/(H115+G115)</f>
        <v>0</v>
      </c>
      <c r="K115" s="44">
        <f>(Y8S4[[#This Row],[Wins]]-Y8S4[[#This Row],[Losses]]/SUM(Y8S4[Games Played]))/10</f>
        <v>-3.875968992248062E-4</v>
      </c>
      <c r="L115" s="67" t="s">
        <v>219</v>
      </c>
    </row>
    <row r="116" spans="1:12">
      <c r="A116" s="40" t="str">
        <f>_xlfn.TEXTJOIN(",",TRUE,_xlfn._xlws.SORT(_xlfn.TEXTSPLIT(_xlfn.TEXTJOIN(",",TRUE,_xlfn._xlws.SORT($B116:$F116, 1, -1, FALSE)),"WWWWW",",")))</f>
        <v>Galahad21588,Glonk.MB,Kermitt.MB</v>
      </c>
      <c r="B116" s="41" t="s">
        <v>162</v>
      </c>
      <c r="C116" s="46" t="s">
        <v>96</v>
      </c>
      <c r="D116" s="46" t="s">
        <v>118</v>
      </c>
      <c r="E116" s="57" t="s">
        <v>180</v>
      </c>
      <c r="F116" s="57" t="s">
        <v>180</v>
      </c>
      <c r="G116" s="40">
        <v>0</v>
      </c>
      <c r="H116" s="40">
        <v>1</v>
      </c>
      <c r="I116" s="40">
        <f>$G116+$H116</f>
        <v>1</v>
      </c>
      <c r="J116" s="43">
        <f>G116/(H116+G116)</f>
        <v>0</v>
      </c>
      <c r="K116" s="44">
        <f>(Y8S4[[#This Row],[Wins]]-Y8S4[[#This Row],[Losses]]/SUM(Y8S4[Games Played]))/10</f>
        <v>-3.875968992248062E-4</v>
      </c>
      <c r="L116" s="67"/>
    </row>
    <row r="117" spans="1:12">
      <c r="A117" s="40" t="str">
        <f>_xlfn.TEXTJOIN(",",TRUE,_xlfn._xlws.SORT(_xlfn.TEXTSPLIT(_xlfn.TEXTJOIN(",",TRUE,_xlfn._xlws.SORT($B117:$F117, 1, -1, FALSE)),"WWWWW",",")))</f>
        <v>Chromius.TAMU,Fallen.Cortex,Fallen.Rqnger,Kermitt.MB,Koyeetchi</v>
      </c>
      <c r="B117" s="91" t="s">
        <v>77</v>
      </c>
      <c r="C117" s="99" t="s">
        <v>118</v>
      </c>
      <c r="D117" s="92" t="s">
        <v>86</v>
      </c>
      <c r="E117" s="100" t="s">
        <v>144</v>
      </c>
      <c r="F117" s="122" t="s">
        <v>140</v>
      </c>
      <c r="G117" s="40">
        <v>0</v>
      </c>
      <c r="H117" s="40">
        <v>1</v>
      </c>
      <c r="I117" s="40">
        <v>1</v>
      </c>
      <c r="J117" s="94">
        <f>G117/(H117+G117)</f>
        <v>0</v>
      </c>
      <c r="K117" s="95">
        <f>(Y8S4[[#This Row],[Wins]]-Y8S4[[#This Row],[Losses]]/SUM(Y8S4[Games Played]))/10</f>
        <v>-3.875968992248062E-4</v>
      </c>
      <c r="L117" s="96"/>
    </row>
    <row r="118" spans="1:12">
      <c r="A118" s="40" t="str">
        <f>_xlfn.TEXTJOIN(",",TRUE,_xlfn._xlws.SORT(_xlfn.TEXTSPLIT(_xlfn.TEXTJOIN(",",TRUE,_xlfn._xlws.SORT($B118:$F118, 1, -1, FALSE)),"WWWWW",",")))</f>
        <v>_,_,_,Acceptable,Minimum</v>
      </c>
      <c r="B118" s="62" t="s">
        <v>212</v>
      </c>
      <c r="C118" s="63" t="s">
        <v>212</v>
      </c>
      <c r="D118" s="63" t="s">
        <v>213</v>
      </c>
      <c r="E118" s="64" t="s">
        <v>214</v>
      </c>
      <c r="F118" s="63" t="s">
        <v>212</v>
      </c>
      <c r="G118" s="40">
        <v>0</v>
      </c>
      <c r="H118" s="40">
        <v>0</v>
      </c>
      <c r="I118" s="40">
        <f>$G118+$H118</f>
        <v>0</v>
      </c>
      <c r="J118" s="43">
        <v>0.49990000000000001</v>
      </c>
      <c r="K118" s="44">
        <f>(Y8S4[[#This Row],[Wins]]-Y8S4[[#This Row],[Losses]]/SUM(Y8S4[Games Played]))/10</f>
        <v>0</v>
      </c>
      <c r="L118" s="67"/>
    </row>
    <row r="119" spans="1:12">
      <c r="B119" s="29" t="s">
        <v>283</v>
      </c>
      <c r="C119" s="30"/>
      <c r="D119" s="30"/>
      <c r="E119" s="30"/>
      <c r="F119" s="30"/>
      <c r="G119" s="38">
        <f>SUBTOTAL(109,G2:G118)</f>
        <v>135</v>
      </c>
      <c r="H119" s="38">
        <f>SUBTOTAL(109,H2:H118)</f>
        <v>123</v>
      </c>
      <c r="I119" s="38">
        <f>SUBTOTAL(109,I2:I118)</f>
        <v>258</v>
      </c>
      <c r="J119" s="31">
        <f>SUBTOTAL(101,J2:J118)</f>
        <v>0.46477029753871851</v>
      </c>
      <c r="K119" s="35">
        <f>SUM(Y8S4[Team Effectivess Guess])</f>
        <v>13.452300775193763</v>
      </c>
      <c r="L119" s="69"/>
    </row>
  </sheetData>
  <mergeCells count="20">
    <mergeCell ref="AN8:AU8"/>
    <mergeCell ref="AV8:BB8"/>
    <mergeCell ref="AN5:AU5"/>
    <mergeCell ref="AV5:BB5"/>
    <mergeCell ref="AN6:AU6"/>
    <mergeCell ref="AV6:BB6"/>
    <mergeCell ref="AN7:AU7"/>
    <mergeCell ref="AV7:BB7"/>
    <mergeCell ref="AN2:AU2"/>
    <mergeCell ref="AV2:BB2"/>
    <mergeCell ref="AN3:AU3"/>
    <mergeCell ref="AV3:BB3"/>
    <mergeCell ref="AN4:AU4"/>
    <mergeCell ref="AV4:BB4"/>
    <mergeCell ref="AN9:AU9"/>
    <mergeCell ref="AV9:BB9"/>
    <mergeCell ref="AM13:AQ13"/>
    <mergeCell ref="AM14:AQ14"/>
    <mergeCell ref="P30:Z30"/>
    <mergeCell ref="AM15:AQ15"/>
  </mergeCells>
  <conditionalFormatting sqref="B2:F14 B15:E15 B16:F17 B18:E18 B19:F32 B33:E33 B34:F42 B43:C44 E43:F44 B45:E45 B46:F61 B62:D64 F62:F64 B65:F66 B67 D67 F67:F68 B68:C68 B69:D70 B71:C71 B72:D72 B73:C76 B77:D80 F77:F80 B98:D99 E98:F100 B100:C100 B101:F116 B1:I1 B120:I566 B81:F97 F70:F75">
    <cfRule type="containsText" dxfId="445" priority="691" operator="containsText" text="Tim">
      <formula>NOT(ISERROR(SEARCH("Tim",B1)))</formula>
    </cfRule>
  </conditionalFormatting>
  <conditionalFormatting sqref="B2:F14 B15:E15 B16:F17 B18:E18 B19:F32 B33:E33 B34:F42 B43:C44 E43:F44 B45:E61 F46:F64 B62:D64 B65:F66 B67 D67 F67:F68 B68:C68 B69:D70 B71:C71 B72:D72 B73:C76 B77:D80 B98:D99 E98:F100 B100:C100 B101:F116 B119:F561 B81:F97">
    <cfRule type="containsText" dxfId="444" priority="632" operator="containsText" text="Dlehard">
      <formula>NOT(ISERROR(SEARCH("Dlehard",B2)))</formula>
    </cfRule>
    <cfRule type="containsText" dxfId="443" priority="633" operator="containsText" text="Strix">
      <formula>NOT(ISERROR(SEARCH("Strix",B2)))</formula>
    </cfRule>
  </conditionalFormatting>
  <conditionalFormatting sqref="B2:F118">
    <cfRule type="containsText" dxfId="442" priority="70" operator="containsText" text="Asherzs">
      <formula>NOT(ISERROR(SEARCH("Asherzs",B2)))</formula>
    </cfRule>
    <cfRule type="containsText" dxfId="441" priority="71" operator="containsText" text="Killmer.LAT">
      <formula>NOT(ISERROR(SEARCH("Killmer.LAT",B2)))</formula>
    </cfRule>
    <cfRule type="containsText" dxfId="440" priority="72" operator="containsText" text="Pathos-val">
      <formula>NOT(ISERROR(SEARCH("Pathos-val",B2)))</formula>
    </cfRule>
    <cfRule type="containsText" dxfId="439" priority="73" operator="containsText" text="lostarkwhale">
      <formula>NOT(ISERROR(SEARCH("lostarkwhale",B2)))</formula>
    </cfRule>
    <cfRule type="containsText" dxfId="438" priority="74" operator="containsText" text="Nobetterdough">
      <formula>NOT(ISERROR(SEARCH("Nobetterdough",B2)))</formula>
    </cfRule>
    <cfRule type="containsText" dxfId="437" priority="75" operator="containsText" text="JoeHashish">
      <formula>NOT(ISERROR(SEARCH("JoeHashish",B2)))</formula>
    </cfRule>
    <cfRule type="containsText" dxfId="436" priority="76" operator="containsText" text="Kermitt.MB">
      <formula>NOT(ISERROR(SEARCH("Kermitt.MB",B2)))</formula>
    </cfRule>
    <cfRule type="containsText" dxfId="435" priority="77" operator="containsText" text="ThiccPie.OU">
      <formula>NOT(ISERROR(SEARCH("ThiccPie.OU",B2)))</formula>
    </cfRule>
    <cfRule type="containsText" dxfId="434" priority="78" operator="containsText" text="Strugg1er.">
      <formula>NOT(ISERROR(SEARCH("Strugg1er.",B2)))</formula>
    </cfRule>
    <cfRule type="containsText" dxfId="433" priority="79" operator="containsText" text="Coolrocket">
      <formula>NOT(ISERROR(SEARCH("Coolrocket",B2)))</formula>
    </cfRule>
    <cfRule type="containsText" dxfId="432" priority="81" operator="containsText" text="Fallen.Rqnger">
      <formula>NOT(ISERROR(SEARCH("Fallen.Rqnger",B2)))</formula>
    </cfRule>
    <cfRule type="containsText" dxfId="431" priority="690" operator="containsText" text="Boomer">
      <formula>NOT(ISERROR(SEARCH("Boomer",B2)))</formula>
    </cfRule>
  </conditionalFormatting>
  <conditionalFormatting sqref="B119:F119">
    <cfRule type="containsText" dxfId="430" priority="657" operator="containsText" text="Struggler">
      <formula>NOT(ISERROR(SEARCH("Struggler",B119)))</formula>
    </cfRule>
    <cfRule type="containsText" dxfId="429" priority="658" operator="containsText" text="Koyeetchi">
      <formula>NOT(ISERROR(SEARCH("Koyeetchi",B119)))</formula>
    </cfRule>
    <cfRule type="containsText" dxfId="428" priority="659" operator="containsText" text="Mauricio">
      <formula>NOT(ISERROR(SEARCH("Mauricio",B119)))</formula>
    </cfRule>
    <cfRule type="containsText" dxfId="427" priority="660" operator="containsText" text="Glonk">
      <formula>NOT(ISERROR(SEARCH("Glonk",B119)))</formula>
    </cfRule>
    <cfRule type="containsText" dxfId="426" priority="661" operator="containsText" text="Chris">
      <formula>NOT(ISERROR(SEARCH("Chris",B119)))</formula>
    </cfRule>
    <cfRule type="containsText" dxfId="425" priority="662" operator="containsText" text="Ranger">
      <formula>NOT(ISERROR(SEARCH("Ranger",B119)))</formula>
    </cfRule>
    <cfRule type="containsText" dxfId="424" priority="663" operator="containsText" text="Rat">
      <formula>NOT(ISERROR(SEARCH("Rat",B119)))</formula>
    </cfRule>
    <cfRule type="containsText" dxfId="423" priority="664" operator="containsText" text="Boomer">
      <formula>NOT(ISERROR(SEARCH("Boomer",B119)))</formula>
    </cfRule>
    <cfRule type="containsText" dxfId="422" priority="665" operator="containsText" text="Tim">
      <formula>NOT(ISERROR(SEARCH("Tim",B119)))</formula>
    </cfRule>
    <cfRule type="containsText" dxfId="421" priority="666" operator="containsText" text="Mason">
      <formula>NOT(ISERROR(SEARCH("Mason",B119)))</formula>
    </cfRule>
    <cfRule type="containsText" dxfId="420" priority="667" operator="containsText" text="Blade">
      <formula>NOT(ISERROR(SEARCH("Blade",B119)))</formula>
    </cfRule>
    <cfRule type="containsText" dxfId="419" priority="668" operator="containsText" text="Andrew">
      <formula>NOT(ISERROR(SEARCH("Andrew",B119)))</formula>
    </cfRule>
    <cfRule type="containsText" dxfId="418" priority="669" operator="containsText" text="Shyam">
      <formula>NOT(ISERROR(SEARCH("Shyam",B119)))</formula>
    </cfRule>
    <cfRule type="containsText" dxfId="417" priority="670" operator="containsText" text="IUseArch">
      <formula>NOT(ISERROR(SEARCH("IUseArch",B119)))</formula>
    </cfRule>
    <cfRule type="containsText" dxfId="416" priority="671" operator="containsText" text="Colonizer">
      <formula>NOT(ISERROR(SEARCH("Colonizer",B119)))</formula>
    </cfRule>
    <cfRule type="containsText" dxfId="415" priority="672" operator="containsText" text="Lappland">
      <formula>NOT(ISERROR(SEARCH("Lappland",B119)))</formula>
    </cfRule>
    <cfRule type="containsText" dxfId="414" priority="673" operator="containsText" text="Diehard">
      <formula>NOT(ISERROR(SEARCH("Diehard",B119)))</formula>
    </cfRule>
    <cfRule type="containsText" dxfId="413" priority="674" operator="containsText" text="Louis">
      <formula>NOT(ISERROR(SEARCH("Louis",B119)))</formula>
    </cfRule>
    <cfRule type="containsText" dxfId="412" priority="675" operator="containsText" text="Cortex">
      <formula>NOT(ISERROR(SEARCH("Cortex",B119)))</formula>
    </cfRule>
    <cfRule type="containsText" dxfId="411" priority="676" operator="containsText" text="Acceptable">
      <formula>NOT(ISERROR(SEARCH("Acceptable",B119)))</formula>
    </cfRule>
    <cfRule type="containsText" dxfId="410" priority="677" operator="containsText" text="Minimum">
      <formula>NOT(ISERROR(SEARCH("Minimum",B119)))</formula>
    </cfRule>
    <cfRule type="containsText" dxfId="409" priority="678" operator="containsText" text="_">
      <formula>NOT(ISERROR(SEARCH("_",B119)))</formula>
    </cfRule>
  </conditionalFormatting>
  <conditionalFormatting sqref="B119:F561 B1:F14 B15:E15 B16:F17 B18:E18 B19:F32 B33:E33 B34:F42 B43:C44 E43:F44 B45:E61 F46:F64 B62:D64 B65:F66 B67 D67 F67:F68 B68:C68 B69:D70 B71:C71 B72:D72 B73:C76 B77:D80 B98:D99 E98:F100 B100:C100 B101:F116 B81:F97">
    <cfRule type="containsText" dxfId="408" priority="683" operator="containsText" text="Struggler">
      <formula>NOT(ISERROR(SEARCH("Struggler",B1)))</formula>
    </cfRule>
  </conditionalFormatting>
  <conditionalFormatting sqref="B1:I1 B2:F14 B15:E15 B16:F17 B18:E18 B19:F32 B33:E33 B34:F42 B43:C44 E43:F44 B45:E45 B46:F61 B62:D64 F62:F64 B65:F66 B67 D67 F67:F68 B68:C68 B69:D70 B71:C71 B72:D72 B73:C76 B77:D80 B98:D99 E98:F100 B100:C100 B101:F116 B120:I566 F77:F80 B81:F97 F70:F75">
    <cfRule type="containsText" dxfId="407" priority="684" operator="containsText" text="Koyeetchi">
      <formula>NOT(ISERROR(SEARCH("Koyeetchi",B1)))</formula>
    </cfRule>
  </conditionalFormatting>
  <conditionalFormatting sqref="B1:I1 B2:F14 B15:E15 B16:F17 B18:E18 B19:F32 B33:E33 B34:F42 B43:C44 E43:F44 B45:E45 B46:F61 B62:D64 F62:F64 B65:F66 B67 D67 F67:F68 B68:C68 B69:D70 B71:C71 B72:D72 B73:C76 B77:D80 F77:F80 B98:D99 E98:F100 B100:C100 B101:F116 B120:I566 B81:F97 F70:F75">
    <cfRule type="containsText" dxfId="406" priority="685" operator="containsText" text="Mauricio">
      <formula>NOT(ISERROR(SEARCH("Mauricio",B1)))</formula>
    </cfRule>
    <cfRule type="containsText" dxfId="405" priority="686" operator="containsText" text="Glonk">
      <formula>NOT(ISERROR(SEARCH("Glonk",B1)))</formula>
    </cfRule>
    <cfRule type="containsText" dxfId="404" priority="687" operator="containsText" text="Chris">
      <formula>NOT(ISERROR(SEARCH("Chris",B1)))</formula>
    </cfRule>
    <cfRule type="containsText" dxfId="403" priority="688" operator="containsText" text="Ranger">
      <formula>NOT(ISERROR(SEARCH("Ranger",B1)))</formula>
    </cfRule>
    <cfRule type="containsText" dxfId="402" priority="689" operator="containsText" text="Rat">
      <formula>NOT(ISERROR(SEARCH("Rat",B1)))</formula>
    </cfRule>
    <cfRule type="containsText" dxfId="401" priority="692" operator="containsText" text="Mason">
      <formula>NOT(ISERROR(SEARCH("Mason",B1)))</formula>
    </cfRule>
    <cfRule type="containsText" dxfId="400" priority="693" operator="containsText" text="Blade">
      <formula>NOT(ISERROR(SEARCH("Blade",B1)))</formula>
    </cfRule>
    <cfRule type="containsText" dxfId="399" priority="694" operator="containsText" text="Andrew">
      <formula>NOT(ISERROR(SEARCH("Andrew",B1)))</formula>
    </cfRule>
    <cfRule type="containsText" dxfId="398" priority="695" operator="containsText" text="Shyam">
      <formula>NOT(ISERROR(SEARCH("Shyam",B1)))</formula>
    </cfRule>
    <cfRule type="containsText" dxfId="397" priority="696" operator="containsText" text="IUseArch">
      <formula>NOT(ISERROR(SEARCH("IUseArch",B1)))</formula>
    </cfRule>
    <cfRule type="containsText" dxfId="396" priority="697" operator="containsText" text="Colonizer">
      <formula>NOT(ISERROR(SEARCH("Colonizer",B1)))</formula>
    </cfRule>
    <cfRule type="containsText" dxfId="395" priority="698" operator="containsText" text="Lappland">
      <formula>NOT(ISERROR(SEARCH("Lappland",B1)))</formula>
    </cfRule>
    <cfRule type="containsText" dxfId="394" priority="699" operator="containsText" text="Diehard">
      <formula>NOT(ISERROR(SEARCH("Diehard",B1)))</formula>
    </cfRule>
    <cfRule type="containsText" dxfId="393" priority="700" operator="containsText" text="Louis">
      <formula>NOT(ISERROR(SEARCH("Louis",B1)))</formula>
    </cfRule>
    <cfRule type="containsText" dxfId="392" priority="710" operator="containsText" text="Cortex">
      <formula>NOT(ISERROR(SEARCH("Cortex",B1)))</formula>
    </cfRule>
    <cfRule type="containsText" dxfId="391" priority="715" operator="containsText" text="Acceptable">
      <formula>NOT(ISERROR(SEARCH("Acceptable",B1)))</formula>
    </cfRule>
    <cfRule type="containsText" dxfId="390" priority="716" operator="containsText" text="Minimum">
      <formula>NOT(ISERROR(SEARCH("Minimum",B1)))</formula>
    </cfRule>
    <cfRule type="containsText" dxfId="389" priority="717" operator="containsText" text="_">
      <formula>NOT(ISERROR(SEARCH("_",B1)))</formula>
    </cfRule>
  </conditionalFormatting>
  <conditionalFormatting sqref="B2:L118">
    <cfRule type="containsText" dxfId="388" priority="82" operator="containsText" text="PincheConcha">
      <formula>NOT(ISERROR(SEARCH("PincheConcha",B2)))</formula>
    </cfRule>
    <cfRule type="containsText" dxfId="387" priority="83" operator="containsText" text="Chromius.TAMU">
      <formula>NOT(ISERROR(SEARCH("Chromius.TAMU",B2)))</formula>
    </cfRule>
    <cfRule type="containsText" dxfId="386" priority="232" operator="containsText" text="Galahad21588">
      <formula>NOT(ISERROR(SEARCH("Galahad21588",B2)))</formula>
    </cfRule>
  </conditionalFormatting>
  <conditionalFormatting sqref="C16:C19">
    <cfRule type="containsText" dxfId="385" priority="714" operator="containsText" text="_">
      <formula>NOT(ISERROR(SEARCH("_",C16)))</formula>
    </cfRule>
  </conditionalFormatting>
  <conditionalFormatting sqref="C67">
    <cfRule type="containsText" dxfId="384" priority="348" operator="containsText" text="Struggler">
      <formula>NOT(ISERROR(SEARCH("Struggler",C67)))</formula>
    </cfRule>
    <cfRule type="containsText" dxfId="383" priority="349" operator="containsText" text="Koyeetchi">
      <formula>NOT(ISERROR(SEARCH("Koyeetchi",C67)))</formula>
    </cfRule>
    <cfRule type="containsText" dxfId="382" priority="350" operator="containsText" text="Mauricio">
      <formula>NOT(ISERROR(SEARCH("Mauricio",C67)))</formula>
    </cfRule>
    <cfRule type="containsText" dxfId="381" priority="351" operator="containsText" text="Glonk">
      <formula>NOT(ISERROR(SEARCH("Glonk",C67)))</formula>
    </cfRule>
    <cfRule type="containsText" dxfId="380" priority="352" operator="containsText" text="Chris">
      <formula>NOT(ISERROR(SEARCH("Chris",C67)))</formula>
    </cfRule>
    <cfRule type="containsText" dxfId="379" priority="353" operator="containsText" text="Ranger">
      <formula>NOT(ISERROR(SEARCH("Ranger",C67)))</formula>
    </cfRule>
    <cfRule type="containsText" dxfId="378" priority="354" operator="containsText" text="Rat">
      <formula>NOT(ISERROR(SEARCH("Rat",C67)))</formula>
    </cfRule>
    <cfRule type="containsText" dxfId="377" priority="355" operator="containsText" text="Boomer">
      <formula>NOT(ISERROR(SEARCH("Boomer",C67)))</formula>
    </cfRule>
    <cfRule type="containsText" dxfId="376" priority="356" operator="containsText" text="Tim">
      <formula>NOT(ISERROR(SEARCH("Tim",C67)))</formula>
    </cfRule>
    <cfRule type="containsText" dxfId="375" priority="357" operator="containsText" text="Mason">
      <formula>NOT(ISERROR(SEARCH("Mason",C67)))</formula>
    </cfRule>
    <cfRule type="containsText" dxfId="374" priority="358" operator="containsText" text="Blade">
      <formula>NOT(ISERROR(SEARCH("Blade",C67)))</formula>
    </cfRule>
    <cfRule type="containsText" dxfId="373" priority="359" operator="containsText" text="Andrew">
      <formula>NOT(ISERROR(SEARCH("Andrew",C67)))</formula>
    </cfRule>
    <cfRule type="containsText" dxfId="372" priority="360" operator="containsText" text="Shyam">
      <formula>NOT(ISERROR(SEARCH("Shyam",C67)))</formula>
    </cfRule>
    <cfRule type="containsText" dxfId="371" priority="361" operator="containsText" text="IUseArch">
      <formula>NOT(ISERROR(SEARCH("IUseArch",C67)))</formula>
    </cfRule>
    <cfRule type="containsText" dxfId="370" priority="362" operator="containsText" text="Colonizer">
      <formula>NOT(ISERROR(SEARCH("Colonizer",C67)))</formula>
    </cfRule>
    <cfRule type="containsText" dxfId="369" priority="363" operator="containsText" text="Lappland">
      <formula>NOT(ISERROR(SEARCH("Lappland",C67)))</formula>
    </cfRule>
    <cfRule type="containsText" dxfId="368" priority="364" operator="containsText" text="Diehard">
      <formula>NOT(ISERROR(SEARCH("Diehard",C67)))</formula>
    </cfRule>
    <cfRule type="containsText" dxfId="367" priority="365" operator="containsText" text="Louis">
      <formula>NOT(ISERROR(SEARCH("Louis",C67)))</formula>
    </cfRule>
    <cfRule type="containsText" dxfId="366" priority="366" operator="containsText" text="Cortex">
      <formula>NOT(ISERROR(SEARCH("Cortex",C67)))</formula>
    </cfRule>
    <cfRule type="containsText" dxfId="365" priority="367" operator="containsText" text="Acceptable">
      <formula>NOT(ISERROR(SEARCH("Acceptable",C67)))</formula>
    </cfRule>
    <cfRule type="containsText" dxfId="364" priority="368" operator="containsText" text="Minimum">
      <formula>NOT(ISERROR(SEARCH("Minimum",C67)))</formula>
    </cfRule>
    <cfRule type="containsText" dxfId="363" priority="369" operator="containsText" text="_">
      <formula>NOT(ISERROR(SEARCH("_",C67)))</formula>
    </cfRule>
  </conditionalFormatting>
  <conditionalFormatting sqref="D43:D44">
    <cfRule type="containsText" dxfId="362" priority="370" operator="containsText" text="Struggler">
      <formula>NOT(ISERROR(SEARCH("Struggler",D43)))</formula>
    </cfRule>
    <cfRule type="containsText" dxfId="361" priority="371" operator="containsText" text="Koyeetchi">
      <formula>NOT(ISERROR(SEARCH("Koyeetchi",D43)))</formula>
    </cfRule>
    <cfRule type="containsText" dxfId="360" priority="372" operator="containsText" text="Mauricio">
      <formula>NOT(ISERROR(SEARCH("Mauricio",D43)))</formula>
    </cfRule>
    <cfRule type="containsText" dxfId="359" priority="373" operator="containsText" text="Glonk">
      <formula>NOT(ISERROR(SEARCH("Glonk",D43)))</formula>
    </cfRule>
    <cfRule type="containsText" dxfId="358" priority="374" operator="containsText" text="Chris">
      <formula>NOT(ISERROR(SEARCH("Chris",D43)))</formula>
    </cfRule>
    <cfRule type="containsText" dxfId="357" priority="375" operator="containsText" text="Ranger">
      <formula>NOT(ISERROR(SEARCH("Ranger",D43)))</formula>
    </cfRule>
    <cfRule type="containsText" dxfId="356" priority="376" operator="containsText" text="Rat">
      <formula>NOT(ISERROR(SEARCH("Rat",D43)))</formula>
    </cfRule>
    <cfRule type="containsText" dxfId="355" priority="377" operator="containsText" text="Boomer">
      <formula>NOT(ISERROR(SEARCH("Boomer",D43)))</formula>
    </cfRule>
    <cfRule type="containsText" dxfId="354" priority="378" operator="containsText" text="Tim">
      <formula>NOT(ISERROR(SEARCH("Tim",D43)))</formula>
    </cfRule>
    <cfRule type="containsText" dxfId="353" priority="379" operator="containsText" text="Mason">
      <formula>NOT(ISERROR(SEARCH("Mason",D43)))</formula>
    </cfRule>
    <cfRule type="containsText" dxfId="352" priority="380" operator="containsText" text="Blade">
      <formula>NOT(ISERROR(SEARCH("Blade",D43)))</formula>
    </cfRule>
    <cfRule type="containsText" dxfId="351" priority="381" operator="containsText" text="Andrew">
      <formula>NOT(ISERROR(SEARCH("Andrew",D43)))</formula>
    </cfRule>
    <cfRule type="containsText" dxfId="350" priority="382" operator="containsText" text="Shyam">
      <formula>NOT(ISERROR(SEARCH("Shyam",D43)))</formula>
    </cfRule>
    <cfRule type="containsText" dxfId="349" priority="383" operator="containsText" text="IUseArch">
      <formula>NOT(ISERROR(SEARCH("IUseArch",D43)))</formula>
    </cfRule>
    <cfRule type="containsText" dxfId="348" priority="384" operator="containsText" text="Colonizer">
      <formula>NOT(ISERROR(SEARCH("Colonizer",D43)))</formula>
    </cfRule>
    <cfRule type="containsText" dxfId="347" priority="385" operator="containsText" text="Lappland">
      <formula>NOT(ISERROR(SEARCH("Lappland",D43)))</formula>
    </cfRule>
    <cfRule type="containsText" dxfId="346" priority="386" operator="containsText" text="Diehard">
      <formula>NOT(ISERROR(SEARCH("Diehard",D43)))</formula>
    </cfRule>
    <cfRule type="containsText" dxfId="345" priority="387" operator="containsText" text="Louis">
      <formula>NOT(ISERROR(SEARCH("Louis",D43)))</formula>
    </cfRule>
    <cfRule type="containsText" dxfId="344" priority="388" operator="containsText" text="Cortex">
      <formula>NOT(ISERROR(SEARCH("Cortex",D43)))</formula>
    </cfRule>
    <cfRule type="containsText" dxfId="343" priority="389" operator="containsText" text="Acceptable">
      <formula>NOT(ISERROR(SEARCH("Acceptable",D43)))</formula>
    </cfRule>
    <cfRule type="containsText" dxfId="342" priority="390" operator="containsText" text="Minimum">
      <formula>NOT(ISERROR(SEARCH("Minimum",D43)))</formula>
    </cfRule>
    <cfRule type="containsText" dxfId="341" priority="391" operator="containsText" text="_">
      <formula>NOT(ISERROR(SEARCH("_",D43)))</formula>
    </cfRule>
  </conditionalFormatting>
  <conditionalFormatting sqref="D68">
    <cfRule type="containsText" dxfId="340" priority="326" operator="containsText" text="Struggler">
      <formula>NOT(ISERROR(SEARCH("Struggler",D68)))</formula>
    </cfRule>
    <cfRule type="containsText" dxfId="339" priority="327" operator="containsText" text="Koyeetchi">
      <formula>NOT(ISERROR(SEARCH("Koyeetchi",D68)))</formula>
    </cfRule>
    <cfRule type="containsText" dxfId="338" priority="328" operator="containsText" text="Mauricio">
      <formula>NOT(ISERROR(SEARCH("Mauricio",D68)))</formula>
    </cfRule>
    <cfRule type="containsText" dxfId="337" priority="329" operator="containsText" text="Glonk">
      <formula>NOT(ISERROR(SEARCH("Glonk",D68)))</formula>
    </cfRule>
    <cfRule type="containsText" dxfId="336" priority="330" operator="containsText" text="Chris">
      <formula>NOT(ISERROR(SEARCH("Chris",D68)))</formula>
    </cfRule>
    <cfRule type="containsText" dxfId="335" priority="331" operator="containsText" text="Ranger">
      <formula>NOT(ISERROR(SEARCH("Ranger",D68)))</formula>
    </cfRule>
    <cfRule type="containsText" dxfId="334" priority="332" operator="containsText" text="Rat">
      <formula>NOT(ISERROR(SEARCH("Rat",D68)))</formula>
    </cfRule>
    <cfRule type="containsText" dxfId="333" priority="333" operator="containsText" text="Boomer">
      <formula>NOT(ISERROR(SEARCH("Boomer",D68)))</formula>
    </cfRule>
    <cfRule type="containsText" dxfId="332" priority="334" operator="containsText" text="Tim">
      <formula>NOT(ISERROR(SEARCH("Tim",D68)))</formula>
    </cfRule>
    <cfRule type="containsText" dxfId="331" priority="335" operator="containsText" text="Mason">
      <formula>NOT(ISERROR(SEARCH("Mason",D68)))</formula>
    </cfRule>
    <cfRule type="containsText" dxfId="330" priority="336" operator="containsText" text="Blade">
      <formula>NOT(ISERROR(SEARCH("Blade",D68)))</formula>
    </cfRule>
    <cfRule type="containsText" dxfId="329" priority="337" operator="containsText" text="Andrew">
      <formula>NOT(ISERROR(SEARCH("Andrew",D68)))</formula>
    </cfRule>
    <cfRule type="containsText" dxfId="328" priority="338" operator="containsText" text="Shyam">
      <formula>NOT(ISERROR(SEARCH("Shyam",D68)))</formula>
    </cfRule>
    <cfRule type="containsText" dxfId="327" priority="339" operator="containsText" text="IUseArch">
      <formula>NOT(ISERROR(SEARCH("IUseArch",D68)))</formula>
    </cfRule>
    <cfRule type="containsText" dxfId="326" priority="340" operator="containsText" text="Colonizer">
      <formula>NOT(ISERROR(SEARCH("Colonizer",D68)))</formula>
    </cfRule>
    <cfRule type="containsText" dxfId="325" priority="341" operator="containsText" text="Lappland">
      <formula>NOT(ISERROR(SEARCH("Lappland",D68)))</formula>
    </cfRule>
    <cfRule type="containsText" dxfId="324" priority="342" operator="containsText" text="Diehard">
      <formula>NOT(ISERROR(SEARCH("Diehard",D68)))</formula>
    </cfRule>
    <cfRule type="containsText" dxfId="323" priority="343" operator="containsText" text="Louis">
      <formula>NOT(ISERROR(SEARCH("Louis",D68)))</formula>
    </cfRule>
    <cfRule type="containsText" dxfId="322" priority="344" operator="containsText" text="Cortex">
      <formula>NOT(ISERROR(SEARCH("Cortex",D68)))</formula>
    </cfRule>
    <cfRule type="containsText" dxfId="321" priority="345" operator="containsText" text="Acceptable">
      <formula>NOT(ISERROR(SEARCH("Acceptable",D68)))</formula>
    </cfRule>
    <cfRule type="containsText" dxfId="320" priority="346" operator="containsText" text="Minimum">
      <formula>NOT(ISERROR(SEARCH("Minimum",D68)))</formula>
    </cfRule>
    <cfRule type="containsText" dxfId="319" priority="347" operator="containsText" text="_">
      <formula>NOT(ISERROR(SEARCH("_",D68)))</formula>
    </cfRule>
  </conditionalFormatting>
  <conditionalFormatting sqref="D71 E67:E72">
    <cfRule type="containsText" dxfId="318" priority="536" operator="containsText" text="Dlehard">
      <formula>NOT(ISERROR(SEARCH("Dlehard",D67)))</formula>
    </cfRule>
    <cfRule type="containsText" dxfId="317" priority="537" operator="containsText" text="Strix">
      <formula>NOT(ISERROR(SEARCH("Strix",D67)))</formula>
    </cfRule>
    <cfRule type="containsText" dxfId="316" priority="538" operator="containsText" text="Struggler">
      <formula>NOT(ISERROR(SEARCH("Struggler",D67)))</formula>
    </cfRule>
    <cfRule type="containsText" dxfId="315" priority="539" operator="containsText" text="Koyeetchi">
      <formula>NOT(ISERROR(SEARCH("Koyeetchi",D67)))</formula>
    </cfRule>
    <cfRule type="containsText" dxfId="314" priority="540" operator="containsText" text="Mauricio">
      <formula>NOT(ISERROR(SEARCH("Mauricio",D67)))</formula>
    </cfRule>
    <cfRule type="containsText" dxfId="313" priority="541" operator="containsText" text="Glonk">
      <formula>NOT(ISERROR(SEARCH("Glonk",D67)))</formula>
    </cfRule>
    <cfRule type="containsText" dxfId="312" priority="542" operator="containsText" text="Chris">
      <formula>NOT(ISERROR(SEARCH("Chris",D67)))</formula>
    </cfRule>
    <cfRule type="containsText" dxfId="311" priority="543" operator="containsText" text="Ranger">
      <formula>NOT(ISERROR(SEARCH("Ranger",D67)))</formula>
    </cfRule>
    <cfRule type="containsText" dxfId="310" priority="544" operator="containsText" text="Rat">
      <formula>NOT(ISERROR(SEARCH("Rat",D67)))</formula>
    </cfRule>
    <cfRule type="containsText" dxfId="309" priority="545" operator="containsText" text="Boomer">
      <formula>NOT(ISERROR(SEARCH("Boomer",D67)))</formula>
    </cfRule>
    <cfRule type="containsText" dxfId="308" priority="546" operator="containsText" text="Tim">
      <formula>NOT(ISERROR(SEARCH("Tim",D67)))</formula>
    </cfRule>
    <cfRule type="containsText" dxfId="307" priority="547" operator="containsText" text="Mason">
      <formula>NOT(ISERROR(SEARCH("Mason",D67)))</formula>
    </cfRule>
    <cfRule type="containsText" dxfId="306" priority="548" operator="containsText" text="Blade">
      <formula>NOT(ISERROR(SEARCH("Blade",D67)))</formula>
    </cfRule>
    <cfRule type="containsText" dxfId="305" priority="549" operator="containsText" text="Andrew">
      <formula>NOT(ISERROR(SEARCH("Andrew",D67)))</formula>
    </cfRule>
    <cfRule type="containsText" dxfId="304" priority="550" operator="containsText" text="Shyam">
      <formula>NOT(ISERROR(SEARCH("Shyam",D67)))</formula>
    </cfRule>
    <cfRule type="containsText" dxfId="303" priority="551" operator="containsText" text="IUseArch">
      <formula>NOT(ISERROR(SEARCH("IUseArch",D67)))</formula>
    </cfRule>
    <cfRule type="containsText" dxfId="302" priority="552" operator="containsText" text="Colonizer">
      <formula>NOT(ISERROR(SEARCH("Colonizer",D67)))</formula>
    </cfRule>
    <cfRule type="containsText" dxfId="301" priority="553" operator="containsText" text="Lappland">
      <formula>NOT(ISERROR(SEARCH("Lappland",D67)))</formula>
    </cfRule>
    <cfRule type="containsText" dxfId="300" priority="554" operator="containsText" text="Diehard">
      <formula>NOT(ISERROR(SEARCH("Diehard",D67)))</formula>
    </cfRule>
    <cfRule type="containsText" dxfId="299" priority="555" operator="containsText" text="Louis">
      <formula>NOT(ISERROR(SEARCH("Louis",D67)))</formula>
    </cfRule>
    <cfRule type="containsText" dxfId="298" priority="556" operator="containsText" text="Cortex">
      <formula>NOT(ISERROR(SEARCH("Cortex",D67)))</formula>
    </cfRule>
    <cfRule type="containsText" dxfId="297" priority="557" operator="containsText" text="Acceptable">
      <formula>NOT(ISERROR(SEARCH("Acceptable",D67)))</formula>
    </cfRule>
    <cfRule type="containsText" dxfId="296" priority="558" operator="containsText" text="Minimum">
      <formula>NOT(ISERROR(SEARCH("Minimum",D67)))</formula>
    </cfRule>
    <cfRule type="containsText" dxfId="295" priority="559" operator="containsText" text="_">
      <formula>NOT(ISERROR(SEARCH("_",D67)))</formula>
    </cfRule>
  </conditionalFormatting>
  <conditionalFormatting sqref="D100">
    <cfRule type="containsText" dxfId="294" priority="84" operator="containsText" text="Dlehard">
      <formula>NOT(ISERROR(SEARCH("Dlehard",D100)))</formula>
    </cfRule>
    <cfRule type="containsText" dxfId="293" priority="257" operator="containsText" text="Dlehard">
      <formula>NOT(ISERROR(SEARCH("Dlehard",D100)))</formula>
    </cfRule>
    <cfRule type="containsText" dxfId="292" priority="258" operator="containsText" text="Strix">
      <formula>NOT(ISERROR(SEARCH("Strix",D100)))</formula>
    </cfRule>
    <cfRule type="containsText" dxfId="291" priority="259" operator="containsText" text="Struggler">
      <formula>NOT(ISERROR(SEARCH("Struggler",D100)))</formula>
    </cfRule>
    <cfRule type="containsText" dxfId="290" priority="260" operator="containsText" text="Koyeetchi">
      <formula>NOT(ISERROR(SEARCH("Koyeetchi",D100)))</formula>
    </cfRule>
    <cfRule type="containsText" dxfId="289" priority="261" operator="containsText" text="Mauricio">
      <formula>NOT(ISERROR(SEARCH("Mauricio",D100)))</formula>
    </cfRule>
    <cfRule type="containsText" dxfId="288" priority="262" operator="containsText" text="Glonk">
      <formula>NOT(ISERROR(SEARCH("Glonk",D100)))</formula>
    </cfRule>
    <cfRule type="containsText" dxfId="287" priority="263" operator="containsText" text="Chris">
      <formula>NOT(ISERROR(SEARCH("Chris",D100)))</formula>
    </cfRule>
    <cfRule type="containsText" dxfId="286" priority="264" operator="containsText" text="Ranger">
      <formula>NOT(ISERROR(SEARCH("Ranger",D100)))</formula>
    </cfRule>
    <cfRule type="containsText" dxfId="285" priority="265" operator="containsText" text="Rat">
      <formula>NOT(ISERROR(SEARCH("Rat",D100)))</formula>
    </cfRule>
    <cfRule type="containsText" dxfId="284" priority="266" operator="containsText" text="Boomer">
      <formula>NOT(ISERROR(SEARCH("Boomer",D100)))</formula>
    </cfRule>
    <cfRule type="containsText" dxfId="283" priority="267" operator="containsText" text="Tim">
      <formula>NOT(ISERROR(SEARCH("Tim",D100)))</formula>
    </cfRule>
    <cfRule type="containsText" dxfId="282" priority="268" operator="containsText" text="Mason">
      <formula>NOT(ISERROR(SEARCH("Mason",D100)))</formula>
    </cfRule>
    <cfRule type="containsText" dxfId="281" priority="269" operator="containsText" text="Blade">
      <formula>NOT(ISERROR(SEARCH("Blade",D100)))</formula>
    </cfRule>
    <cfRule type="containsText" dxfId="280" priority="270" operator="containsText" text="Andrew">
      <formula>NOT(ISERROR(SEARCH("Andrew",D100)))</formula>
    </cfRule>
    <cfRule type="containsText" dxfId="279" priority="271" operator="containsText" text="Shyam">
      <formula>NOT(ISERROR(SEARCH("Shyam",D100)))</formula>
    </cfRule>
    <cfRule type="containsText" dxfId="278" priority="272" operator="containsText" text="IUseArch">
      <formula>NOT(ISERROR(SEARCH("IUseArch",D100)))</formula>
    </cfRule>
    <cfRule type="containsText" dxfId="277" priority="273" operator="containsText" text="Colonizer">
      <formula>NOT(ISERROR(SEARCH("Colonizer",D100)))</formula>
    </cfRule>
    <cfRule type="containsText" dxfId="276" priority="274" operator="containsText" text="Lappland">
      <formula>NOT(ISERROR(SEARCH("Lappland",D100)))</formula>
    </cfRule>
    <cfRule type="containsText" dxfId="275" priority="275" operator="containsText" text="Diehard">
      <formula>NOT(ISERROR(SEARCH("Diehard",D100)))</formula>
    </cfRule>
    <cfRule type="containsText" dxfId="274" priority="276" operator="containsText" text="Louis">
      <formula>NOT(ISERROR(SEARCH("Louis",D100)))</formula>
    </cfRule>
    <cfRule type="containsText" dxfId="273" priority="277" operator="containsText" text="Cortex">
      <formula>NOT(ISERROR(SEARCH("Cortex",D100)))</formula>
    </cfRule>
    <cfRule type="containsText" dxfId="272" priority="278" operator="containsText" text="Acceptable">
      <formula>NOT(ISERROR(SEARCH("Acceptable",D100)))</formula>
    </cfRule>
    <cfRule type="containsText" dxfId="271" priority="279" operator="containsText" text="Minimum">
      <formula>NOT(ISERROR(SEARCH("Minimum",D100)))</formula>
    </cfRule>
    <cfRule type="containsText" dxfId="270" priority="280" operator="containsText" text="_">
      <formula>NOT(ISERROR(SEARCH("_",D100)))</formula>
    </cfRule>
  </conditionalFormatting>
  <conditionalFormatting sqref="D73:E76">
    <cfRule type="containsText" dxfId="269" priority="392" operator="containsText" text="Dlehard">
      <formula>NOT(ISERROR(SEARCH("Dlehard",D73)))</formula>
    </cfRule>
    <cfRule type="containsText" dxfId="268" priority="393" operator="containsText" text="Strix">
      <formula>NOT(ISERROR(SEARCH("Strix",D73)))</formula>
    </cfRule>
    <cfRule type="containsText" dxfId="267" priority="394" operator="containsText" text="Struggler">
      <formula>NOT(ISERROR(SEARCH("Struggler",D73)))</formula>
    </cfRule>
    <cfRule type="containsText" dxfId="266" priority="395" operator="containsText" text="Koyeetchi">
      <formula>NOT(ISERROR(SEARCH("Koyeetchi",D73)))</formula>
    </cfRule>
    <cfRule type="containsText" dxfId="265" priority="396" operator="containsText" text="Mauricio">
      <formula>NOT(ISERROR(SEARCH("Mauricio",D73)))</formula>
    </cfRule>
    <cfRule type="containsText" dxfId="264" priority="397" operator="containsText" text="Glonk">
      <formula>NOT(ISERROR(SEARCH("Glonk",D73)))</formula>
    </cfRule>
    <cfRule type="containsText" dxfId="263" priority="398" operator="containsText" text="Chris">
      <formula>NOT(ISERROR(SEARCH("Chris",D73)))</formula>
    </cfRule>
    <cfRule type="containsText" dxfId="262" priority="399" operator="containsText" text="Ranger">
      <formula>NOT(ISERROR(SEARCH("Ranger",D73)))</formula>
    </cfRule>
    <cfRule type="containsText" dxfId="261" priority="400" operator="containsText" text="Rat">
      <formula>NOT(ISERROR(SEARCH("Rat",D73)))</formula>
    </cfRule>
    <cfRule type="containsText" dxfId="260" priority="401" operator="containsText" text="Boomer">
      <formula>NOT(ISERROR(SEARCH("Boomer",D73)))</formula>
    </cfRule>
    <cfRule type="containsText" dxfId="259" priority="402" operator="containsText" text="Tim">
      <formula>NOT(ISERROR(SEARCH("Tim",D73)))</formula>
    </cfRule>
    <cfRule type="containsText" dxfId="258" priority="403" operator="containsText" text="Mason">
      <formula>NOT(ISERROR(SEARCH("Mason",D73)))</formula>
    </cfRule>
    <cfRule type="containsText" dxfId="257" priority="404" operator="containsText" text="Blade">
      <formula>NOT(ISERROR(SEARCH("Blade",D73)))</formula>
    </cfRule>
    <cfRule type="containsText" dxfId="256" priority="405" operator="containsText" text="Andrew">
      <formula>NOT(ISERROR(SEARCH("Andrew",D73)))</formula>
    </cfRule>
    <cfRule type="containsText" dxfId="255" priority="406" operator="containsText" text="Shyam">
      <formula>NOT(ISERROR(SEARCH("Shyam",D73)))</formula>
    </cfRule>
    <cfRule type="containsText" dxfId="254" priority="407" operator="containsText" text="IUseArch">
      <formula>NOT(ISERROR(SEARCH("IUseArch",D73)))</formula>
    </cfRule>
    <cfRule type="containsText" dxfId="253" priority="408" operator="containsText" text="Colonizer">
      <formula>NOT(ISERROR(SEARCH("Colonizer",D73)))</formula>
    </cfRule>
    <cfRule type="containsText" dxfId="252" priority="409" operator="containsText" text="Lappland">
      <formula>NOT(ISERROR(SEARCH("Lappland",D73)))</formula>
    </cfRule>
    <cfRule type="containsText" dxfId="251" priority="410" operator="containsText" text="Diehard">
      <formula>NOT(ISERROR(SEARCH("Diehard",D73)))</formula>
    </cfRule>
    <cfRule type="containsText" dxfId="250" priority="411" operator="containsText" text="Louis">
      <formula>NOT(ISERROR(SEARCH("Louis",D73)))</formula>
    </cfRule>
    <cfRule type="containsText" dxfId="249" priority="412" operator="containsText" text="Cortex">
      <formula>NOT(ISERROR(SEARCH("Cortex",D73)))</formula>
    </cfRule>
    <cfRule type="containsText" dxfId="248" priority="413" operator="containsText" text="Acceptable">
      <formula>NOT(ISERROR(SEARCH("Acceptable",D73)))</formula>
    </cfRule>
    <cfRule type="containsText" dxfId="247" priority="414" operator="containsText" text="Minimum">
      <formula>NOT(ISERROR(SEARCH("Minimum",D73)))</formula>
    </cfRule>
    <cfRule type="containsText" dxfId="246" priority="415" operator="containsText" text="_">
      <formula>NOT(ISERROR(SEARCH("_",D73)))</formula>
    </cfRule>
  </conditionalFormatting>
  <conditionalFormatting sqref="E62:E64 E77:E80">
    <cfRule type="containsText" dxfId="245" priority="584" operator="containsText" text="Dlehard">
      <formula>NOT(ISERROR(SEARCH("Dlehard",E62)))</formula>
    </cfRule>
    <cfRule type="containsText" dxfId="244" priority="585" operator="containsText" text="Strix">
      <formula>NOT(ISERROR(SEARCH("Strix",E62)))</formula>
    </cfRule>
    <cfRule type="containsText" dxfId="243" priority="586" operator="containsText" text="Struggler">
      <formula>NOT(ISERROR(SEARCH("Struggler",E62)))</formula>
    </cfRule>
    <cfRule type="containsText" dxfId="242" priority="587" operator="containsText" text="Koyeetchi">
      <formula>NOT(ISERROR(SEARCH("Koyeetchi",E62)))</formula>
    </cfRule>
    <cfRule type="containsText" dxfId="241" priority="588" operator="containsText" text="Mauricio">
      <formula>NOT(ISERROR(SEARCH("Mauricio",E62)))</formula>
    </cfRule>
    <cfRule type="containsText" dxfId="240" priority="589" operator="containsText" text="Glonk">
      <formula>NOT(ISERROR(SEARCH("Glonk",E62)))</formula>
    </cfRule>
    <cfRule type="containsText" dxfId="239" priority="590" operator="containsText" text="Chris">
      <formula>NOT(ISERROR(SEARCH("Chris",E62)))</formula>
    </cfRule>
    <cfRule type="containsText" dxfId="238" priority="591" operator="containsText" text="Ranger">
      <formula>NOT(ISERROR(SEARCH("Ranger",E62)))</formula>
    </cfRule>
    <cfRule type="containsText" dxfId="237" priority="592" operator="containsText" text="Rat">
      <formula>NOT(ISERROR(SEARCH("Rat",E62)))</formula>
    </cfRule>
    <cfRule type="containsText" dxfId="236" priority="593" operator="containsText" text="Boomer">
      <formula>NOT(ISERROR(SEARCH("Boomer",E62)))</formula>
    </cfRule>
    <cfRule type="containsText" dxfId="235" priority="594" operator="containsText" text="Tim">
      <formula>NOT(ISERROR(SEARCH("Tim",E62)))</formula>
    </cfRule>
    <cfRule type="containsText" dxfId="234" priority="595" operator="containsText" text="Mason">
      <formula>NOT(ISERROR(SEARCH("Mason",E62)))</formula>
    </cfRule>
    <cfRule type="containsText" dxfId="233" priority="596" operator="containsText" text="Blade">
      <formula>NOT(ISERROR(SEARCH("Blade",E62)))</formula>
    </cfRule>
    <cfRule type="containsText" dxfId="232" priority="597" operator="containsText" text="Andrew">
      <formula>NOT(ISERROR(SEARCH("Andrew",E62)))</formula>
    </cfRule>
    <cfRule type="containsText" dxfId="231" priority="598" operator="containsText" text="Shyam">
      <formula>NOT(ISERROR(SEARCH("Shyam",E62)))</formula>
    </cfRule>
    <cfRule type="containsText" dxfId="230" priority="599" operator="containsText" text="IUseArch">
      <formula>NOT(ISERROR(SEARCH("IUseArch",E62)))</formula>
    </cfRule>
    <cfRule type="containsText" dxfId="229" priority="600" operator="containsText" text="Colonizer">
      <formula>NOT(ISERROR(SEARCH("Colonizer",E62)))</formula>
    </cfRule>
    <cfRule type="containsText" dxfId="228" priority="601" operator="containsText" text="Lappland">
      <formula>NOT(ISERROR(SEARCH("Lappland",E62)))</formula>
    </cfRule>
    <cfRule type="containsText" dxfId="227" priority="602" operator="containsText" text="Diehard">
      <formula>NOT(ISERROR(SEARCH("Diehard",E62)))</formula>
    </cfRule>
    <cfRule type="containsText" dxfId="226" priority="603" operator="containsText" text="Louis">
      <formula>NOT(ISERROR(SEARCH("Louis",E62)))</formula>
    </cfRule>
    <cfRule type="containsText" dxfId="225" priority="604" operator="containsText" text="Cortex">
      <formula>NOT(ISERROR(SEARCH("Cortex",E62)))</formula>
    </cfRule>
    <cfRule type="containsText" dxfId="224" priority="605" operator="containsText" text="Acceptable">
      <formula>NOT(ISERROR(SEARCH("Acceptable",E62)))</formula>
    </cfRule>
    <cfRule type="containsText" dxfId="223" priority="606" operator="containsText" text="Minimum">
      <formula>NOT(ISERROR(SEARCH("Minimum",E62)))</formula>
    </cfRule>
    <cfRule type="containsText" dxfId="222" priority="607" operator="containsText" text="_">
      <formula>NOT(ISERROR(SEARCH("_",E62)))</formula>
    </cfRule>
  </conditionalFormatting>
  <conditionalFormatting sqref="F70:F80">
    <cfRule type="containsText" dxfId="221" priority="464" operator="containsText" text="Dlehard">
      <formula>NOT(ISERROR(SEARCH("Dlehard",F70)))</formula>
    </cfRule>
    <cfRule type="containsText" dxfId="220" priority="465" operator="containsText" text="Strix">
      <formula>NOT(ISERROR(SEARCH("Strix",F70)))</formula>
    </cfRule>
    <cfRule type="containsText" dxfId="219" priority="466" operator="containsText" text="Struggler">
      <formula>NOT(ISERROR(SEARCH("Struggler",F70)))</formula>
    </cfRule>
  </conditionalFormatting>
  <conditionalFormatting sqref="F76">
    <cfRule type="containsText" dxfId="218" priority="467" operator="containsText" text="Koyeetchi">
      <formula>NOT(ISERROR(SEARCH("Koyeetchi",F76)))</formula>
    </cfRule>
    <cfRule type="containsText" dxfId="217" priority="468" operator="containsText" text="Mauricio">
      <formula>NOT(ISERROR(SEARCH("Mauricio",F76)))</formula>
    </cfRule>
    <cfRule type="containsText" dxfId="216" priority="469" operator="containsText" text="Glonk">
      <formula>NOT(ISERROR(SEARCH("Glonk",F76)))</formula>
    </cfRule>
    <cfRule type="containsText" dxfId="215" priority="470" operator="containsText" text="Chris">
      <formula>NOT(ISERROR(SEARCH("Chris",F76)))</formula>
    </cfRule>
    <cfRule type="containsText" dxfId="214" priority="471" operator="containsText" text="Ranger">
      <formula>NOT(ISERROR(SEARCH("Ranger",F76)))</formula>
    </cfRule>
    <cfRule type="containsText" dxfId="213" priority="472" operator="containsText" text="Rat">
      <formula>NOT(ISERROR(SEARCH("Rat",F76)))</formula>
    </cfRule>
    <cfRule type="containsText" dxfId="212" priority="473" operator="containsText" text="Boomer">
      <formula>NOT(ISERROR(SEARCH("Boomer",F76)))</formula>
    </cfRule>
    <cfRule type="containsText" dxfId="211" priority="474" operator="containsText" text="Tim">
      <formula>NOT(ISERROR(SEARCH("Tim",F76)))</formula>
    </cfRule>
    <cfRule type="containsText" dxfId="210" priority="475" operator="containsText" text="Mason">
      <formula>NOT(ISERROR(SEARCH("Mason",F76)))</formula>
    </cfRule>
    <cfRule type="containsText" dxfId="209" priority="476" operator="containsText" text="Blade">
      <formula>NOT(ISERROR(SEARCH("Blade",F76)))</formula>
    </cfRule>
    <cfRule type="containsText" dxfId="208" priority="477" operator="containsText" text="Andrew">
      <formula>NOT(ISERROR(SEARCH("Andrew",F76)))</formula>
    </cfRule>
    <cfRule type="containsText" dxfId="207" priority="478" operator="containsText" text="Shyam">
      <formula>NOT(ISERROR(SEARCH("Shyam",F76)))</formula>
    </cfRule>
    <cfRule type="containsText" dxfId="206" priority="479" operator="containsText" text="IUseArch">
      <formula>NOT(ISERROR(SEARCH("IUseArch",F76)))</formula>
    </cfRule>
    <cfRule type="containsText" dxfId="205" priority="480" operator="containsText" text="Colonizer">
      <formula>NOT(ISERROR(SEARCH("Colonizer",F76)))</formula>
    </cfRule>
    <cfRule type="containsText" dxfId="204" priority="481" operator="containsText" text="Lappland">
      <formula>NOT(ISERROR(SEARCH("Lappland",F76)))</formula>
    </cfRule>
    <cfRule type="containsText" dxfId="203" priority="482" operator="containsText" text="Diehard">
      <formula>NOT(ISERROR(SEARCH("Diehard",F76)))</formula>
    </cfRule>
    <cfRule type="containsText" dxfId="202" priority="483" operator="containsText" text="Louis">
      <formula>NOT(ISERROR(SEARCH("Louis",F76)))</formula>
    </cfRule>
    <cfRule type="containsText" dxfId="201" priority="484" operator="containsText" text="Cortex">
      <formula>NOT(ISERROR(SEARCH("Cortex",F76)))</formula>
    </cfRule>
    <cfRule type="containsText" dxfId="200" priority="485" operator="containsText" text="Acceptable">
      <formula>NOT(ISERROR(SEARCH("Acceptable",F76)))</formula>
    </cfRule>
    <cfRule type="containsText" dxfId="199" priority="486" operator="containsText" text="Minimum">
      <formula>NOT(ISERROR(SEARCH("Minimum",F76)))</formula>
    </cfRule>
    <cfRule type="containsText" dxfId="198" priority="487" operator="containsText" text="_">
      <formula>NOT(ISERROR(SEARCH("_",F76)))</formula>
    </cfRule>
  </conditionalFormatting>
  <conditionalFormatting sqref="F117">
    <cfRule type="containsText" dxfId="197" priority="24" operator="containsText" text="Dlehard">
      <formula>NOT(ISERROR(SEARCH("Dlehard",F117)))</formula>
    </cfRule>
    <cfRule type="containsText" dxfId="196" priority="25" operator="containsText" text="Strix">
      <formula>NOT(ISERROR(SEARCH("Strix",F117)))</formula>
    </cfRule>
    <cfRule type="containsText" dxfId="195" priority="26" operator="containsText" text="Struggler">
      <formula>NOT(ISERROR(SEARCH("Struggler",F117)))</formula>
    </cfRule>
    <cfRule type="containsText" dxfId="194" priority="27" operator="containsText" text="Koyeetchi">
      <formula>NOT(ISERROR(SEARCH("Koyeetchi",F117)))</formula>
    </cfRule>
    <cfRule type="containsText" dxfId="193" priority="28" operator="containsText" text="Mauricio">
      <formula>NOT(ISERROR(SEARCH("Mauricio",F117)))</formula>
    </cfRule>
    <cfRule type="containsText" dxfId="192" priority="29" operator="containsText" text="Glonk">
      <formula>NOT(ISERROR(SEARCH("Glonk",F117)))</formula>
    </cfRule>
    <cfRule type="containsText" dxfId="191" priority="30" operator="containsText" text="Chris">
      <formula>NOT(ISERROR(SEARCH("Chris",F117)))</formula>
    </cfRule>
    <cfRule type="containsText" dxfId="190" priority="31" operator="containsText" text="Ranger">
      <formula>NOT(ISERROR(SEARCH("Ranger",F117)))</formula>
    </cfRule>
    <cfRule type="containsText" dxfId="189" priority="32" operator="containsText" text="Rat">
      <formula>NOT(ISERROR(SEARCH("Rat",F117)))</formula>
    </cfRule>
    <cfRule type="containsText" dxfId="188" priority="33" operator="containsText" text="Tim">
      <formula>NOT(ISERROR(SEARCH("Tim",F117)))</formula>
    </cfRule>
    <cfRule type="containsText" dxfId="187" priority="34" operator="containsText" text="Mason">
      <formula>NOT(ISERROR(SEARCH("Mason",F117)))</formula>
    </cfRule>
    <cfRule type="containsText" dxfId="186" priority="35" operator="containsText" text="Blade">
      <formula>NOT(ISERROR(SEARCH("Blade",F117)))</formula>
    </cfRule>
    <cfRule type="containsText" dxfId="185" priority="36" operator="containsText" text="Andrew">
      <formula>NOT(ISERROR(SEARCH("Andrew",F117)))</formula>
    </cfRule>
    <cfRule type="containsText" dxfId="184" priority="37" operator="containsText" text="Shyam">
      <formula>NOT(ISERROR(SEARCH("Shyam",F117)))</formula>
    </cfRule>
    <cfRule type="containsText" dxfId="183" priority="38" operator="containsText" text="IUseArch">
      <formula>NOT(ISERROR(SEARCH("IUseArch",F117)))</formula>
    </cfRule>
    <cfRule type="containsText" dxfId="182" priority="39" operator="containsText" text="Colonizer">
      <formula>NOT(ISERROR(SEARCH("Colonizer",F117)))</formula>
    </cfRule>
    <cfRule type="containsText" dxfId="181" priority="40" operator="containsText" text="Lappland">
      <formula>NOT(ISERROR(SEARCH("Lappland",F117)))</formula>
    </cfRule>
    <cfRule type="containsText" dxfId="180" priority="41" operator="containsText" text="Diehard">
      <formula>NOT(ISERROR(SEARCH("Diehard",F117)))</formula>
    </cfRule>
    <cfRule type="containsText" dxfId="179" priority="42" operator="containsText" text="Louis">
      <formula>NOT(ISERROR(SEARCH("Louis",F117)))</formula>
    </cfRule>
    <cfRule type="containsText" dxfId="178" priority="43" operator="containsText" text="Cortex">
      <formula>NOT(ISERROR(SEARCH("Cortex",F117)))</formula>
    </cfRule>
    <cfRule type="containsText" dxfId="177" priority="44" operator="containsText" text="Acceptable">
      <formula>NOT(ISERROR(SEARCH("Acceptable",F117)))</formula>
    </cfRule>
    <cfRule type="containsText" dxfId="176" priority="45" operator="containsText" text="Minimum">
      <formula>NOT(ISERROR(SEARCH("Minimum",F117)))</formula>
    </cfRule>
    <cfRule type="containsText" dxfId="175" priority="46" operator="containsText" text="_">
      <formula>NOT(ISERROR(SEARCH("_",F117)))</formula>
    </cfRule>
  </conditionalFormatting>
  <conditionalFormatting sqref="P2:P29 Q3:Q23">
    <cfRule type="containsText" dxfId="174" priority="701" operator="containsText" text="TIER 8">
      <formula>NOT(ISERROR(SEARCH("TIER 8",P2)))</formula>
    </cfRule>
    <cfRule type="containsText" dxfId="173" priority="702" operator="containsText" text="TIER 7">
      <formula>NOT(ISERROR(SEARCH("TIER 7",P2)))</formula>
    </cfRule>
    <cfRule type="containsText" dxfId="172" priority="703" operator="containsText" text="TIER 6">
      <formula>NOT(ISERROR(SEARCH("TIER 6",P2)))</formula>
    </cfRule>
    <cfRule type="containsText" dxfId="171" priority="704" operator="containsText" text="TIER 5">
      <formula>NOT(ISERROR(SEARCH("TIER 5",P2)))</formula>
    </cfRule>
    <cfRule type="containsText" dxfId="170" priority="705" operator="containsText" text="TIER 4">
      <formula>NOT(ISERROR(SEARCH("TIER 4",P2)))</formula>
    </cfRule>
    <cfRule type="containsText" dxfId="169" priority="706" operator="containsText" text="TIER 3">
      <formula>NOT(ISERROR(SEARCH("TIER 3",P2)))</formula>
    </cfRule>
    <cfRule type="containsText" dxfId="168" priority="707" operator="containsText" text="TIER 2">
      <formula>NOT(ISERROR(SEARCH("TIER 2",P2)))</formula>
    </cfRule>
    <cfRule type="containsText" dxfId="167" priority="708" operator="containsText" text="TIER 1">
      <formula>NOT(ISERROR(SEARCH("TIER 1",P2)))</formula>
    </cfRule>
  </conditionalFormatting>
  <conditionalFormatting sqref="P57">
    <cfRule type="containsText" dxfId="166" priority="208" operator="containsText" text="Dlehard">
      <formula>NOT(ISERROR(SEARCH("Dlehard",P57)))</formula>
    </cfRule>
    <cfRule type="containsText" dxfId="165" priority="209" operator="containsText" text="Strix">
      <formula>NOT(ISERROR(SEARCH("Strix",P57)))</formula>
    </cfRule>
    <cfRule type="containsText" dxfId="164" priority="210" operator="containsText" text="Struggler">
      <formula>NOT(ISERROR(SEARCH("Struggler",P57)))</formula>
    </cfRule>
    <cfRule type="containsText" dxfId="163" priority="211" operator="containsText" text="Koyeetchi">
      <formula>NOT(ISERROR(SEARCH("Koyeetchi",P57)))</formula>
    </cfRule>
    <cfRule type="containsText" dxfId="162" priority="212" operator="containsText" text="Mauricio">
      <formula>NOT(ISERROR(SEARCH("Mauricio",P57)))</formula>
    </cfRule>
    <cfRule type="containsText" dxfId="161" priority="213" operator="containsText" text="Glonk">
      <formula>NOT(ISERROR(SEARCH("Glonk",P57)))</formula>
    </cfRule>
    <cfRule type="containsText" dxfId="160" priority="214" operator="containsText" text="Chris">
      <formula>NOT(ISERROR(SEARCH("Chris",P57)))</formula>
    </cfRule>
    <cfRule type="containsText" dxfId="159" priority="215" operator="containsText" text="Ranger">
      <formula>NOT(ISERROR(SEARCH("Ranger",P57)))</formula>
    </cfRule>
    <cfRule type="containsText" dxfId="158" priority="216" operator="containsText" text="Rat">
      <formula>NOT(ISERROR(SEARCH("Rat",P57)))</formula>
    </cfRule>
    <cfRule type="containsText" dxfId="157" priority="217" operator="containsText" text="Boomer">
      <formula>NOT(ISERROR(SEARCH("Boomer",P57)))</formula>
    </cfRule>
    <cfRule type="containsText" dxfId="156" priority="218" operator="containsText" text="Tim">
      <formula>NOT(ISERROR(SEARCH("Tim",P57)))</formula>
    </cfRule>
    <cfRule type="containsText" dxfId="155" priority="219" operator="containsText" text="Mason">
      <formula>NOT(ISERROR(SEARCH("Mason",P57)))</formula>
    </cfRule>
    <cfRule type="containsText" dxfId="154" priority="220" operator="containsText" text="Blade">
      <formula>NOT(ISERROR(SEARCH("Blade",P57)))</formula>
    </cfRule>
    <cfRule type="containsText" dxfId="153" priority="221" operator="containsText" text="Andrew">
      <formula>NOT(ISERROR(SEARCH("Andrew",P57)))</formula>
    </cfRule>
    <cfRule type="containsText" dxfId="152" priority="222" operator="containsText" text="Shyam">
      <formula>NOT(ISERROR(SEARCH("Shyam",P57)))</formula>
    </cfRule>
    <cfRule type="containsText" dxfId="151" priority="223" operator="containsText" text="IUseArch">
      <formula>NOT(ISERROR(SEARCH("IUseArch",P57)))</formula>
    </cfRule>
    <cfRule type="containsText" dxfId="150" priority="224" operator="containsText" text="Colonizer">
      <formula>NOT(ISERROR(SEARCH("Colonizer",P57)))</formula>
    </cfRule>
    <cfRule type="containsText" dxfId="149" priority="225" operator="containsText" text="Lappland">
      <formula>NOT(ISERROR(SEARCH("Lappland",P57)))</formula>
    </cfRule>
    <cfRule type="containsText" dxfId="148" priority="226" operator="containsText" text="Diehard">
      <formula>NOT(ISERROR(SEARCH("Diehard",P57)))</formula>
    </cfRule>
    <cfRule type="containsText" dxfId="147" priority="227" operator="containsText" text="Louis">
      <formula>NOT(ISERROR(SEARCH("Louis",P57)))</formula>
    </cfRule>
    <cfRule type="containsText" dxfId="146" priority="228" operator="containsText" text="Cortex">
      <formula>NOT(ISERROR(SEARCH("Cortex",P57)))</formula>
    </cfRule>
    <cfRule type="containsText" dxfId="145" priority="229" operator="containsText" text="Acceptable">
      <formula>NOT(ISERROR(SEARCH("Acceptable",P57)))</formula>
    </cfRule>
    <cfRule type="containsText" dxfId="144" priority="230" operator="containsText" text="Minimum">
      <formula>NOT(ISERROR(SEARCH("Minimum",P57)))</formula>
    </cfRule>
    <cfRule type="containsText" dxfId="143" priority="231" operator="containsText" text="_">
      <formula>NOT(ISERROR(SEARCH("_",P57)))</formula>
    </cfRule>
  </conditionalFormatting>
  <conditionalFormatting sqref="Q27:R27">
    <cfRule type="beginsWith" dxfId="142" priority="109" operator="beginsWith" text="-">
      <formula>LEFT(Q27,LEN("-"))="-"</formula>
    </cfRule>
    <cfRule type="containsText" dxfId="141" priority="110" operator="containsText" text="Dlehard">
      <formula>NOT(ISERROR(SEARCH("Dlehard",Q27)))</formula>
    </cfRule>
    <cfRule type="containsText" dxfId="140" priority="111" operator="containsText" text="Strix">
      <formula>NOT(ISERROR(SEARCH("Strix",Q27)))</formula>
    </cfRule>
    <cfRule type="containsText" dxfId="139" priority="112" operator="containsText" text="Struggler">
      <formula>NOT(ISERROR(SEARCH("Struggler",Q27)))</formula>
    </cfRule>
    <cfRule type="containsText" dxfId="138" priority="113" operator="containsText" text="Koyeetchi">
      <formula>NOT(ISERROR(SEARCH("Koyeetchi",Q27)))</formula>
    </cfRule>
    <cfRule type="containsText" dxfId="137" priority="114" operator="containsText" text="Mauricio">
      <formula>NOT(ISERROR(SEARCH("Mauricio",Q27)))</formula>
    </cfRule>
    <cfRule type="containsText" dxfId="136" priority="115" operator="containsText" text="Glonk">
      <formula>NOT(ISERROR(SEARCH("Glonk",Q27)))</formula>
    </cfRule>
    <cfRule type="containsText" dxfId="135" priority="116" operator="containsText" text="Chris">
      <formula>NOT(ISERROR(SEARCH("Chris",Q27)))</formula>
    </cfRule>
    <cfRule type="containsText" dxfId="134" priority="117" operator="containsText" text="Ranger">
      <formula>NOT(ISERROR(SEARCH("Ranger",Q27)))</formula>
    </cfRule>
    <cfRule type="containsText" dxfId="133" priority="118" operator="containsText" text="Rat">
      <formula>NOT(ISERROR(SEARCH("Rat",Q27)))</formula>
    </cfRule>
    <cfRule type="containsText" dxfId="132" priority="119" operator="containsText" text="Boomer">
      <formula>NOT(ISERROR(SEARCH("Boomer",Q27)))</formula>
    </cfRule>
    <cfRule type="containsText" dxfId="131" priority="120" operator="containsText" text="Tim">
      <formula>NOT(ISERROR(SEARCH("Tim",Q27)))</formula>
    </cfRule>
    <cfRule type="containsText" dxfId="130" priority="121" operator="containsText" text="Mason">
      <formula>NOT(ISERROR(SEARCH("Mason",Q27)))</formula>
    </cfRule>
    <cfRule type="containsText" dxfId="129" priority="122" operator="containsText" text="Blade">
      <formula>NOT(ISERROR(SEARCH("Blade",Q27)))</formula>
    </cfRule>
    <cfRule type="containsText" dxfId="128" priority="123" operator="containsText" text="Andrew">
      <formula>NOT(ISERROR(SEARCH("Andrew",Q27)))</formula>
    </cfRule>
    <cfRule type="containsText" dxfId="127" priority="124" operator="containsText" text="Shyam">
      <formula>NOT(ISERROR(SEARCH("Shyam",Q27)))</formula>
    </cfRule>
    <cfRule type="containsText" dxfId="126" priority="125" operator="containsText" text="IUseArch">
      <formula>NOT(ISERROR(SEARCH("IUseArch",Q27)))</formula>
    </cfRule>
    <cfRule type="containsText" dxfId="125" priority="126" operator="containsText" text="Colonizer">
      <formula>NOT(ISERROR(SEARCH("Colonizer",Q27)))</formula>
    </cfRule>
    <cfRule type="containsText" dxfId="124" priority="127" operator="containsText" text="Lappland">
      <formula>NOT(ISERROR(SEARCH("Lappland",Q27)))</formula>
    </cfRule>
    <cfRule type="containsText" dxfId="123" priority="128" operator="containsText" text="Diehard">
      <formula>NOT(ISERROR(SEARCH("Diehard",Q27)))</formula>
    </cfRule>
    <cfRule type="containsText" dxfId="122" priority="129" operator="containsText" text="Louis">
      <formula>NOT(ISERROR(SEARCH("Louis",Q27)))</formula>
    </cfRule>
    <cfRule type="containsText" dxfId="121" priority="130" operator="containsText" text="Cortex">
      <formula>NOT(ISERROR(SEARCH("Cortex",Q27)))</formula>
    </cfRule>
    <cfRule type="containsText" dxfId="120" priority="131" operator="containsText" text="Acceptable">
      <formula>NOT(ISERROR(SEARCH("Acceptable",Q27)))</formula>
    </cfRule>
    <cfRule type="containsText" dxfId="119" priority="132" operator="containsText" text="Minimum">
      <formula>NOT(ISERROR(SEARCH("Minimum",Q27)))</formula>
    </cfRule>
    <cfRule type="containsText" dxfId="118" priority="133" operator="containsText" text="_">
      <formula>NOT(ISERROR(SEARCH("_",Q27)))</formula>
    </cfRule>
  </conditionalFormatting>
  <conditionalFormatting sqref="Q29:R29">
    <cfRule type="containsText" dxfId="117" priority="134" operator="containsText" text="Dlehard">
      <formula>NOT(ISERROR(SEARCH("Dlehard",Q29)))</formula>
    </cfRule>
    <cfRule type="containsText" dxfId="116" priority="135" operator="containsText" text="Strix">
      <formula>NOT(ISERROR(SEARCH("Strix",Q29)))</formula>
    </cfRule>
    <cfRule type="containsText" dxfId="115" priority="136" operator="containsText" text="Struggler">
      <formula>NOT(ISERROR(SEARCH("Struggler",Q29)))</formula>
    </cfRule>
    <cfRule type="containsText" dxfId="114" priority="137" operator="containsText" text="Koyeetchi">
      <formula>NOT(ISERROR(SEARCH("Koyeetchi",Q29)))</formula>
    </cfRule>
    <cfRule type="containsText" dxfId="113" priority="138" operator="containsText" text="Mauricio">
      <formula>NOT(ISERROR(SEARCH("Mauricio",Q29)))</formula>
    </cfRule>
    <cfRule type="containsText" dxfId="112" priority="139" operator="containsText" text="Glonk">
      <formula>NOT(ISERROR(SEARCH("Glonk",Q29)))</formula>
    </cfRule>
    <cfRule type="containsText" dxfId="111" priority="140" operator="containsText" text="Chris">
      <formula>NOT(ISERROR(SEARCH("Chris",Q29)))</formula>
    </cfRule>
    <cfRule type="containsText" dxfId="110" priority="141" operator="containsText" text="Ranger">
      <formula>NOT(ISERROR(SEARCH("Ranger",Q29)))</formula>
    </cfRule>
    <cfRule type="containsText" dxfId="109" priority="142" operator="containsText" text="Rat">
      <formula>NOT(ISERROR(SEARCH("Rat",Q29)))</formula>
    </cfRule>
    <cfRule type="containsText" dxfId="108" priority="143" operator="containsText" text="Boomer">
      <formula>NOT(ISERROR(SEARCH("Boomer",Q29)))</formula>
    </cfRule>
    <cfRule type="containsText" dxfId="107" priority="144" operator="containsText" text="Tim">
      <formula>NOT(ISERROR(SEARCH("Tim",Q29)))</formula>
    </cfRule>
    <cfRule type="containsText" dxfId="106" priority="145" operator="containsText" text="Mason">
      <formula>NOT(ISERROR(SEARCH("Mason",Q29)))</formula>
    </cfRule>
    <cfRule type="containsText" dxfId="105" priority="146" operator="containsText" text="Blade">
      <formula>NOT(ISERROR(SEARCH("Blade",Q29)))</formula>
    </cfRule>
    <cfRule type="containsText" dxfId="104" priority="147" operator="containsText" text="Andrew">
      <formula>NOT(ISERROR(SEARCH("Andrew",Q29)))</formula>
    </cfRule>
    <cfRule type="containsText" dxfId="103" priority="148" operator="containsText" text="Shyam">
      <formula>NOT(ISERROR(SEARCH("Shyam",Q29)))</formula>
    </cfRule>
    <cfRule type="containsText" dxfId="102" priority="149" operator="containsText" text="IUseArch">
      <formula>NOT(ISERROR(SEARCH("IUseArch",Q29)))</formula>
    </cfRule>
    <cfRule type="containsText" dxfId="101" priority="150" operator="containsText" text="Colonizer">
      <formula>NOT(ISERROR(SEARCH("Colonizer",Q29)))</formula>
    </cfRule>
    <cfRule type="containsText" dxfId="100" priority="151" operator="containsText" text="Lappland">
      <formula>NOT(ISERROR(SEARCH("Lappland",Q29)))</formula>
    </cfRule>
    <cfRule type="containsText" dxfId="99" priority="152" operator="containsText" text="Diehard">
      <formula>NOT(ISERROR(SEARCH("Diehard",Q29)))</formula>
    </cfRule>
    <cfRule type="containsText" dxfId="98" priority="153" operator="containsText" text="Louis">
      <formula>NOT(ISERROR(SEARCH("Louis",Q29)))</formula>
    </cfRule>
    <cfRule type="containsText" dxfId="97" priority="154" operator="containsText" text="Cortex">
      <formula>NOT(ISERROR(SEARCH("Cortex",Q29)))</formula>
    </cfRule>
    <cfRule type="containsText" dxfId="96" priority="155" operator="containsText" text="Acceptable">
      <formula>NOT(ISERROR(SEARCH("Acceptable",Q29)))</formula>
    </cfRule>
    <cfRule type="containsText" dxfId="95" priority="156" operator="containsText" text="Minimum">
      <formula>NOT(ISERROR(SEARCH("Minimum",Q29)))</formula>
    </cfRule>
    <cfRule type="containsText" dxfId="94" priority="157" operator="containsText" text="_">
      <formula>NOT(ISERROR(SEARCH("_",Q29)))</formula>
    </cfRule>
  </conditionalFormatting>
  <conditionalFormatting sqref="R25">
    <cfRule type="containsText" dxfId="93" priority="281" operator="containsText" text="Dlehard">
      <formula>NOT(ISERROR(SEARCH("Dlehard",R25)))</formula>
    </cfRule>
    <cfRule type="containsText" dxfId="92" priority="282" operator="containsText" text="Strix">
      <formula>NOT(ISERROR(SEARCH("Strix",R25)))</formula>
    </cfRule>
    <cfRule type="containsText" dxfId="91" priority="283" operator="containsText" text="Struggler">
      <formula>NOT(ISERROR(SEARCH("Struggler",R25)))</formula>
    </cfRule>
    <cfRule type="containsText" dxfId="90" priority="284" operator="containsText" text="Koyeetchi">
      <formula>NOT(ISERROR(SEARCH("Koyeetchi",R25)))</formula>
    </cfRule>
    <cfRule type="containsText" dxfId="89" priority="285" operator="containsText" text="Mauricio">
      <formula>NOT(ISERROR(SEARCH("Mauricio",R25)))</formula>
    </cfRule>
    <cfRule type="containsText" dxfId="88" priority="286" operator="containsText" text="Glonk">
      <formula>NOT(ISERROR(SEARCH("Glonk",R25)))</formula>
    </cfRule>
    <cfRule type="containsText" dxfId="87" priority="287" operator="containsText" text="Chris">
      <formula>NOT(ISERROR(SEARCH("Chris",R25)))</formula>
    </cfRule>
    <cfRule type="containsText" dxfId="86" priority="288" operator="containsText" text="Ranger">
      <formula>NOT(ISERROR(SEARCH("Ranger",R25)))</formula>
    </cfRule>
    <cfRule type="containsText" dxfId="85" priority="289" operator="containsText" text="Rat">
      <formula>NOT(ISERROR(SEARCH("Rat",R25)))</formula>
    </cfRule>
    <cfRule type="containsText" dxfId="84" priority="290" operator="containsText" text="Boomer">
      <formula>NOT(ISERROR(SEARCH("Boomer",R25)))</formula>
    </cfRule>
    <cfRule type="containsText" dxfId="83" priority="291" operator="containsText" text="Tim">
      <formula>NOT(ISERROR(SEARCH("Tim",R25)))</formula>
    </cfRule>
    <cfRule type="containsText" dxfId="82" priority="292" operator="containsText" text="Mason">
      <formula>NOT(ISERROR(SEARCH("Mason",R25)))</formula>
    </cfRule>
    <cfRule type="containsText" dxfId="81" priority="293" operator="containsText" text="Blade">
      <formula>NOT(ISERROR(SEARCH("Blade",R25)))</formula>
    </cfRule>
    <cfRule type="containsText" dxfId="80" priority="294" operator="containsText" text="Andrew">
      <formula>NOT(ISERROR(SEARCH("Andrew",R25)))</formula>
    </cfRule>
    <cfRule type="containsText" dxfId="79" priority="295" operator="containsText" text="Shyam">
      <formula>NOT(ISERROR(SEARCH("Shyam",R25)))</formula>
    </cfRule>
    <cfRule type="containsText" dxfId="78" priority="296" operator="containsText" text="IUseArch">
      <formula>NOT(ISERROR(SEARCH("IUseArch",R25)))</formula>
    </cfRule>
    <cfRule type="containsText" dxfId="77" priority="297" operator="containsText" text="Colonizer">
      <formula>NOT(ISERROR(SEARCH("Colonizer",R25)))</formula>
    </cfRule>
    <cfRule type="containsText" dxfId="76" priority="298" operator="containsText" text="Lappland">
      <formula>NOT(ISERROR(SEARCH("Lappland",R25)))</formula>
    </cfRule>
    <cfRule type="containsText" dxfId="75" priority="299" operator="containsText" text="Diehard">
      <formula>NOT(ISERROR(SEARCH("Diehard",R25)))</formula>
    </cfRule>
    <cfRule type="containsText" dxfId="74" priority="300" operator="containsText" text="Louis">
      <formula>NOT(ISERROR(SEARCH("Louis",R25)))</formula>
    </cfRule>
    <cfRule type="containsText" dxfId="73" priority="301" operator="containsText" text="Cortex">
      <formula>NOT(ISERROR(SEARCH("Cortex",R25)))</formula>
    </cfRule>
    <cfRule type="containsText" dxfId="72" priority="302" operator="containsText" text="Acceptable">
      <formula>NOT(ISERROR(SEARCH("Acceptable",R25)))</formula>
    </cfRule>
    <cfRule type="containsText" dxfId="71" priority="303" operator="containsText" text="Minimum">
      <formula>NOT(ISERROR(SEARCH("Minimum",R25)))</formula>
    </cfRule>
    <cfRule type="containsText" dxfId="70" priority="304" operator="containsText" text="_">
      <formula>NOT(ISERROR(SEARCH("_",R25)))</formula>
    </cfRule>
  </conditionalFormatting>
  <conditionalFormatting sqref="T2">
    <cfRule type="colorScale" priority="313">
      <colorScale>
        <cfvo type="min"/>
        <cfvo type="percentile" val="50"/>
        <cfvo type="max"/>
        <color rgb="FFF8696B"/>
        <color rgb="FFFFEB84"/>
        <color rgb="FF63BE7B"/>
      </colorScale>
    </cfRule>
  </conditionalFormatting>
  <conditionalFormatting sqref="T3:T24 S2:S24 S25:T29">
    <cfRule type="colorScale" priority="1358">
      <colorScale>
        <cfvo type="min"/>
        <cfvo type="percentile" val="50"/>
        <cfvo type="max"/>
        <color rgb="FFF8696B"/>
        <color rgb="FFFFEB84"/>
        <color rgb="FF63BE7B"/>
      </colorScale>
    </cfRule>
  </conditionalFormatting>
  <conditionalFormatting sqref="Y2:Y29 Z2">
    <cfRule type="colorScale" priority="1390">
      <colorScale>
        <cfvo type="min"/>
        <cfvo type="percentile" val="50"/>
        <cfvo type="max"/>
        <color rgb="FFF8696B"/>
        <color rgb="FFFFEB84"/>
        <color rgb="FF63BE7B"/>
      </colorScale>
    </cfRule>
  </conditionalFormatting>
  <conditionalFormatting sqref="Z3:Z29">
    <cfRule type="colorScale" priority="1386">
      <colorScale>
        <cfvo type="min"/>
        <cfvo type="percentile" val="50"/>
        <cfvo type="max"/>
        <color rgb="FFF8696B"/>
        <color rgb="FFFFEB84"/>
        <color rgb="FF63BE7B"/>
      </colorScale>
    </cfRule>
  </conditionalFormatting>
  <conditionalFormatting sqref="AC2:AC29">
    <cfRule type="colorScale" priority="1401">
      <colorScale>
        <cfvo type="min"/>
        <cfvo type="percentile" val="50"/>
        <cfvo type="max"/>
        <color rgb="FFF8696B"/>
        <color rgb="FFFFEB84"/>
        <color rgb="FF63BE7B"/>
      </colorScale>
    </cfRule>
  </conditionalFormatting>
  <conditionalFormatting sqref="AD2:AD29">
    <cfRule type="colorScale" priority="1395">
      <colorScale>
        <cfvo type="min"/>
        <cfvo type="percentile" val="50"/>
        <cfvo type="max"/>
        <color rgb="FFF8696B"/>
        <color rgb="FFFFEB84"/>
        <color rgb="FF63BE7B"/>
      </colorScale>
    </cfRule>
  </conditionalFormatting>
  <conditionalFormatting sqref="AE2:AE29">
    <cfRule type="colorScale" priority="1397">
      <colorScale>
        <cfvo type="min"/>
        <cfvo type="percentile" val="50"/>
        <cfvo type="max"/>
        <color rgb="FFF8696B"/>
        <color rgb="FFFFEB84"/>
        <color rgb="FF63BE7B"/>
      </colorScale>
    </cfRule>
  </conditionalFormatting>
  <conditionalFormatting sqref="AI2:AI29">
    <cfRule type="colorScale" priority="1393">
      <colorScale>
        <cfvo type="min"/>
        <cfvo type="percentile" val="50"/>
        <cfvo type="max"/>
        <color rgb="FFF8696B"/>
        <color rgb="FFFFEB84"/>
        <color rgb="FF63BE7B"/>
      </colorScale>
    </cfRule>
  </conditionalFormatting>
  <conditionalFormatting sqref="AJ2:AJ29">
    <cfRule type="colorScale" priority="1399">
      <colorScale>
        <cfvo type="min"/>
        <cfvo type="percentile" val="50"/>
        <cfvo type="max"/>
        <color rgb="FFF8696B"/>
        <color rgb="FFFFEB84"/>
        <color rgb="FF63BE7B"/>
      </colorScale>
    </cfRule>
  </conditionalFormatting>
  <conditionalFormatting sqref="AK2:AK3 AK20:AK29">
    <cfRule type="colorScale" priority="1355">
      <colorScale>
        <cfvo type="min"/>
        <cfvo type="percentile" val="50"/>
        <cfvo type="max"/>
        <color rgb="FF63BE7B"/>
        <color rgb="FFFFEB84"/>
        <color rgb="FFF8696B"/>
      </colorScale>
    </cfRule>
  </conditionalFormatting>
  <conditionalFormatting sqref="AK4:AK11">
    <cfRule type="colorScale" priority="1254">
      <colorScale>
        <cfvo type="min"/>
        <cfvo type="percentile" val="50"/>
        <cfvo type="max"/>
        <color rgb="FF63BE7B"/>
        <color rgb="FFFFEB84"/>
        <color rgb="FFF8696B"/>
      </colorScale>
    </cfRule>
  </conditionalFormatting>
  <conditionalFormatting sqref="AK12:AK19">
    <cfRule type="colorScale" priority="309">
      <colorScale>
        <cfvo type="min"/>
        <cfvo type="percentile" val="50"/>
        <cfvo type="max"/>
        <color rgb="FF63BE7B"/>
        <color rgb="FFFFEB84"/>
        <color rgb="FFF8696B"/>
      </colorScale>
    </cfRule>
  </conditionalFormatting>
  <conditionalFormatting sqref="AL2:AL29">
    <cfRule type="colorScale" priority="1388">
      <colorScale>
        <cfvo type="min"/>
        <cfvo type="percentile" val="50"/>
        <cfvo type="max"/>
        <color rgb="FFF8696B"/>
        <color rgb="FFFFEB84"/>
        <color rgb="FF63BE7B"/>
      </colorScale>
    </cfRule>
  </conditionalFormatting>
  <conditionalFormatting sqref="A2:A118">
    <cfRule type="duplicateValues" dxfId="69" priority="3324"/>
  </conditionalFormatting>
  <conditionalFormatting sqref="J2:J118">
    <cfRule type="colorScale" priority="3326">
      <colorScale>
        <cfvo type="min"/>
        <cfvo type="percentile" val="50"/>
        <cfvo type="max"/>
        <color rgb="FFF8696B"/>
        <color rgb="FFFFEB84"/>
        <color rgb="FF63BE7B"/>
      </colorScale>
    </cfRule>
  </conditionalFormatting>
  <conditionalFormatting sqref="K2:L118">
    <cfRule type="colorScale" priority="3328">
      <colorScale>
        <cfvo type="min"/>
        <cfvo type="percentile" val="50"/>
        <cfvo type="max"/>
        <color rgb="FFF8696B"/>
        <color rgb="FFFFEB84"/>
        <color rgb="FF63BE7B"/>
      </colorScale>
    </cfRule>
  </conditionalFormatting>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2024-02-14T23:59:54Z</dcterms:created>
  <dcterms:modified xsi:type="dcterms:W3CDTF">2024-04-26T04:07:39Z</dcterms:modified>
  <cp:category/>
  <cp:contentStatus/>
</cp:coreProperties>
</file>