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oogle Drive\EdgeBotix\Wireless Sensor (eNode)\Documents\"/>
    </mc:Choice>
  </mc:AlternateContent>
  <bookViews>
    <workbookView xWindow="0" yWindow="0" windowWidth="28800" windowHeight="12585"/>
  </bookViews>
  <sheets>
    <sheet name="V3.X - P0 (BM-09)" sheetId="1" r:id="rId1"/>
  </sheets>
  <definedNames>
    <definedName name="convRate">'V3.X - P0 (BM-09)'!$O$76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L21" i="1" l="1"/>
  <c r="M21" i="1"/>
  <c r="N21" i="1" s="1"/>
  <c r="L7" i="1" l="1"/>
  <c r="M7" i="1"/>
  <c r="N7" i="1" s="1"/>
  <c r="L26" i="1"/>
  <c r="L27" i="1"/>
  <c r="L28" i="1"/>
  <c r="K3" i="1" l="1"/>
  <c r="L3" i="1" s="1"/>
  <c r="K18" i="1"/>
  <c r="L18" i="1" s="1"/>
  <c r="M28" i="1"/>
  <c r="N28" i="1" s="1"/>
  <c r="M27" i="1"/>
  <c r="N27" i="1" s="1"/>
  <c r="M26" i="1"/>
  <c r="N26" i="1" s="1"/>
  <c r="L25" i="1"/>
  <c r="M25" i="1"/>
  <c r="N25" i="1" s="1"/>
  <c r="M64" i="1"/>
  <c r="K64" i="1"/>
  <c r="L64" i="1" s="1"/>
  <c r="M63" i="1"/>
  <c r="M62" i="1"/>
  <c r="K62" i="1"/>
  <c r="L62" i="1" s="1"/>
  <c r="M61" i="1"/>
  <c r="M60" i="1"/>
  <c r="M59" i="1"/>
  <c r="N59" i="1" s="1"/>
  <c r="L59" i="1"/>
  <c r="M58" i="1"/>
  <c r="N58" i="1" s="1"/>
  <c r="L58" i="1"/>
  <c r="M57" i="1"/>
  <c r="N57" i="1" s="1"/>
  <c r="L57" i="1"/>
  <c r="M56" i="1"/>
  <c r="M55" i="1"/>
  <c r="N55" i="1" s="1"/>
  <c r="L55" i="1"/>
  <c r="M54" i="1"/>
  <c r="K54" i="1"/>
  <c r="L54" i="1" s="1"/>
  <c r="M53" i="1"/>
  <c r="K53" i="1"/>
  <c r="L53" i="1" s="1"/>
  <c r="M52" i="1"/>
  <c r="N52" i="1" s="1"/>
  <c r="L52" i="1"/>
  <c r="M51" i="1"/>
  <c r="N51" i="1" s="1"/>
  <c r="L51" i="1"/>
  <c r="M50" i="1"/>
  <c r="N50" i="1" s="1"/>
  <c r="L50" i="1"/>
  <c r="M49" i="1"/>
  <c r="N49" i="1" s="1"/>
  <c r="L49" i="1"/>
  <c r="M48" i="1"/>
  <c r="N48" i="1" s="1"/>
  <c r="L48" i="1"/>
  <c r="M47" i="1"/>
  <c r="L47" i="1"/>
  <c r="M46" i="1"/>
  <c r="N46" i="1" s="1"/>
  <c r="L46" i="1"/>
  <c r="M45" i="1"/>
  <c r="L45" i="1"/>
  <c r="M44" i="1"/>
  <c r="N44" i="1" s="1"/>
  <c r="L44" i="1"/>
  <c r="M43" i="1"/>
  <c r="L43" i="1"/>
  <c r="M42" i="1"/>
  <c r="N42" i="1" s="1"/>
  <c r="L42" i="1"/>
  <c r="M41" i="1"/>
  <c r="N41" i="1" s="1"/>
  <c r="L41" i="1"/>
  <c r="M40" i="1"/>
  <c r="N40" i="1" s="1"/>
  <c r="L40" i="1"/>
  <c r="M38" i="1"/>
  <c r="N38" i="1" s="1"/>
  <c r="L38" i="1"/>
  <c r="M37" i="1"/>
  <c r="N37" i="1" s="1"/>
  <c r="L37" i="1"/>
  <c r="M36" i="1"/>
  <c r="M35" i="1"/>
  <c r="N35" i="1" s="1"/>
  <c r="L35" i="1"/>
  <c r="M34" i="1"/>
  <c r="N34" i="1" s="1"/>
  <c r="L34" i="1"/>
  <c r="M33" i="1"/>
  <c r="N33" i="1" s="1"/>
  <c r="L33" i="1"/>
  <c r="M32" i="1"/>
  <c r="N32" i="1" s="1"/>
  <c r="L32" i="1"/>
  <c r="M31" i="1"/>
  <c r="N31" i="1" s="1"/>
  <c r="L31" i="1"/>
  <c r="M30" i="1"/>
  <c r="N30" i="1" s="1"/>
  <c r="L30" i="1"/>
  <c r="M29" i="1"/>
  <c r="M24" i="1"/>
  <c r="N24" i="1" s="1"/>
  <c r="L24" i="1"/>
  <c r="M23" i="1"/>
  <c r="K23" i="1"/>
  <c r="L23" i="1" s="1"/>
  <c r="M22" i="1"/>
  <c r="N22" i="1" s="1"/>
  <c r="L22" i="1"/>
  <c r="M20" i="1"/>
  <c r="L20" i="1"/>
  <c r="M19" i="1"/>
  <c r="N19" i="1" s="1"/>
  <c r="L19" i="1"/>
  <c r="M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M12" i="1"/>
  <c r="K12" i="1"/>
  <c r="L12" i="1" s="1"/>
  <c r="M11" i="1"/>
  <c r="K11" i="1"/>
  <c r="L11" i="1" s="1"/>
  <c r="M10" i="1"/>
  <c r="N10" i="1" s="1"/>
  <c r="L10" i="1"/>
  <c r="M9" i="1"/>
  <c r="N9" i="1" s="1"/>
  <c r="L9" i="1"/>
  <c r="M8" i="1"/>
  <c r="M6" i="1"/>
  <c r="K6" i="1"/>
  <c r="L6" i="1" s="1"/>
  <c r="M5" i="1"/>
  <c r="N5" i="1" s="1"/>
  <c r="L5" i="1"/>
  <c r="M4" i="1"/>
  <c r="N4" i="1" s="1"/>
  <c r="L4" i="1"/>
  <c r="M3" i="1"/>
  <c r="N43" i="1" l="1"/>
  <c r="N54" i="1"/>
  <c r="N3" i="1"/>
  <c r="N12" i="1"/>
  <c r="N47" i="1"/>
  <c r="N18" i="1"/>
  <c r="N23" i="1"/>
  <c r="N45" i="1"/>
  <c r="N11" i="1"/>
  <c r="N53" i="1"/>
  <c r="N6" i="1"/>
  <c r="N20" i="1"/>
  <c r="N62" i="1"/>
  <c r="N64" i="1"/>
  <c r="K8" i="1"/>
  <c r="L8" i="1" s="1"/>
  <c r="N8" i="1" l="1"/>
  <c r="M75" i="1" s="1"/>
  <c r="K75" i="1" s="1"/>
</calcChain>
</file>

<file path=xl/sharedStrings.xml><?xml version="1.0" encoding="utf-8"?>
<sst xmlns="http://schemas.openxmlformats.org/spreadsheetml/2006/main" count="172" uniqueCount="114">
  <si>
    <t>Sub-System</t>
  </si>
  <si>
    <t>Description &amp; Link</t>
  </si>
  <si>
    <t>Designator</t>
  </si>
  <si>
    <t>Supplier</t>
  </si>
  <si>
    <t>Units /Piece</t>
  </si>
  <si>
    <t xml:space="preserve">Unit Price </t>
  </si>
  <si>
    <t>Total Price /Piece</t>
  </si>
  <si>
    <t>Total Quantity</t>
  </si>
  <si>
    <t>Total Price</t>
  </si>
  <si>
    <t>Notes</t>
  </si>
  <si>
    <t>Power &amp; Charging</t>
  </si>
  <si>
    <t>1800 mAh Li-Po Battery</t>
  </si>
  <si>
    <t>Data Power</t>
  </si>
  <si>
    <t>USD Conv.</t>
  </si>
  <si>
    <t>3.3v LDO</t>
  </si>
  <si>
    <t>Element14</t>
  </si>
  <si>
    <t>MCP73831T (Charging)</t>
  </si>
  <si>
    <t>Micro USB</t>
  </si>
  <si>
    <t>4.7 uF</t>
  </si>
  <si>
    <t>2K OHM</t>
  </si>
  <si>
    <t>100 OHM</t>
  </si>
  <si>
    <t>Indicator LED SMT</t>
  </si>
  <si>
    <t>JST Header 2-way SMT</t>
  </si>
  <si>
    <t>Current Sensor</t>
  </si>
  <si>
    <t>INA 219</t>
  </si>
  <si>
    <t>0.1 uF (0402)</t>
  </si>
  <si>
    <t>1759380RL</t>
  </si>
  <si>
    <t>0.1ohm 1 %</t>
  </si>
  <si>
    <t>Digikey</t>
  </si>
  <si>
    <t>311-0.1ARDKR-ND</t>
  </si>
  <si>
    <t>0.1 OHM 1%</t>
  </si>
  <si>
    <t>Main PCB components</t>
  </si>
  <si>
    <t>BM-09</t>
  </si>
  <si>
    <t>EDOM/USI</t>
  </si>
  <si>
    <t>10K OHM 1%</t>
  </si>
  <si>
    <t>1469748RL</t>
  </si>
  <si>
    <t>Switch</t>
  </si>
  <si>
    <t>4.7K OHM 1%</t>
  </si>
  <si>
    <t>RGB LED</t>
  </si>
  <si>
    <t>Chip Antenna</t>
  </si>
  <si>
    <t>SD</t>
  </si>
  <si>
    <t>Micro SD Card Slot</t>
  </si>
  <si>
    <t>Micro SD Card 8GB</t>
  </si>
  <si>
    <t>Local Shop</t>
  </si>
  <si>
    <t>IMU</t>
  </si>
  <si>
    <t>MPU 9150</t>
  </si>
  <si>
    <t>10nF (0.01uF)</t>
  </si>
  <si>
    <t>2.2nF (2200pF)</t>
  </si>
  <si>
    <t>LDR</t>
  </si>
  <si>
    <t>LDR - Alt</t>
  </si>
  <si>
    <t>Mic</t>
  </si>
  <si>
    <t>102-1721-ND</t>
  </si>
  <si>
    <t>OPA344 Opamp</t>
  </si>
  <si>
    <t>Humidity &amp; Temperature</t>
  </si>
  <si>
    <t>HTU21D</t>
  </si>
  <si>
    <t>Barometer</t>
  </si>
  <si>
    <t>BMP180</t>
  </si>
  <si>
    <t>262-BMP180</t>
  </si>
  <si>
    <t>BMP180 Alt</t>
  </si>
  <si>
    <t>Sparkfun</t>
  </si>
  <si>
    <t>10uF Tant</t>
  </si>
  <si>
    <t>IR Temperature</t>
  </si>
  <si>
    <t>TMP007</t>
  </si>
  <si>
    <t>296-28819-2-ND</t>
  </si>
  <si>
    <t>Buzzer</t>
  </si>
  <si>
    <t>14mm DIA Buzzer</t>
  </si>
  <si>
    <t>Adafruit</t>
  </si>
  <si>
    <t>Camera</t>
  </si>
  <si>
    <t>TTL Camera</t>
  </si>
  <si>
    <t>USD Conv</t>
  </si>
  <si>
    <t>Additional components</t>
  </si>
  <si>
    <t>Programming Board</t>
  </si>
  <si>
    <t>Projected Prices</t>
  </si>
  <si>
    <t xml:space="preserve">Total: </t>
  </si>
  <si>
    <t>All prices in SGD</t>
  </si>
  <si>
    <t>USD Conv. Rate</t>
  </si>
  <si>
    <t>/unit</t>
  </si>
  <si>
    <t>712-1010-2-ND</t>
  </si>
  <si>
    <t>0.8pF RF CAP</t>
  </si>
  <si>
    <t>3.3nH RF IND</t>
  </si>
  <si>
    <t>1K OHM</t>
  </si>
  <si>
    <t>Package / Case</t>
  </si>
  <si>
    <t>490-6080-2-ND</t>
  </si>
  <si>
    <t>MFG: Hong Kong SUNLORD Co.,Ltd.</t>
  </si>
  <si>
    <t>PN: HCI1005F-3N3J</t>
  </si>
  <si>
    <t>ALT SMD Micro USB</t>
  </si>
  <si>
    <t>Date Revised:</t>
  </si>
  <si>
    <t>Units:</t>
  </si>
  <si>
    <t>Revision: 3.0</t>
  </si>
  <si>
    <t>Project: SenSing V3.1</t>
  </si>
  <si>
    <t>Value &amp; Tol</t>
  </si>
  <si>
    <t>Manufacturer</t>
  </si>
  <si>
    <t>Manufacturer P/N</t>
  </si>
  <si>
    <t>Supplier Code</t>
  </si>
  <si>
    <t>User Button</t>
  </si>
  <si>
    <t>Mode &amp; Reset Button</t>
  </si>
  <si>
    <t>Electret Mic</t>
  </si>
  <si>
    <t>Electret Mic Alt</t>
  </si>
  <si>
    <t>2.2K (Pull-Up)</t>
  </si>
  <si>
    <t>1M</t>
  </si>
  <si>
    <t>12pF</t>
  </si>
  <si>
    <t>1.0 uF (0603)</t>
  </si>
  <si>
    <t>9232800RL</t>
  </si>
  <si>
    <t>Challenge Electronics</t>
  </si>
  <si>
    <t>CEM-C9745JAD462P2.54R</t>
  </si>
  <si>
    <t>COM-08635</t>
  </si>
  <si>
    <r>
      <t xml:space="preserve">Usd Conv.
- Changed from MEMs to electret condenser MIC
- Calibration tool: http://www.ebay.ca/itm/Mini-Digital-LCD-Audio-Sound-Noise-Level-Meter-Tester-30-130dB-Decibel-Pressure-/271660773561?pt=LH_DefaultDomain_2&amp;hash=item3f403e70b9
- </t>
    </r>
    <r>
      <rPr>
        <b/>
        <sz val="12"/>
        <color theme="1"/>
        <rFont val="Calibri"/>
        <family val="2"/>
        <scheme val="minor"/>
      </rPr>
      <t>Double check alt sensitivity before using</t>
    </r>
  </si>
  <si>
    <t>12pF ±5%</t>
  </si>
  <si>
    <t>4.7uF ±10%</t>
  </si>
  <si>
    <t>0.1uF ±10%</t>
  </si>
  <si>
    <t>1.0uF ±10%</t>
  </si>
  <si>
    <t>10K ±1%</t>
  </si>
  <si>
    <t>2.2K ±1%</t>
  </si>
  <si>
    <t>1M ±1%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</si>
</sst>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&quot;$&quot;#,##0.000"/>
    <numFmt numFmtId="166" formatCode="&quot;$&quot;#,##0.00_);[Red]\(&quot;$&quot;#,##0.00\)"/>
    <numFmt numFmtId="167" formatCode="[$-1009]d/mmm/yyyy;@"/>
  </numFmts>
  <fonts count="9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3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9">
    <xf numFmtId="0" fontId="0" fillId="3" borderId="0" xfId="0"/>
    <xf numFmtId="0" fontId="4" fillId="3" borderId="2" xfId="2" applyFont="1" applyFill="1" applyBorder="1"/>
    <xf numFmtId="165" fontId="2" fillId="3" borderId="3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5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vertical="top" wrapText="1"/>
    </xf>
    <xf numFmtId="0" fontId="4" fillId="3" borderId="0" xfId="2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/>
    </xf>
    <xf numFmtId="166" fontId="2" fillId="3" borderId="0" xfId="0" applyNumberFormat="1" applyFont="1" applyFill="1" applyBorder="1" applyAlignment="1">
      <alignment horizontal="center"/>
    </xf>
    <xf numFmtId="166" fontId="2" fillId="3" borderId="6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center" vertical="center"/>
    </xf>
    <xf numFmtId="0" fontId="4" fillId="3" borderId="5" xfId="2" applyFill="1" applyBorder="1" applyAlignment="1">
      <alignment vertical="top" wrapText="1"/>
    </xf>
    <xf numFmtId="0" fontId="4" fillId="3" borderId="0" xfId="2" applyFont="1" applyFill="1"/>
    <xf numFmtId="0" fontId="0" fillId="3" borderId="0" xfId="0" applyAlignment="1">
      <alignment horizontal="center"/>
    </xf>
    <xf numFmtId="165" fontId="0" fillId="3" borderId="0" xfId="0" applyNumberFormat="1" applyFont="1" applyFill="1" applyBorder="1" applyAlignment="1">
      <alignment horizontal="center" vertical="center" wrapText="1"/>
    </xf>
    <xf numFmtId="0" fontId="4" fillId="3" borderId="0" xfId="2" applyFill="1"/>
    <xf numFmtId="0" fontId="2" fillId="3" borderId="0" xfId="0" applyFont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3" borderId="8" xfId="2" applyFont="1" applyFill="1" applyBorder="1"/>
    <xf numFmtId="165" fontId="2" fillId="3" borderId="8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/>
    </xf>
    <xf numFmtId="166" fontId="2" fillId="3" borderId="9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vertical="top" wrapText="1"/>
    </xf>
    <xf numFmtId="0" fontId="4" fillId="0" borderId="11" xfId="2" applyFont="1" applyBorder="1"/>
    <xf numFmtId="0" fontId="2" fillId="3" borderId="3" xfId="0" applyNumberFormat="1" applyFont="1" applyFill="1" applyBorder="1" applyAlignment="1">
      <alignment horizontal="center" vertical="center" wrapText="1"/>
    </xf>
    <xf numFmtId="0" fontId="0" fillId="3" borderId="5" xfId="0" applyBorder="1"/>
    <xf numFmtId="0" fontId="4" fillId="3" borderId="12" xfId="2" applyFont="1" applyFill="1" applyBorder="1"/>
    <xf numFmtId="0" fontId="4" fillId="0" borderId="12" xfId="2" applyFont="1" applyBorder="1"/>
    <xf numFmtId="0" fontId="2" fillId="3" borderId="0" xfId="0" applyNumberFormat="1" applyFont="1" applyFill="1" applyBorder="1" applyAlignment="1">
      <alignment horizontal="center" vertical="center" wrapText="1"/>
    </xf>
    <xf numFmtId="0" fontId="4" fillId="3" borderId="13" xfId="2" applyFont="1" applyFill="1" applyBorder="1" applyAlignment="1"/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wrapText="1"/>
    </xf>
    <xf numFmtId="0" fontId="4" fillId="3" borderId="11" xfId="2" applyFont="1" applyFill="1" applyBorder="1"/>
    <xf numFmtId="165" fontId="0" fillId="3" borderId="0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3" borderId="13" xfId="2" applyFont="1" applyFill="1" applyBorder="1"/>
    <xf numFmtId="165" fontId="6" fillId="3" borderId="0" xfId="0" applyNumberFormat="1" applyFont="1" applyFill="1" applyBorder="1" applyAlignment="1">
      <alignment horizontal="center" vertical="center" wrapText="1"/>
    </xf>
    <xf numFmtId="1" fontId="6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66" fontId="5" fillId="3" borderId="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vertical="top" wrapText="1"/>
    </xf>
    <xf numFmtId="165" fontId="5" fillId="3" borderId="0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 vertical="center" wrapText="1"/>
    </xf>
    <xf numFmtId="165" fontId="5" fillId="3" borderId="3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/>
    </xf>
    <xf numFmtId="166" fontId="2" fillId="3" borderId="14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vertical="top" wrapText="1"/>
    </xf>
    <xf numFmtId="0" fontId="0" fillId="3" borderId="8" xfId="0" applyFill="1" applyBorder="1"/>
    <xf numFmtId="1" fontId="0" fillId="3" borderId="8" xfId="0" applyNumberFormat="1" applyFill="1" applyBorder="1"/>
    <xf numFmtId="0" fontId="0" fillId="3" borderId="9" xfId="0" applyFill="1" applyBorder="1"/>
    <xf numFmtId="1" fontId="5" fillId="3" borderId="8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6" fontId="5" fillId="3" borderId="8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4" fillId="3" borderId="10" xfId="2" applyFill="1" applyBorder="1" applyAlignment="1">
      <alignment vertical="top" wrapText="1"/>
    </xf>
    <xf numFmtId="0" fontId="0" fillId="3" borderId="5" xfId="0" applyFill="1" applyBorder="1"/>
    <xf numFmtId="0" fontId="4" fillId="3" borderId="5" xfId="2" applyFont="1" applyFill="1" applyBorder="1" applyAlignment="1">
      <alignment vertical="top" wrapText="1"/>
    </xf>
    <xf numFmtId="0" fontId="4" fillId="3" borderId="7" xfId="2" applyFont="1" applyFill="1" applyBorder="1" applyAlignment="1">
      <alignment vertical="top" wrapText="1"/>
    </xf>
    <xf numFmtId="0" fontId="0" fillId="3" borderId="10" xfId="0" applyBorder="1"/>
    <xf numFmtId="0" fontId="5" fillId="3" borderId="7" xfId="2" applyFont="1" applyFill="1" applyBorder="1" applyAlignment="1">
      <alignment vertical="top" wrapText="1"/>
    </xf>
    <xf numFmtId="1" fontId="2" fillId="3" borderId="3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0" fontId="4" fillId="3" borderId="7" xfId="2" applyFill="1" applyBorder="1" applyAlignment="1">
      <alignment vertical="top" wrapText="1"/>
    </xf>
    <xf numFmtId="165" fontId="0" fillId="3" borderId="3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vertical="top" wrapText="1"/>
    </xf>
    <xf numFmtId="3" fontId="2" fillId="3" borderId="8" xfId="0" applyNumberFormat="1" applyFont="1" applyFill="1" applyBorder="1" applyAlignment="1">
      <alignment horizontal="center"/>
    </xf>
    <xf numFmtId="1" fontId="2" fillId="3" borderId="3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" fontId="0" fillId="3" borderId="0" xfId="0" applyNumberFormat="1"/>
    <xf numFmtId="164" fontId="7" fillId="2" borderId="16" xfId="1" applyNumberFormat="1" applyFont="1" applyBorder="1" applyAlignment="1">
      <alignment horizontal="left"/>
    </xf>
    <xf numFmtId="0" fontId="7" fillId="2" borderId="16" xfId="1" applyFont="1" applyBorder="1" applyAlignment="1">
      <alignment horizontal="right"/>
    </xf>
    <xf numFmtId="164" fontId="7" fillId="2" borderId="17" xfId="1" applyNumberFormat="1" applyFont="1" applyBorder="1" applyAlignment="1">
      <alignment horizontal="left"/>
    </xf>
    <xf numFmtId="164" fontId="7" fillId="2" borderId="0" xfId="1" applyNumberFormat="1" applyFont="1" applyBorder="1" applyAlignment="1">
      <alignment horizontal="left"/>
    </xf>
    <xf numFmtId="0" fontId="7" fillId="2" borderId="0" xfId="1" applyFont="1" applyBorder="1" applyAlignment="1">
      <alignment horizontal="right"/>
    </xf>
    <xf numFmtId="0" fontId="0" fillId="3" borderId="0" xfId="0" applyAlignment="1">
      <alignment horizontal="left"/>
    </xf>
    <xf numFmtId="0" fontId="0" fillId="3" borderId="11" xfId="0" applyFont="1" applyFill="1" applyBorder="1"/>
    <xf numFmtId="0" fontId="4" fillId="0" borderId="0" xfId="2" applyFont="1"/>
    <xf numFmtId="0" fontId="0" fillId="3" borderId="13" xfId="0" applyFont="1" applyFill="1" applyBorder="1"/>
    <xf numFmtId="0" fontId="0" fillId="3" borderId="3" xfId="0" applyFont="1" applyBorder="1"/>
    <xf numFmtId="0" fontId="0" fillId="3" borderId="12" xfId="0" applyFont="1" applyFill="1" applyBorder="1"/>
    <xf numFmtId="0" fontId="0" fillId="3" borderId="0" xfId="0" applyFont="1"/>
    <xf numFmtId="0" fontId="0" fillId="3" borderId="0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7" fillId="2" borderId="0" xfId="1" applyFont="1" applyBorder="1" applyAlignment="1">
      <alignment horizontal="left"/>
    </xf>
    <xf numFmtId="164" fontId="3" fillId="3" borderId="18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164" fontId="3" fillId="3" borderId="20" xfId="0" applyNumberFormat="1" applyFont="1" applyFill="1" applyBorder="1" applyAlignment="1">
      <alignment horizontal="center" vertical="center" wrapText="1"/>
    </xf>
    <xf numFmtId="1" fontId="3" fillId="3" borderId="20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165" fontId="3" fillId="3" borderId="20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8" fillId="3" borderId="0" xfId="0" applyFont="1" applyAlignment="1">
      <alignment vertical="center"/>
    </xf>
    <xf numFmtId="167" fontId="8" fillId="3" borderId="0" xfId="0" applyNumberFormat="1" applyFont="1" applyAlignment="1">
      <alignment vertical="center"/>
    </xf>
    <xf numFmtId="165" fontId="5" fillId="3" borderId="10" xfId="0" applyNumberFormat="1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 vertical="center" wrapText="1"/>
    </xf>
    <xf numFmtId="165" fontId="5" fillId="3" borderId="7" xfId="0" applyNumberFormat="1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7" xfId="0" applyNumberFormat="1" applyFont="1" applyFill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 wrapText="1"/>
    </xf>
    <xf numFmtId="164" fontId="7" fillId="2" borderId="16" xfId="1" applyNumberFormat="1" applyFont="1" applyBorder="1" applyAlignment="1">
      <alignment horizontal="center" vertical="center" wrapText="1"/>
    </xf>
    <xf numFmtId="164" fontId="7" fillId="2" borderId="0" xfId="1" applyNumberFormat="1" applyFont="1" applyBorder="1" applyAlignment="1">
      <alignment horizontal="center" vertical="center" wrapText="1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 wrapText="1"/>
    </xf>
    <xf numFmtId="165" fontId="0" fillId="3" borderId="10" xfId="0" applyNumberFormat="1" applyFont="1" applyFill="1" applyBorder="1" applyAlignment="1">
      <alignment horizontal="center" vertical="center"/>
    </xf>
    <xf numFmtId="165" fontId="0" fillId="3" borderId="7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" fontId="0" fillId="3" borderId="16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0" fontId="7" fillId="2" borderId="16" xfId="1" applyFont="1" applyBorder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  <xf numFmtId="0" fontId="4" fillId="3" borderId="12" xfId="2" applyFill="1" applyBorder="1"/>
    <xf numFmtId="0" fontId="0" fillId="3" borderId="10" xfId="0" quotePrefix="1" applyFont="1" applyFill="1" applyBorder="1" applyAlignment="1">
      <alignment horizontal="left" vertical="top" wrapText="1"/>
    </xf>
    <xf numFmtId="0" fontId="0" fillId="3" borderId="5" xfId="0" quotePrefix="1" applyFont="1" applyFill="1" applyBorder="1" applyAlignment="1">
      <alignment horizontal="left" vertical="top" wrapText="1"/>
    </xf>
    <xf numFmtId="0" fontId="0" fillId="3" borderId="7" xfId="0" quotePrefix="1" applyFont="1" applyFill="1" applyBorder="1" applyAlignment="1">
      <alignment horizontal="left" vertical="top" wrapText="1"/>
    </xf>
    <xf numFmtId="1" fontId="0" fillId="3" borderId="0" xfId="0" applyNumberFormat="1" applyFont="1" applyFill="1" applyBorder="1" applyAlignment="1">
      <alignment horizontal="center" vertical="center" wrapText="1"/>
    </xf>
    <xf numFmtId="1" fontId="0" fillId="3" borderId="8" xfId="0" applyNumberFormat="1" applyFont="1" applyFill="1" applyBorder="1" applyAlignment="1">
      <alignment horizontal="center" vertical="center" wrapText="1"/>
    </xf>
    <xf numFmtId="0" fontId="0" fillId="3" borderId="0" xfId="0" applyAlignment="1">
      <alignment horizontal="center" vertical="center"/>
    </xf>
  </cellXfs>
  <cellStyles count="3">
    <cellStyle name="Accent1" xfId="1" builtinId="29"/>
    <cellStyle name="Hyperlink" xfId="2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g.element14.com/multicomp/mc0402x104k100ct/cap-mlcc-x5r-100nf-10v-0402/dp/1759380RL" TargetMode="External"/><Relationship Id="rId18" Type="http://schemas.openxmlformats.org/officeDocument/2006/relationships/hyperlink" Target="https://www.sparkfun.com/products/11823" TargetMode="External"/><Relationship Id="rId26" Type="http://schemas.openxmlformats.org/officeDocument/2006/relationships/hyperlink" Target="http://sg.element14.com/kingbright/ka-2810asursk/led-smd-2-8-x-0-8mm-side-view-red/dp/2146470" TargetMode="External"/><Relationship Id="rId39" Type="http://schemas.openxmlformats.org/officeDocument/2006/relationships/hyperlink" Target="http://sg.element14.com/multicomp/dtsm-32s-b/switch-spno-0-05a-12v-smd/dp/9471898?ost=DTSM-3" TargetMode="External"/><Relationship Id="rId21" Type="http://schemas.openxmlformats.org/officeDocument/2006/relationships/hyperlink" Target="https://www.sparkfun.com/products/12895" TargetMode="External"/><Relationship Id="rId34" Type="http://schemas.openxmlformats.org/officeDocument/2006/relationships/hyperlink" Target="http://sg.element14.com/richtek/rt9183-33gg/ic-ldo-fixed-3-3v-1-5a-sot-223/dp/2363116?MER=MER-BPR-4PPM-PD-NPIQ4Y14B&amp;" TargetMode="External"/><Relationship Id="rId42" Type="http://schemas.openxmlformats.org/officeDocument/2006/relationships/hyperlink" Target="http://sg.element14.com/murata/grm155r60j475me47d/cap-mlcc-x5r-4-7uf-6-3v-0402/dp/2426952" TargetMode="External"/><Relationship Id="rId47" Type="http://schemas.openxmlformats.org/officeDocument/2006/relationships/hyperlink" Target="http://sg.element14.com/susumu/rr1220p-105-d/resistor-thin-film-1mohm-100mw/dp/9369716" TargetMode="External"/><Relationship Id="rId7" Type="http://schemas.openxmlformats.org/officeDocument/2006/relationships/hyperlink" Target="http://sg.element14.com/vishay-draloric/crcw06032k00fkea/product-range-vishay-crcw-series/dp/1469764?Ntt=1469764" TargetMode="External"/><Relationship Id="rId2" Type="http://schemas.openxmlformats.org/officeDocument/2006/relationships/hyperlink" Target="http://sg.element14.com/measurement-specialties/htu21d/humidity-digital-3-rh-dfn-6/dp/2393536?Ntt=HTU21D" TargetMode="External"/><Relationship Id="rId16" Type="http://schemas.openxmlformats.org/officeDocument/2006/relationships/hyperlink" Target="http://sg.element14.com/jsp/search/productdetail.jsp?sku=1469748RL" TargetMode="External"/><Relationship Id="rId29" Type="http://schemas.openxmlformats.org/officeDocument/2006/relationships/hyperlink" Target="http://sg.element14.com/tdk/c1005x7r1e103k050bb/capacitor-ceramic-0-01uf-25v-x7r/dp/1844133?Ntt=1844133" TargetMode="External"/><Relationship Id="rId11" Type="http://schemas.openxmlformats.org/officeDocument/2006/relationships/hyperlink" Target="http://sg.element14.com/jsp/search/productdetail.jsp?sku=1469748RL" TargetMode="External"/><Relationship Id="rId24" Type="http://schemas.openxmlformats.org/officeDocument/2006/relationships/hyperlink" Target="http://www.digikey.sg/product-detail/en/PT2512FK-070R1L/311-0.1ARDKR-ND/2178416" TargetMode="External"/><Relationship Id="rId32" Type="http://schemas.openxmlformats.org/officeDocument/2006/relationships/hyperlink" Target="http://sg.element14.com/multicomp/mc00625w040214k7/resistor-4k7-0-063w-1-0402/dp/1358060" TargetMode="External"/><Relationship Id="rId37" Type="http://schemas.openxmlformats.org/officeDocument/2006/relationships/hyperlink" Target="http://sg.element14.com/webapp/wcs/stores/servlet/ProductDisplay?catalogId=15001&amp;langId=65&amp;urlRequestType=Base&amp;partNumber=1847433&amp;storeId=10191" TargetMode="External"/><Relationship Id="rId40" Type="http://schemas.openxmlformats.org/officeDocument/2006/relationships/hyperlink" Target="http://sg.element14.com/texas-instruments/opa344na-250/ic-op-amp-1mhz-0-8v-us-sot-23-5/dp/9547550" TargetMode="External"/><Relationship Id="rId45" Type="http://schemas.openxmlformats.org/officeDocument/2006/relationships/hyperlink" Target="http://sg.element14.com/yageo-phycomp/rc0402jr-072k2l/resistor-rc31-0402-2k2/dp/9232800RL" TargetMode="External"/><Relationship Id="rId5" Type="http://schemas.openxmlformats.org/officeDocument/2006/relationships/hyperlink" Target="http://sg.element14.com/jsp/search/productdetail.jsp?id=1332158" TargetMode="External"/><Relationship Id="rId15" Type="http://schemas.openxmlformats.org/officeDocument/2006/relationships/hyperlink" Target="http://sg.element14.com/yageo-phycomp/rc0603jr-07100rl/resistor-rc21-0603-100r/dp/9233253" TargetMode="External"/><Relationship Id="rId23" Type="http://schemas.openxmlformats.org/officeDocument/2006/relationships/hyperlink" Target="http://www.digikey.sg/product-detail/en/INA219AIDCNR/296-23770-1-ND/1952550" TargetMode="External"/><Relationship Id="rId28" Type="http://schemas.openxmlformats.org/officeDocument/2006/relationships/hyperlink" Target="http://sg.element14.com/multicomp/mc0402x104k100ct/cap-mlcc-x5r-100nf-10v-0402/dp/1759380RL" TargetMode="External"/><Relationship Id="rId36" Type="http://schemas.openxmlformats.org/officeDocument/2006/relationships/hyperlink" Target="http://www.digikey.sg/product-detail/en/GJM1555C1HR80BB01D/490-6080-2-ND/2593264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sg.element14.com/jsp/search/productdetail.jsp?sku=1469748RL" TargetMode="External"/><Relationship Id="rId19" Type="http://schemas.openxmlformats.org/officeDocument/2006/relationships/hyperlink" Target="http://sg.element14.com/te-connectivity-alcoswitch/fsm4jsmatr/switch-tactile-spst-50ma-smd-outside/dp/2410652" TargetMode="External"/><Relationship Id="rId31" Type="http://schemas.openxmlformats.org/officeDocument/2006/relationships/hyperlink" Target="http://sg.element14.com/murata/grm155r60j475me47d/cap-mlcc-x5r-4-7uf-6-3v-0402/dp/2426952" TargetMode="External"/><Relationship Id="rId44" Type="http://schemas.openxmlformats.org/officeDocument/2006/relationships/hyperlink" Target="http://sg.element14.com/multicomp/mc0402x104k100ct/cap-mlcc-x5r-100nf-10v-0402/dp/1759380RL" TargetMode="External"/><Relationship Id="rId4" Type="http://schemas.openxmlformats.org/officeDocument/2006/relationships/hyperlink" Target="http://www.digikey.sg/product-detail/en/TMP007AIYZFT/296-37914-1-ND/4900960" TargetMode="External"/><Relationship Id="rId9" Type="http://schemas.openxmlformats.org/officeDocument/2006/relationships/hyperlink" Target="http://sg.element14.com/jsp/search/productdetail.jsp?sku=1469748RL" TargetMode="External"/><Relationship Id="rId14" Type="http://schemas.openxmlformats.org/officeDocument/2006/relationships/hyperlink" Target="http://sg.element14.com/multicomp/mc0402x104k100ct/cap-mlcc-x5r-100nf-10v-0402/dp/1759380RL" TargetMode="External"/><Relationship Id="rId22" Type="http://schemas.openxmlformats.org/officeDocument/2006/relationships/hyperlink" Target="http://sg.element14.com/global-connector-technology/mem2051-00-195-00-a/connector-memory-card-micro-sd/dp/2143377" TargetMode="External"/><Relationship Id="rId27" Type="http://schemas.openxmlformats.org/officeDocument/2006/relationships/hyperlink" Target="http://sg.element14.com/multicomp/mc0402x104k100ct/cap-mlcc-x5r-100nf-10v-0402/dp/1759380RL" TargetMode="External"/><Relationship Id="rId30" Type="http://schemas.openxmlformats.org/officeDocument/2006/relationships/hyperlink" Target="http://sg.element14.com/murata/grm155r71h222ka01d/cap-mlcc-x7r-2-2nf-50v-0402/dp/1828884" TargetMode="External"/><Relationship Id="rId35" Type="http://schemas.openxmlformats.org/officeDocument/2006/relationships/hyperlink" Target="http://www.digikey.sg/product-detail/en/2450AT43B100E/712-1010-2-ND/1560681" TargetMode="External"/><Relationship Id="rId43" Type="http://schemas.openxmlformats.org/officeDocument/2006/relationships/hyperlink" Target="http://sg.element14.com/jsp/search/productdetail.jsp?sku=1288256" TargetMode="External"/><Relationship Id="rId48" Type="http://schemas.openxmlformats.org/officeDocument/2006/relationships/hyperlink" Target="http://www.digikey.sg/product-detail/en/CMA-4544PF-W/102-1721-ND/1869981" TargetMode="External"/><Relationship Id="rId8" Type="http://schemas.openxmlformats.org/officeDocument/2006/relationships/hyperlink" Target="http://sg.element14.com/jst-japan-solderless-terminals/s2b-ph-sm4-tb-lf-sn/connector-header-smt-r-a-2mm-2way/dp/9492615" TargetMode="External"/><Relationship Id="rId3" Type="http://schemas.openxmlformats.org/officeDocument/2006/relationships/hyperlink" Target="http://www.mouser.sg/ProductDetail/Bosch-Sensortec/BMP180/?qs=sGAEpiMZZMsrChSOYEGTCcbpL13VfRyojs5HQb1tBiU%3d" TargetMode="External"/><Relationship Id="rId12" Type="http://schemas.openxmlformats.org/officeDocument/2006/relationships/hyperlink" Target="http://sg.element14.com/multicomp/mc0402x104k100ct/cap-mlcc-x5r-100nf-10v-0402/dp/1759380RL" TargetMode="External"/><Relationship Id="rId17" Type="http://schemas.openxmlformats.org/officeDocument/2006/relationships/hyperlink" Target="http://sg.element14.com/jsp/search/productdetail.jsp?sku=2333009" TargetMode="External"/><Relationship Id="rId25" Type="http://schemas.openxmlformats.org/officeDocument/2006/relationships/hyperlink" Target="http://sg.element14.com/panasonic-electronic-components/erj1trsfr10u/resistor-2512-1w-1-0r1/dp/1717945?Ntt=1717945" TargetMode="External"/><Relationship Id="rId33" Type="http://schemas.openxmlformats.org/officeDocument/2006/relationships/hyperlink" Target="http://sg.element14.com/cree/clv1l-fkb-chmmqehbb7673673/led-red-green-blue-plcc-4/dp/2414451" TargetMode="External"/><Relationship Id="rId38" Type="http://schemas.openxmlformats.org/officeDocument/2006/relationships/hyperlink" Target="http://sg.element14.com/multicomp/mc00625w040211k/resistor-1k-0-063w-1-0402-reel/dp/2130354" TargetMode="External"/><Relationship Id="rId46" Type="http://schemas.openxmlformats.org/officeDocument/2006/relationships/hyperlink" Target="http://sg.element14.com/multicomp/mc0402n120k500ct/capacitor-ceramic-12pf-50v-c0g/dp/1709787" TargetMode="External"/><Relationship Id="rId20" Type="http://schemas.openxmlformats.org/officeDocument/2006/relationships/hyperlink" Target="http://sg.element14.com/eao/09-10290-01/switch-slide-spdt-co-500ma-thd/dp/674357" TargetMode="External"/><Relationship Id="rId41" Type="http://schemas.openxmlformats.org/officeDocument/2006/relationships/hyperlink" Target="http://sg.element14.com/jsp/search/productdetail.jsp?sku=1469748RL" TargetMode="External"/><Relationship Id="rId1" Type="http://schemas.openxmlformats.org/officeDocument/2006/relationships/hyperlink" Target="http://www.digikey.sg/product-search/en?k=+Photo+Light+Dependent+Resistors&amp;mnonly=0&amp;newproducts=0&amp;ColumnSort=1000011&amp;page=1&amp;stock=0&amp;pbfree=0&amp;rohs=0&amp;quantity=80000&amp;ptm=0&amp;fid=0&amp;pageSize=25" TargetMode="External"/><Relationship Id="rId6" Type="http://schemas.openxmlformats.org/officeDocument/2006/relationships/hyperlink" Target="http://sg.element14.com/jsp/search/productdetail.jsp?SKU=1568026&amp;MER=BN-EN-SER-1568026&amp;durl=cad2&amp;_requestid=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.75" x14ac:dyDescent="0.25"/>
  <cols>
    <col min="1" max="1" width="24" customWidth="1"/>
    <col min="2" max="2" width="27.75" style="103" customWidth="1"/>
    <col min="3" max="3" width="15" bestFit="1" customWidth="1"/>
    <col min="4" max="4" width="13.75" style="91" bestFit="1" customWidth="1"/>
    <col min="5" max="5" width="13.75" style="91" customWidth="1"/>
    <col min="6" max="6" width="18.625" style="91" bestFit="1" customWidth="1"/>
    <col min="7" max="7" width="22.375" style="91" bestFit="1" customWidth="1"/>
    <col min="8" max="8" width="14.875" customWidth="1"/>
    <col min="9" max="9" width="14.375" customWidth="1"/>
    <col min="11" max="11" width="11.625" customWidth="1"/>
    <col min="13" max="13" width="14.25" customWidth="1"/>
    <col min="14" max="14" width="13.25" customWidth="1"/>
    <col min="15" max="15" width="47.5" customWidth="1"/>
  </cols>
  <sheetData>
    <row r="1" spans="1:15" s="114" customFormat="1" ht="27.75" customHeight="1" x14ac:dyDescent="0.25">
      <c r="A1" s="114" t="s">
        <v>88</v>
      </c>
      <c r="B1" s="114" t="s">
        <v>89</v>
      </c>
      <c r="C1" s="114" t="s">
        <v>86</v>
      </c>
      <c r="D1" s="115">
        <v>42055</v>
      </c>
      <c r="E1" s="115"/>
      <c r="F1" s="115"/>
      <c r="G1" s="115"/>
    </row>
    <row r="2" spans="1:15" ht="48" thickBot="1" x14ac:dyDescent="0.3">
      <c r="A2" s="107" t="s">
        <v>0</v>
      </c>
      <c r="B2" s="108" t="s">
        <v>1</v>
      </c>
      <c r="C2" s="109" t="s">
        <v>2</v>
      </c>
      <c r="D2" s="110" t="s">
        <v>81</v>
      </c>
      <c r="E2" s="110" t="s">
        <v>90</v>
      </c>
      <c r="F2" s="110" t="s">
        <v>91</v>
      </c>
      <c r="G2" s="110" t="s">
        <v>92</v>
      </c>
      <c r="H2" s="111" t="s">
        <v>3</v>
      </c>
      <c r="I2" s="111" t="s">
        <v>93</v>
      </c>
      <c r="J2" s="109" t="s">
        <v>4</v>
      </c>
      <c r="K2" s="112" t="s">
        <v>5</v>
      </c>
      <c r="L2" s="109" t="s">
        <v>6</v>
      </c>
      <c r="M2" s="109" t="s">
        <v>7</v>
      </c>
      <c r="N2" s="107" t="s">
        <v>8</v>
      </c>
      <c r="O2" s="113" t="s">
        <v>9</v>
      </c>
    </row>
    <row r="3" spans="1:15" ht="21.75" customHeight="1" x14ac:dyDescent="0.25">
      <c r="A3" s="119" t="s">
        <v>10</v>
      </c>
      <c r="B3" s="1" t="s">
        <v>11</v>
      </c>
      <c r="C3" s="2"/>
      <c r="D3" s="3"/>
      <c r="E3" s="3"/>
      <c r="F3" s="3"/>
      <c r="G3" s="3"/>
      <c r="H3" s="4" t="s">
        <v>12</v>
      </c>
      <c r="I3" s="5"/>
      <c r="J3" s="6">
        <v>1</v>
      </c>
      <c r="K3" s="7">
        <f>2*convRate</f>
        <v>2.7</v>
      </c>
      <c r="L3" s="8">
        <f>J3*K3</f>
        <v>2.7</v>
      </c>
      <c r="M3" s="9">
        <f>J3*$M$76</f>
        <v>80000</v>
      </c>
      <c r="N3" s="10">
        <f>M3*K3</f>
        <v>216000</v>
      </c>
      <c r="O3" s="11" t="s">
        <v>13</v>
      </c>
    </row>
    <row r="4" spans="1:15" x14ac:dyDescent="0.25">
      <c r="A4" s="120"/>
      <c r="B4" s="12" t="s">
        <v>14</v>
      </c>
      <c r="C4" s="13"/>
      <c r="D4" s="3"/>
      <c r="E4" s="3"/>
      <c r="F4" s="3"/>
      <c r="G4" s="3"/>
      <c r="H4" s="4" t="s">
        <v>15</v>
      </c>
      <c r="I4" s="5">
        <v>2363116</v>
      </c>
      <c r="J4" s="9">
        <v>1</v>
      </c>
      <c r="K4" s="14">
        <v>0.38</v>
      </c>
      <c r="L4" s="15">
        <f>J4*K4</f>
        <v>0.38</v>
      </c>
      <c r="M4" s="9">
        <f>J4*$M$76</f>
        <v>80000</v>
      </c>
      <c r="N4" s="16">
        <f>M4*K4</f>
        <v>30400</v>
      </c>
      <c r="O4" s="11"/>
    </row>
    <row r="5" spans="1:15" x14ac:dyDescent="0.25">
      <c r="A5" s="121"/>
      <c r="B5" s="12" t="s">
        <v>16</v>
      </c>
      <c r="C5" s="13"/>
      <c r="D5" s="3"/>
      <c r="E5" s="3"/>
      <c r="F5" s="3"/>
      <c r="G5" s="3"/>
      <c r="H5" s="17"/>
      <c r="I5" s="5"/>
      <c r="J5" s="9">
        <v>1</v>
      </c>
      <c r="K5" s="14">
        <v>0.43</v>
      </c>
      <c r="L5" s="15">
        <f t="shared" ref="L5:L12" si="0">J5*K5</f>
        <v>0.43</v>
      </c>
      <c r="M5" s="9">
        <f>J5*$M$76</f>
        <v>80000</v>
      </c>
      <c r="N5" s="16">
        <f t="shared" ref="N5:N12" si="1">M5*K5</f>
        <v>34400</v>
      </c>
      <c r="O5" s="11"/>
    </row>
    <row r="6" spans="1:15" x14ac:dyDescent="0.25">
      <c r="A6" s="121"/>
      <c r="B6" s="12" t="s">
        <v>17</v>
      </c>
      <c r="C6" s="13"/>
      <c r="D6" s="3"/>
      <c r="E6" s="3"/>
      <c r="F6" s="3"/>
      <c r="G6" s="3"/>
      <c r="H6" s="17" t="s">
        <v>15</v>
      </c>
      <c r="I6" s="5">
        <v>1568026</v>
      </c>
      <c r="J6" s="9">
        <v>0</v>
      </c>
      <c r="K6" s="14">
        <f>IF(M76&gt;9,IF(M76&gt;24,IF(M76&gt;49,IF(M76&gt;1000,0.693,1.08),1.13),1.2),1.37)</f>
        <v>0.69299999999999995</v>
      </c>
      <c r="L6" s="15">
        <f t="shared" si="0"/>
        <v>0</v>
      </c>
      <c r="M6" s="9">
        <f>J6*$M$76</f>
        <v>0</v>
      </c>
      <c r="N6" s="16">
        <f t="shared" si="1"/>
        <v>0</v>
      </c>
      <c r="O6" s="18"/>
    </row>
    <row r="7" spans="1:15" x14ac:dyDescent="0.25">
      <c r="A7" s="121"/>
      <c r="B7" s="12" t="s">
        <v>85</v>
      </c>
      <c r="C7" s="13"/>
      <c r="D7" s="3"/>
      <c r="E7" s="3"/>
      <c r="F7" s="3"/>
      <c r="G7" s="3"/>
      <c r="H7" s="4" t="s">
        <v>15</v>
      </c>
      <c r="I7" s="5">
        <v>1847433</v>
      </c>
      <c r="J7" s="9">
        <v>1</v>
      </c>
      <c r="K7" s="14">
        <v>0.68500000000000005</v>
      </c>
      <c r="L7" s="15">
        <f t="shared" ref="L7" si="2">J7*K7</f>
        <v>0.68500000000000005</v>
      </c>
      <c r="M7" s="9">
        <f t="shared" ref="M7" si="3">J7*$M$76</f>
        <v>80000</v>
      </c>
      <c r="N7" s="16">
        <f t="shared" ref="N7" si="4">M7*K7</f>
        <v>54800.000000000007</v>
      </c>
      <c r="O7" s="18"/>
    </row>
    <row r="8" spans="1:15" x14ac:dyDescent="0.25">
      <c r="A8" s="121"/>
      <c r="B8" s="19" t="s">
        <v>18</v>
      </c>
      <c r="C8" s="20"/>
      <c r="D8" s="20">
        <v>402</v>
      </c>
      <c r="E8" s="20"/>
      <c r="F8" s="20"/>
      <c r="G8" s="20"/>
      <c r="H8" s="5" t="s">
        <v>15</v>
      </c>
      <c r="I8" s="5">
        <v>2426952</v>
      </c>
      <c r="J8" s="9">
        <v>2</v>
      </c>
      <c r="K8" s="14">
        <f>IF(M41&gt;9,IF(M41&gt;=100,IF(M41&gt;500,0.085,0.106),0.134),0.169)</f>
        <v>0.16900000000000001</v>
      </c>
      <c r="L8" s="15">
        <f t="shared" si="0"/>
        <v>0.33800000000000002</v>
      </c>
      <c r="M8" s="9">
        <f>J8*$M$76</f>
        <v>160000</v>
      </c>
      <c r="N8" s="16">
        <f t="shared" si="1"/>
        <v>27040</v>
      </c>
      <c r="O8" s="11"/>
    </row>
    <row r="9" spans="1:15" x14ac:dyDescent="0.25">
      <c r="A9" s="121"/>
      <c r="B9" s="12" t="s">
        <v>19</v>
      </c>
      <c r="C9" s="21"/>
      <c r="D9" s="3">
        <v>603</v>
      </c>
      <c r="E9" s="3"/>
      <c r="F9" s="3"/>
      <c r="G9" s="3"/>
      <c r="H9" s="17" t="s">
        <v>15</v>
      </c>
      <c r="I9" s="5">
        <v>1469764</v>
      </c>
      <c r="J9" s="9">
        <v>1</v>
      </c>
      <c r="K9" s="14">
        <v>8.9999999999999993E-3</v>
      </c>
      <c r="L9" s="15">
        <f t="shared" si="0"/>
        <v>8.9999999999999993E-3</v>
      </c>
      <c r="M9" s="9">
        <f>J9*$M$76</f>
        <v>80000</v>
      </c>
      <c r="N9" s="16">
        <f t="shared" si="1"/>
        <v>720</v>
      </c>
      <c r="O9" s="11"/>
    </row>
    <row r="10" spans="1:15" x14ac:dyDescent="0.25">
      <c r="A10" s="121"/>
      <c r="B10" s="19" t="s">
        <v>20</v>
      </c>
      <c r="C10" s="20"/>
      <c r="D10" s="23">
        <v>603</v>
      </c>
      <c r="E10" s="23"/>
      <c r="F10" s="23"/>
      <c r="G10" s="23"/>
      <c r="H10" s="5" t="s">
        <v>15</v>
      </c>
      <c r="I10" s="5">
        <v>9233253</v>
      </c>
      <c r="J10" s="9">
        <v>1</v>
      </c>
      <c r="K10" s="14">
        <v>1E-3</v>
      </c>
      <c r="L10" s="15">
        <f t="shared" si="0"/>
        <v>1E-3</v>
      </c>
      <c r="M10" s="9">
        <f>J10*$M$76</f>
        <v>80000</v>
      </c>
      <c r="N10" s="16">
        <f t="shared" si="1"/>
        <v>80</v>
      </c>
      <c r="O10" s="11"/>
    </row>
    <row r="11" spans="1:15" x14ac:dyDescent="0.25">
      <c r="A11" s="121"/>
      <c r="B11" s="12" t="s">
        <v>21</v>
      </c>
      <c r="C11" s="13"/>
      <c r="D11" s="3"/>
      <c r="E11" s="3"/>
      <c r="F11" s="3"/>
      <c r="G11" s="3"/>
      <c r="H11" s="24" t="s">
        <v>15</v>
      </c>
      <c r="I11" s="5">
        <v>2146470</v>
      </c>
      <c r="J11" s="25">
        <v>1</v>
      </c>
      <c r="K11" s="14">
        <f>IF(M76&gt;9,IF(M76&gt;50,IF(M76&gt;100,IF(M76&gt;=250,0.297,0.326),0.386),0.413),0.475)</f>
        <v>0.29699999999999999</v>
      </c>
      <c r="L11" s="15">
        <f t="shared" si="0"/>
        <v>0.29699999999999999</v>
      </c>
      <c r="M11" s="9">
        <f>J11*$M$76</f>
        <v>80000</v>
      </c>
      <c r="N11" s="16">
        <f t="shared" si="1"/>
        <v>23760</v>
      </c>
      <c r="O11" s="11"/>
    </row>
    <row r="12" spans="1:15" x14ac:dyDescent="0.25">
      <c r="A12" s="121"/>
      <c r="B12" s="12" t="s">
        <v>22</v>
      </c>
      <c r="C12" s="13"/>
      <c r="D12" s="3"/>
      <c r="E12" s="3"/>
      <c r="F12" s="3"/>
      <c r="G12" s="3"/>
      <c r="H12" s="14" t="s">
        <v>15</v>
      </c>
      <c r="I12" s="5">
        <v>9492615</v>
      </c>
      <c r="J12" s="9">
        <v>1</v>
      </c>
      <c r="K12" s="14">
        <f>IF(M76&gt;9,IF(M76&gt;=100,IF(M76&gt;250,IF(M76&gt;=1000,0.832,0.92),1.17),1.43),1.43)</f>
        <v>0.83199999999999996</v>
      </c>
      <c r="L12" s="15">
        <f t="shared" si="0"/>
        <v>0.83199999999999996</v>
      </c>
      <c r="M12" s="9">
        <f>J12*$M$76</f>
        <v>80000</v>
      </c>
      <c r="N12" s="16">
        <f t="shared" si="1"/>
        <v>66560</v>
      </c>
      <c r="O12" s="11"/>
    </row>
    <row r="13" spans="1:15" x14ac:dyDescent="0.25">
      <c r="A13" s="122"/>
      <c r="B13" s="26"/>
      <c r="C13" s="27"/>
      <c r="D13" s="28"/>
      <c r="E13" s="28"/>
      <c r="F13" s="28"/>
      <c r="G13" s="28"/>
      <c r="H13" s="29"/>
      <c r="I13" s="30"/>
      <c r="J13" s="31"/>
      <c r="K13" s="29"/>
      <c r="L13" s="32"/>
      <c r="M13" s="31">
        <f>J13*$M$76</f>
        <v>0</v>
      </c>
      <c r="N13" s="33"/>
      <c r="O13" s="34"/>
    </row>
    <row r="14" spans="1:15" x14ac:dyDescent="0.25">
      <c r="A14" s="123" t="s">
        <v>23</v>
      </c>
      <c r="B14" s="35" t="s">
        <v>24</v>
      </c>
      <c r="C14" s="36"/>
      <c r="D14" s="3"/>
      <c r="E14" s="3"/>
      <c r="F14" s="3"/>
      <c r="G14" s="3"/>
      <c r="H14" s="14"/>
      <c r="I14" s="5"/>
      <c r="J14" s="9">
        <v>1</v>
      </c>
      <c r="K14" s="14">
        <v>0.86</v>
      </c>
      <c r="L14" s="15">
        <f t="shared" ref="L14:L17" si="5">J14*K14</f>
        <v>0.86</v>
      </c>
      <c r="M14" s="9">
        <f>J14*$M$76</f>
        <v>80000</v>
      </c>
      <c r="N14" s="16">
        <f t="shared" ref="N14:N17" si="6">K14*M14</f>
        <v>68800</v>
      </c>
      <c r="O14" s="37"/>
    </row>
    <row r="15" spans="1:15" x14ac:dyDescent="0.25">
      <c r="A15" s="121"/>
      <c r="B15" s="38" t="s">
        <v>25</v>
      </c>
      <c r="C15" s="13"/>
      <c r="D15" s="3">
        <v>402</v>
      </c>
      <c r="E15" s="3"/>
      <c r="F15" s="3"/>
      <c r="G15" s="3"/>
      <c r="H15" s="14" t="s">
        <v>15</v>
      </c>
      <c r="I15" s="5" t="s">
        <v>26</v>
      </c>
      <c r="J15" s="9">
        <v>1</v>
      </c>
      <c r="K15" s="14">
        <v>3.0000000000000001E-3</v>
      </c>
      <c r="L15" s="15">
        <f xml:space="preserve"> J15*K15</f>
        <v>3.0000000000000001E-3</v>
      </c>
      <c r="M15" s="9">
        <f>J15*$M$76</f>
        <v>80000</v>
      </c>
      <c r="N15" s="16">
        <f t="shared" ref="N15" si="7">M15*K15</f>
        <v>240</v>
      </c>
      <c r="O15" s="11"/>
    </row>
    <row r="16" spans="1:15" x14ac:dyDescent="0.25">
      <c r="A16" s="121"/>
      <c r="B16" s="39" t="s">
        <v>27</v>
      </c>
      <c r="C16" s="40"/>
      <c r="D16" s="3">
        <v>2512</v>
      </c>
      <c r="E16" s="3"/>
      <c r="F16" s="3"/>
      <c r="G16" s="3"/>
      <c r="H16" s="14" t="s">
        <v>28</v>
      </c>
      <c r="I16" s="14" t="s">
        <v>29</v>
      </c>
      <c r="J16" s="9">
        <v>0</v>
      </c>
      <c r="K16" s="14">
        <v>0.44</v>
      </c>
      <c r="L16" s="15">
        <f t="shared" si="5"/>
        <v>0</v>
      </c>
      <c r="M16" s="9">
        <f>J16*$M$76</f>
        <v>0</v>
      </c>
      <c r="N16" s="16">
        <f t="shared" si="6"/>
        <v>0</v>
      </c>
      <c r="O16" s="11"/>
    </row>
    <row r="17" spans="1:15" x14ac:dyDescent="0.25">
      <c r="A17" s="122"/>
      <c r="B17" s="41" t="s">
        <v>30</v>
      </c>
      <c r="C17" s="42"/>
      <c r="D17" s="28">
        <v>2512</v>
      </c>
      <c r="E17" s="28"/>
      <c r="F17" s="28"/>
      <c r="G17" s="28"/>
      <c r="H17" s="29" t="s">
        <v>15</v>
      </c>
      <c r="I17" s="30">
        <v>1717945</v>
      </c>
      <c r="J17" s="31">
        <v>1</v>
      </c>
      <c r="K17" s="29">
        <v>0.34100000000000003</v>
      </c>
      <c r="L17" s="32">
        <f t="shared" si="5"/>
        <v>0.34100000000000003</v>
      </c>
      <c r="M17" s="31">
        <f>J17*$M$76</f>
        <v>80000</v>
      </c>
      <c r="N17" s="33">
        <f t="shared" si="6"/>
        <v>27280.000000000004</v>
      </c>
      <c r="O17" s="43"/>
    </row>
    <row r="18" spans="1:15" x14ac:dyDescent="0.25">
      <c r="A18" s="121" t="s">
        <v>31</v>
      </c>
      <c r="B18" s="44" t="s">
        <v>32</v>
      </c>
      <c r="C18" s="13"/>
      <c r="D18" s="3"/>
      <c r="E18" s="3"/>
      <c r="F18" s="3"/>
      <c r="G18" s="3"/>
      <c r="H18" s="45" t="s">
        <v>33</v>
      </c>
      <c r="I18" s="5"/>
      <c r="J18" s="9">
        <v>1</v>
      </c>
      <c r="K18" s="14">
        <f>6.6*convRate</f>
        <v>8.91</v>
      </c>
      <c r="L18" s="15">
        <f>J18*K18</f>
        <v>8.91</v>
      </c>
      <c r="M18" s="9">
        <f>J18*$M$76</f>
        <v>80000</v>
      </c>
      <c r="N18" s="16">
        <f>M18*K18</f>
        <v>712800</v>
      </c>
      <c r="O18" s="46" t="s">
        <v>13</v>
      </c>
    </row>
    <row r="19" spans="1:15" x14ac:dyDescent="0.25">
      <c r="A19" s="121"/>
      <c r="B19" s="19" t="s">
        <v>34</v>
      </c>
      <c r="C19" s="20"/>
      <c r="D19" s="20">
        <v>603</v>
      </c>
      <c r="E19" s="20"/>
      <c r="F19" s="20"/>
      <c r="G19" s="20"/>
      <c r="H19" s="14" t="s">
        <v>15</v>
      </c>
      <c r="I19" s="5" t="s">
        <v>35</v>
      </c>
      <c r="J19" s="9">
        <v>2</v>
      </c>
      <c r="K19" s="14">
        <v>4.0000000000000001E-3</v>
      </c>
      <c r="L19" s="15">
        <f>K19*J19</f>
        <v>8.0000000000000002E-3</v>
      </c>
      <c r="M19" s="9">
        <f>J19*$M$76</f>
        <v>160000</v>
      </c>
      <c r="N19" s="16">
        <f>M19*K19</f>
        <v>640</v>
      </c>
      <c r="O19" s="47"/>
    </row>
    <row r="20" spans="1:15" x14ac:dyDescent="0.25">
      <c r="A20" s="121"/>
      <c r="B20" s="38" t="s">
        <v>94</v>
      </c>
      <c r="C20" s="13"/>
      <c r="D20" s="3"/>
      <c r="E20" s="3"/>
      <c r="F20" s="3"/>
      <c r="G20" s="3"/>
      <c r="H20" s="14" t="s">
        <v>15</v>
      </c>
      <c r="I20" s="5">
        <v>2410652</v>
      </c>
      <c r="J20" s="9">
        <v>2</v>
      </c>
      <c r="K20" s="14">
        <v>0.183</v>
      </c>
      <c r="L20" s="15">
        <f>K20*J20</f>
        <v>0.36599999999999999</v>
      </c>
      <c r="M20" s="9">
        <f>J20*$M$76</f>
        <v>160000</v>
      </c>
      <c r="N20" s="16">
        <f>M20*K20</f>
        <v>29280</v>
      </c>
      <c r="O20" s="47"/>
    </row>
    <row r="21" spans="1:15" x14ac:dyDescent="0.25">
      <c r="A21" s="121"/>
      <c r="B21" s="142" t="s">
        <v>95</v>
      </c>
      <c r="C21" s="13"/>
      <c r="D21" s="3"/>
      <c r="E21" s="3"/>
      <c r="F21" s="3"/>
      <c r="G21" s="3"/>
      <c r="H21" s="45" t="s">
        <v>15</v>
      </c>
      <c r="I21" s="5">
        <v>9471898</v>
      </c>
      <c r="J21" s="9">
        <v>2</v>
      </c>
      <c r="K21" s="14">
        <v>0.254</v>
      </c>
      <c r="L21" s="15">
        <f>K21*J21</f>
        <v>0.50800000000000001</v>
      </c>
      <c r="M21" s="9">
        <f t="shared" ref="M21" si="8">J21*$M$76</f>
        <v>160000</v>
      </c>
      <c r="N21" s="16">
        <f>M21*K21</f>
        <v>40640</v>
      </c>
      <c r="O21" s="47"/>
    </row>
    <row r="22" spans="1:15" x14ac:dyDescent="0.25">
      <c r="A22" s="121"/>
      <c r="B22" s="38" t="s">
        <v>36</v>
      </c>
      <c r="C22" s="13"/>
      <c r="D22" s="3"/>
      <c r="E22" s="3"/>
      <c r="F22" s="3"/>
      <c r="G22" s="3"/>
      <c r="H22" s="14" t="s">
        <v>15</v>
      </c>
      <c r="I22" s="5">
        <v>1634623</v>
      </c>
      <c r="J22" s="9">
        <v>1</v>
      </c>
      <c r="K22" s="14">
        <v>2.15</v>
      </c>
      <c r="L22" s="15">
        <f t="shared" ref="L22:L28" si="9">K22*J22</f>
        <v>2.15</v>
      </c>
      <c r="M22" s="9">
        <f>J22*$M$76</f>
        <v>80000</v>
      </c>
      <c r="N22" s="16">
        <f t="shared" ref="N22:N28" si="10">M22*K22</f>
        <v>172000</v>
      </c>
      <c r="O22" s="47"/>
    </row>
    <row r="23" spans="1:15" x14ac:dyDescent="0.25">
      <c r="A23" s="121"/>
      <c r="B23" s="99" t="s">
        <v>37</v>
      </c>
      <c r="C23" s="13"/>
      <c r="D23" s="3">
        <v>402</v>
      </c>
      <c r="E23" s="3"/>
      <c r="F23" s="3"/>
      <c r="G23" s="3"/>
      <c r="H23" s="14" t="s">
        <v>15</v>
      </c>
      <c r="I23" s="5">
        <v>1358060</v>
      </c>
      <c r="J23" s="9">
        <v>2</v>
      </c>
      <c r="K23" s="14">
        <f>IF(M76&gt;50,IF(M76&gt;=250,IF(M76&gt;1000,IF(M76&gt;=5000,0.002,0.004),0.007),0.008),0.008)</f>
        <v>2E-3</v>
      </c>
      <c r="L23" s="15">
        <f t="shared" si="9"/>
        <v>4.0000000000000001E-3</v>
      </c>
      <c r="M23" s="9">
        <f>J23*$M$76</f>
        <v>160000</v>
      </c>
      <c r="N23" s="16">
        <f t="shared" si="10"/>
        <v>320</v>
      </c>
      <c r="O23" s="47"/>
    </row>
    <row r="24" spans="1:15" x14ac:dyDescent="0.25">
      <c r="A24" s="121"/>
      <c r="B24" s="19" t="s">
        <v>38</v>
      </c>
      <c r="C24" s="13"/>
      <c r="D24" s="3"/>
      <c r="E24" s="3"/>
      <c r="F24" s="3"/>
      <c r="G24" s="3"/>
      <c r="H24" s="45" t="s">
        <v>15</v>
      </c>
      <c r="I24" s="5">
        <v>2414451</v>
      </c>
      <c r="J24" s="9">
        <v>1</v>
      </c>
      <c r="K24" s="14">
        <v>0.3</v>
      </c>
      <c r="L24" s="15">
        <f t="shared" si="9"/>
        <v>0.3</v>
      </c>
      <c r="M24" s="9">
        <f>J24*$M$76</f>
        <v>80000</v>
      </c>
      <c r="N24" s="16">
        <f t="shared" si="10"/>
        <v>24000</v>
      </c>
      <c r="O24" s="47"/>
    </row>
    <row r="25" spans="1:15" x14ac:dyDescent="0.25">
      <c r="A25" s="121"/>
      <c r="B25" s="22" t="s">
        <v>39</v>
      </c>
      <c r="C25" s="13"/>
      <c r="D25" s="3"/>
      <c r="E25" s="3"/>
      <c r="F25" s="3"/>
      <c r="G25" s="3"/>
      <c r="H25" s="45" t="s">
        <v>28</v>
      </c>
      <c r="I25" s="5" t="s">
        <v>77</v>
      </c>
      <c r="J25" s="9">
        <v>1</v>
      </c>
      <c r="K25" s="14">
        <v>0.33078000000000002</v>
      </c>
      <c r="L25" s="15">
        <f t="shared" si="9"/>
        <v>0.33078000000000002</v>
      </c>
      <c r="M25" s="9">
        <f>J25*$M$76</f>
        <v>80000</v>
      </c>
      <c r="N25" s="16">
        <f t="shared" si="10"/>
        <v>26462.400000000001</v>
      </c>
      <c r="O25" s="47"/>
    </row>
    <row r="26" spans="1:15" x14ac:dyDescent="0.25">
      <c r="A26" s="121"/>
      <c r="B26" s="19" t="s">
        <v>78</v>
      </c>
      <c r="C26" s="13"/>
      <c r="D26" s="3"/>
      <c r="E26" s="3"/>
      <c r="F26" s="3"/>
      <c r="G26" s="3"/>
      <c r="H26" s="45" t="s">
        <v>28</v>
      </c>
      <c r="I26" s="5" t="s">
        <v>82</v>
      </c>
      <c r="J26" s="9">
        <v>1</v>
      </c>
      <c r="K26" s="14">
        <v>3.3570000000000003E-2</v>
      </c>
      <c r="L26" s="15">
        <f t="shared" si="9"/>
        <v>3.3570000000000003E-2</v>
      </c>
      <c r="M26" s="9">
        <f>J26*$M$76</f>
        <v>80000</v>
      </c>
      <c r="N26" s="16">
        <f t="shared" si="10"/>
        <v>2685.6000000000004</v>
      </c>
      <c r="O26" s="47"/>
    </row>
    <row r="27" spans="1:15" x14ac:dyDescent="0.25">
      <c r="A27" s="121"/>
      <c r="B27" s="19" t="s">
        <v>79</v>
      </c>
      <c r="C27" s="13"/>
      <c r="D27" s="3"/>
      <c r="E27" s="3"/>
      <c r="F27" s="3"/>
      <c r="G27" s="3"/>
      <c r="H27" s="45" t="s">
        <v>83</v>
      </c>
      <c r="I27" s="104" t="s">
        <v>84</v>
      </c>
      <c r="J27" s="9">
        <v>1</v>
      </c>
      <c r="K27" s="14"/>
      <c r="L27" s="15">
        <f t="shared" si="9"/>
        <v>0</v>
      </c>
      <c r="M27" s="9">
        <f>J27*$M$76</f>
        <v>80000</v>
      </c>
      <c r="N27" s="16">
        <f t="shared" si="10"/>
        <v>0</v>
      </c>
      <c r="O27" s="47"/>
    </row>
    <row r="28" spans="1:15" x14ac:dyDescent="0.25">
      <c r="A28" s="121"/>
      <c r="B28" s="22" t="s">
        <v>80</v>
      </c>
      <c r="C28" s="13"/>
      <c r="D28" s="3"/>
      <c r="E28" s="3"/>
      <c r="F28" s="3"/>
      <c r="G28" s="3"/>
      <c r="H28" s="45" t="s">
        <v>15</v>
      </c>
      <c r="I28" s="5">
        <v>2130354</v>
      </c>
      <c r="J28" s="9">
        <v>4</v>
      </c>
      <c r="K28" s="14">
        <v>1.8E-3</v>
      </c>
      <c r="L28" s="15">
        <f t="shared" si="9"/>
        <v>7.1999999999999998E-3</v>
      </c>
      <c r="M28" s="9">
        <f>J28*$M$76</f>
        <v>320000</v>
      </c>
      <c r="N28" s="16">
        <f t="shared" si="10"/>
        <v>576</v>
      </c>
      <c r="O28" s="47"/>
    </row>
    <row r="29" spans="1:15" x14ac:dyDescent="0.25">
      <c r="A29" s="121"/>
      <c r="B29" s="48"/>
      <c r="C29" s="27"/>
      <c r="D29" s="28"/>
      <c r="E29" s="28"/>
      <c r="F29" s="28"/>
      <c r="G29" s="28"/>
      <c r="H29" s="29"/>
      <c r="I29" s="30"/>
      <c r="J29" s="31"/>
      <c r="K29" s="29"/>
      <c r="L29" s="32"/>
      <c r="M29" s="31">
        <f>J29*$M$76</f>
        <v>0</v>
      </c>
      <c r="N29" s="33"/>
      <c r="O29" s="47"/>
    </row>
    <row r="30" spans="1:15" x14ac:dyDescent="0.25">
      <c r="A30" s="116" t="s">
        <v>40</v>
      </c>
      <c r="B30" s="38" t="s">
        <v>41</v>
      </c>
      <c r="C30" s="49"/>
      <c r="D30" s="50"/>
      <c r="E30" s="50"/>
      <c r="F30" s="50"/>
      <c r="G30" s="50"/>
      <c r="H30" s="14"/>
      <c r="I30" s="5"/>
      <c r="J30" s="51">
        <v>1</v>
      </c>
      <c r="K30" s="52">
        <v>0.55000000000000004</v>
      </c>
      <c r="L30" s="53">
        <f>J30*K30</f>
        <v>0.55000000000000004</v>
      </c>
      <c r="M30" s="9">
        <f>J30*$M$76</f>
        <v>80000</v>
      </c>
      <c r="N30" s="16">
        <f>K30*M30</f>
        <v>44000</v>
      </c>
      <c r="O30" s="54"/>
    </row>
    <row r="31" spans="1:15" x14ac:dyDescent="0.25">
      <c r="A31" s="117"/>
      <c r="B31" s="38" t="s">
        <v>42</v>
      </c>
      <c r="C31" s="55"/>
      <c r="D31" s="56"/>
      <c r="E31" s="56"/>
      <c r="F31" s="56"/>
      <c r="G31" s="56"/>
      <c r="H31" s="14" t="s">
        <v>43</v>
      </c>
      <c r="I31" s="5"/>
      <c r="J31" s="51">
        <v>1</v>
      </c>
      <c r="K31" s="52">
        <v>5</v>
      </c>
      <c r="L31" s="53">
        <f t="shared" ref="L31:L32" si="11">J31*K31</f>
        <v>5</v>
      </c>
      <c r="M31" s="31">
        <f>J31*$M$76</f>
        <v>80000</v>
      </c>
      <c r="N31" s="16">
        <f t="shared" ref="N31" si="12">K31*M31</f>
        <v>400000</v>
      </c>
      <c r="O31" s="34"/>
    </row>
    <row r="32" spans="1:15" x14ac:dyDescent="0.25">
      <c r="A32" s="116" t="s">
        <v>44</v>
      </c>
      <c r="B32" s="35" t="s">
        <v>45</v>
      </c>
      <c r="C32" s="57"/>
      <c r="D32" s="58"/>
      <c r="E32" s="58"/>
      <c r="F32" s="58"/>
      <c r="G32" s="58"/>
      <c r="H32" s="7"/>
      <c r="I32" s="59"/>
      <c r="J32" s="6">
        <v>1</v>
      </c>
      <c r="K32" s="7">
        <v>4.71</v>
      </c>
      <c r="L32" s="60">
        <f t="shared" si="11"/>
        <v>4.71</v>
      </c>
      <c r="M32" s="9">
        <f>J32*$M$76</f>
        <v>80000</v>
      </c>
      <c r="N32" s="61">
        <f>M32*K32</f>
        <v>376800</v>
      </c>
      <c r="O32" s="62"/>
    </row>
    <row r="33" spans="1:15" x14ac:dyDescent="0.25">
      <c r="A33" s="117"/>
      <c r="B33" s="38" t="s">
        <v>25</v>
      </c>
      <c r="C33" s="13"/>
      <c r="D33" s="3">
        <v>402</v>
      </c>
      <c r="E33" s="3"/>
      <c r="F33" s="3"/>
      <c r="G33" s="3"/>
      <c r="H33" s="14" t="s">
        <v>15</v>
      </c>
      <c r="I33" s="5" t="s">
        <v>26</v>
      </c>
      <c r="J33" s="9">
        <v>2</v>
      </c>
      <c r="K33" s="14">
        <v>3.0000000000000001E-3</v>
      </c>
      <c r="L33" s="15">
        <f xml:space="preserve"> J33*K33</f>
        <v>6.0000000000000001E-3</v>
      </c>
      <c r="M33" s="9">
        <f>J33*$M$76</f>
        <v>160000</v>
      </c>
      <c r="N33" s="16">
        <f t="shared" ref="N33" si="13">M33*K33</f>
        <v>480</v>
      </c>
      <c r="O33" s="11"/>
    </row>
    <row r="34" spans="1:15" x14ac:dyDescent="0.25">
      <c r="A34" s="117"/>
      <c r="B34" s="38" t="s">
        <v>46</v>
      </c>
      <c r="C34" s="40"/>
      <c r="D34" s="3">
        <v>402</v>
      </c>
      <c r="E34" s="3"/>
      <c r="F34" s="3"/>
      <c r="G34" s="3"/>
      <c r="H34" s="14" t="s">
        <v>15</v>
      </c>
      <c r="I34" s="5">
        <v>1844133</v>
      </c>
      <c r="J34" s="9">
        <v>1</v>
      </c>
      <c r="K34" s="14">
        <v>6.5000000000000002E-2</v>
      </c>
      <c r="L34" s="15">
        <f t="shared" ref="L34:L35" si="14">K34*J34</f>
        <v>6.5000000000000002E-2</v>
      </c>
      <c r="M34" s="9">
        <f>J34*$M$76</f>
        <v>80000</v>
      </c>
      <c r="N34" s="16">
        <f t="shared" ref="N34:N35" si="15">K34*M34</f>
        <v>5200</v>
      </c>
      <c r="O34" s="11"/>
    </row>
    <row r="35" spans="1:15" x14ac:dyDescent="0.25">
      <c r="A35" s="117"/>
      <c r="B35" s="38" t="s">
        <v>47</v>
      </c>
      <c r="C35" s="40"/>
      <c r="D35" s="3">
        <v>402</v>
      </c>
      <c r="E35" s="3"/>
      <c r="F35" s="3"/>
      <c r="G35" s="3"/>
      <c r="H35" s="14" t="s">
        <v>15</v>
      </c>
      <c r="I35" s="5">
        <v>1828884</v>
      </c>
      <c r="J35" s="9">
        <v>1</v>
      </c>
      <c r="K35" s="14">
        <v>0.01</v>
      </c>
      <c r="L35" s="15">
        <f t="shared" si="14"/>
        <v>0.01</v>
      </c>
      <c r="M35" s="9">
        <f>J35*$M$76</f>
        <v>80000</v>
      </c>
      <c r="N35" s="16">
        <f t="shared" si="15"/>
        <v>800</v>
      </c>
      <c r="O35" s="11"/>
    </row>
    <row r="36" spans="1:15" x14ac:dyDescent="0.25">
      <c r="A36" s="118"/>
      <c r="B36" s="100"/>
      <c r="C36" s="63"/>
      <c r="D36" s="64"/>
      <c r="E36" s="64"/>
      <c r="F36" s="64"/>
      <c r="G36" s="64"/>
      <c r="H36" s="63"/>
      <c r="I36" s="63"/>
      <c r="J36" s="63"/>
      <c r="K36" s="63"/>
      <c r="L36" s="63"/>
      <c r="M36" s="31">
        <f>J36*$M$76</f>
        <v>0</v>
      </c>
      <c r="N36" s="65"/>
      <c r="O36" s="34"/>
    </row>
    <row r="37" spans="1:15" x14ac:dyDescent="0.25">
      <c r="A37" s="116" t="s">
        <v>48</v>
      </c>
      <c r="B37" s="38" t="s">
        <v>49</v>
      </c>
      <c r="C37" s="55"/>
      <c r="D37" s="56"/>
      <c r="E37" s="56"/>
      <c r="F37" s="56"/>
      <c r="G37" s="56"/>
      <c r="H37" s="14" t="s">
        <v>28</v>
      </c>
      <c r="I37" s="5"/>
      <c r="J37" s="51">
        <v>1</v>
      </c>
      <c r="K37" s="52">
        <v>0.48799999999999999</v>
      </c>
      <c r="L37" s="53">
        <f t="shared" ref="L37:L48" si="16">J37*K37</f>
        <v>0.48799999999999999</v>
      </c>
      <c r="M37" s="9">
        <f>J37*$M$76</f>
        <v>80000</v>
      </c>
      <c r="N37" s="16">
        <f>M37*K37</f>
        <v>39040</v>
      </c>
      <c r="O37" s="11"/>
    </row>
    <row r="38" spans="1:15" x14ac:dyDescent="0.25">
      <c r="A38" s="117"/>
      <c r="B38" s="38" t="s">
        <v>34</v>
      </c>
      <c r="C38" s="13"/>
      <c r="D38" s="3">
        <v>603</v>
      </c>
      <c r="E38" s="3"/>
      <c r="F38" s="3"/>
      <c r="G38" s="3"/>
      <c r="H38" s="14" t="s">
        <v>15</v>
      </c>
      <c r="I38" s="5" t="s">
        <v>35</v>
      </c>
      <c r="J38" s="9">
        <v>1</v>
      </c>
      <c r="K38" s="14">
        <v>4.0000000000000001E-3</v>
      </c>
      <c r="L38" s="53">
        <f t="shared" si="16"/>
        <v>4.0000000000000001E-3</v>
      </c>
      <c r="M38" s="9">
        <f>J38*$M$76</f>
        <v>80000</v>
      </c>
      <c r="N38" s="16">
        <f>M38*K38</f>
        <v>320</v>
      </c>
      <c r="O38" s="11"/>
    </row>
    <row r="39" spans="1:15" x14ac:dyDescent="0.25">
      <c r="A39" s="118"/>
      <c r="B39" s="48"/>
      <c r="C39" s="55"/>
      <c r="D39" s="66"/>
      <c r="E39" s="66"/>
      <c r="F39" s="66"/>
      <c r="G39" s="66"/>
      <c r="H39" s="29"/>
      <c r="I39" s="30"/>
      <c r="J39" s="67"/>
      <c r="K39" s="68"/>
      <c r="L39" s="69"/>
      <c r="M39" s="31"/>
      <c r="N39" s="33"/>
      <c r="O39" s="11"/>
    </row>
    <row r="40" spans="1:15" x14ac:dyDescent="0.25">
      <c r="A40" s="123" t="s">
        <v>50</v>
      </c>
      <c r="B40" s="44" t="s">
        <v>96</v>
      </c>
      <c r="C40" s="2"/>
      <c r="D40" s="3"/>
      <c r="E40" s="3"/>
      <c r="F40" t="s">
        <v>103</v>
      </c>
      <c r="G40" t="s">
        <v>104</v>
      </c>
      <c r="H40" s="45" t="s">
        <v>59</v>
      </c>
      <c r="I40" s="5" t="s">
        <v>105</v>
      </c>
      <c r="J40" s="9">
        <v>1</v>
      </c>
      <c r="K40" s="45">
        <f>0.5*convRate</f>
        <v>0.67500000000000004</v>
      </c>
      <c r="L40" s="15">
        <f t="shared" si="16"/>
        <v>0.67500000000000004</v>
      </c>
      <c r="M40" s="9">
        <f t="shared" ref="M40:M64" si="17">J40*$M$76</f>
        <v>80000</v>
      </c>
      <c r="N40" s="16">
        <f>M40*K40</f>
        <v>54000</v>
      </c>
      <c r="O40" s="143" t="s">
        <v>106</v>
      </c>
    </row>
    <row r="41" spans="1:15" x14ac:dyDescent="0.25">
      <c r="A41" s="121"/>
      <c r="B41" s="142" t="s">
        <v>97</v>
      </c>
      <c r="C41" s="13"/>
      <c r="D41" s="3"/>
      <c r="E41" s="3"/>
      <c r="F41" s="3"/>
      <c r="G41" s="3"/>
      <c r="H41" s="14" t="s">
        <v>28</v>
      </c>
      <c r="I41" s="5" t="s">
        <v>51</v>
      </c>
      <c r="J41" s="9">
        <v>0</v>
      </c>
      <c r="K41" s="14">
        <v>1.34</v>
      </c>
      <c r="L41" s="15">
        <f t="shared" si="16"/>
        <v>0</v>
      </c>
      <c r="M41" s="9">
        <f t="shared" si="17"/>
        <v>0</v>
      </c>
      <c r="N41" s="16">
        <f>M41*K41</f>
        <v>0</v>
      </c>
      <c r="O41" s="144"/>
    </row>
    <row r="42" spans="1:15" x14ac:dyDescent="0.25">
      <c r="A42" s="121"/>
      <c r="B42" s="38" t="s">
        <v>52</v>
      </c>
      <c r="C42" s="13"/>
      <c r="D42" s="3"/>
      <c r="E42" s="3"/>
      <c r="F42" s="3"/>
      <c r="G42" s="3"/>
      <c r="H42" s="14" t="s">
        <v>15</v>
      </c>
      <c r="I42" s="5">
        <v>9547550</v>
      </c>
      <c r="J42" s="9">
        <v>1</v>
      </c>
      <c r="K42" s="14">
        <v>1.01</v>
      </c>
      <c r="L42" s="15">
        <f t="shared" si="16"/>
        <v>1.01</v>
      </c>
      <c r="M42" s="9">
        <f t="shared" si="17"/>
        <v>80000</v>
      </c>
      <c r="N42" s="16">
        <f t="shared" ref="N42:N55" si="18">M42*K42</f>
        <v>80800</v>
      </c>
      <c r="O42" s="144"/>
    </row>
    <row r="43" spans="1:15" x14ac:dyDescent="0.25">
      <c r="A43" s="121"/>
      <c r="B43" s="38" t="s">
        <v>34</v>
      </c>
      <c r="C43" s="13"/>
      <c r="D43" s="3">
        <v>402</v>
      </c>
      <c r="E43" s="148" t="s">
        <v>111</v>
      </c>
      <c r="F43" s="20"/>
      <c r="G43" s="20"/>
      <c r="H43" s="14" t="s">
        <v>15</v>
      </c>
      <c r="I43" s="5" t="s">
        <v>35</v>
      </c>
      <c r="J43" s="9">
        <v>3</v>
      </c>
      <c r="K43" s="14">
        <v>4.0000000000000001E-3</v>
      </c>
      <c r="L43" s="15">
        <f t="shared" si="16"/>
        <v>1.2E-2</v>
      </c>
      <c r="M43" s="9">
        <f t="shared" si="17"/>
        <v>240000</v>
      </c>
      <c r="N43" s="16">
        <f t="shared" si="18"/>
        <v>960</v>
      </c>
      <c r="O43" s="144"/>
    </row>
    <row r="44" spans="1:15" ht="15.75" customHeight="1" x14ac:dyDescent="0.25">
      <c r="A44" s="121"/>
      <c r="B44" s="38" t="s">
        <v>98</v>
      </c>
      <c r="C44" s="13"/>
      <c r="D44" s="3">
        <v>402</v>
      </c>
      <c r="E44" s="146" t="s">
        <v>112</v>
      </c>
      <c r="F44" s="3"/>
      <c r="G44" s="3"/>
      <c r="H44" s="14" t="s">
        <v>15</v>
      </c>
      <c r="I44" s="5" t="s">
        <v>102</v>
      </c>
      <c r="J44" s="9">
        <v>1</v>
      </c>
      <c r="K44" s="14">
        <v>1E-3</v>
      </c>
      <c r="L44" s="15">
        <f t="shared" si="16"/>
        <v>1E-3</v>
      </c>
      <c r="M44" s="9">
        <f t="shared" si="17"/>
        <v>80000</v>
      </c>
      <c r="N44" s="16">
        <f t="shared" si="18"/>
        <v>80</v>
      </c>
      <c r="O44" s="144"/>
    </row>
    <row r="45" spans="1:15" x14ac:dyDescent="0.25">
      <c r="A45" s="121"/>
      <c r="B45" s="142" t="s">
        <v>99</v>
      </c>
      <c r="C45" s="13"/>
      <c r="D45" s="3">
        <v>402</v>
      </c>
      <c r="E45" s="148" t="s">
        <v>113</v>
      </c>
      <c r="F45" s="20"/>
      <c r="G45" s="20"/>
      <c r="H45" s="45" t="s">
        <v>15</v>
      </c>
      <c r="I45" s="5">
        <v>9369716</v>
      </c>
      <c r="J45" s="9">
        <v>1</v>
      </c>
      <c r="K45" s="14">
        <v>1.4E-2</v>
      </c>
      <c r="L45" s="15">
        <f t="shared" si="16"/>
        <v>1.4E-2</v>
      </c>
      <c r="M45" s="9">
        <f t="shared" si="17"/>
        <v>80000</v>
      </c>
      <c r="N45" s="16">
        <f t="shared" si="18"/>
        <v>1120</v>
      </c>
      <c r="O45" s="144"/>
    </row>
    <row r="46" spans="1:15" x14ac:dyDescent="0.25">
      <c r="A46" s="121"/>
      <c r="B46" s="142" t="s">
        <v>100</v>
      </c>
      <c r="C46" s="13"/>
      <c r="D46" s="3">
        <v>402</v>
      </c>
      <c r="E46" s="148" t="s">
        <v>107</v>
      </c>
      <c r="F46" s="20"/>
      <c r="G46" s="20"/>
      <c r="H46" s="14" t="s">
        <v>15</v>
      </c>
      <c r="I46" s="5">
        <v>1709787</v>
      </c>
      <c r="J46" s="9">
        <v>1</v>
      </c>
      <c r="K46" s="14">
        <v>5.0000000000000001E-3</v>
      </c>
      <c r="L46" s="15">
        <f t="shared" si="16"/>
        <v>5.0000000000000001E-3</v>
      </c>
      <c r="M46" s="9">
        <f t="shared" si="17"/>
        <v>80000</v>
      </c>
      <c r="N46" s="16">
        <f t="shared" si="18"/>
        <v>400</v>
      </c>
      <c r="O46" s="144"/>
    </row>
    <row r="47" spans="1:15" x14ac:dyDescent="0.25">
      <c r="A47" s="121"/>
      <c r="B47" s="142" t="s">
        <v>18</v>
      </c>
      <c r="C47" s="13"/>
      <c r="D47" s="3">
        <v>402</v>
      </c>
      <c r="E47" s="148" t="s">
        <v>108</v>
      </c>
      <c r="F47" s="20"/>
      <c r="G47" s="20"/>
      <c r="H47" s="5" t="s">
        <v>15</v>
      </c>
      <c r="I47" s="5">
        <v>1759452</v>
      </c>
      <c r="J47" s="9">
        <v>1</v>
      </c>
      <c r="K47" s="14">
        <v>2.8000000000000001E-2</v>
      </c>
      <c r="L47" s="15">
        <f t="shared" si="16"/>
        <v>2.8000000000000001E-2</v>
      </c>
      <c r="M47" s="9">
        <f t="shared" si="17"/>
        <v>80000</v>
      </c>
      <c r="N47" s="16">
        <f t="shared" si="18"/>
        <v>2240</v>
      </c>
      <c r="O47" s="144"/>
    </row>
    <row r="48" spans="1:15" x14ac:dyDescent="0.25">
      <c r="A48" s="121"/>
      <c r="B48" s="38" t="s">
        <v>101</v>
      </c>
      <c r="C48" s="13"/>
      <c r="D48" s="3">
        <v>402</v>
      </c>
      <c r="E48" s="148" t="s">
        <v>110</v>
      </c>
      <c r="F48" s="20"/>
      <c r="G48" s="20"/>
      <c r="H48" s="14" t="s">
        <v>15</v>
      </c>
      <c r="I48" s="5">
        <v>1288256</v>
      </c>
      <c r="J48" s="9">
        <v>1</v>
      </c>
      <c r="K48" s="14">
        <v>1.2999999999999999E-2</v>
      </c>
      <c r="L48" s="15">
        <f t="shared" si="16"/>
        <v>1.2999999999999999E-2</v>
      </c>
      <c r="M48" s="9">
        <f t="shared" si="17"/>
        <v>80000</v>
      </c>
      <c r="N48" s="16">
        <f t="shared" si="18"/>
        <v>1040</v>
      </c>
      <c r="O48" s="144"/>
    </row>
    <row r="49" spans="1:15" x14ac:dyDescent="0.25">
      <c r="A49" s="122"/>
      <c r="B49" s="38" t="s">
        <v>25</v>
      </c>
      <c r="C49" s="13"/>
      <c r="D49" s="28">
        <v>402</v>
      </c>
      <c r="E49" s="147" t="s">
        <v>109</v>
      </c>
      <c r="F49" s="28"/>
      <c r="G49" s="28"/>
      <c r="H49" s="29" t="s">
        <v>15</v>
      </c>
      <c r="I49" s="30" t="s">
        <v>26</v>
      </c>
      <c r="J49" s="31">
        <v>1</v>
      </c>
      <c r="K49" s="29">
        <v>3.0000000000000001E-3</v>
      </c>
      <c r="L49" s="32">
        <f xml:space="preserve"> J49*K49</f>
        <v>3.0000000000000001E-3</v>
      </c>
      <c r="M49" s="31">
        <f t="shared" si="17"/>
        <v>80000</v>
      </c>
      <c r="N49" s="33">
        <f t="shared" si="18"/>
        <v>240</v>
      </c>
      <c r="O49" s="145"/>
    </row>
    <row r="50" spans="1:15" x14ac:dyDescent="0.25">
      <c r="A50" s="126" t="s">
        <v>53</v>
      </c>
      <c r="B50" s="44" t="s">
        <v>54</v>
      </c>
      <c r="C50" s="70"/>
      <c r="D50" s="71"/>
      <c r="E50" s="105"/>
      <c r="F50" s="105"/>
      <c r="G50" s="105"/>
      <c r="H50" s="14"/>
      <c r="I50" s="5"/>
      <c r="J50" s="9">
        <v>1</v>
      </c>
      <c r="K50" s="14">
        <v>3.21</v>
      </c>
      <c r="L50" s="15">
        <f xml:space="preserve"> J50*K50</f>
        <v>3.21</v>
      </c>
      <c r="M50" s="9">
        <f t="shared" si="17"/>
        <v>80000</v>
      </c>
      <c r="N50" s="16">
        <f t="shared" si="18"/>
        <v>256800</v>
      </c>
      <c r="O50" s="54"/>
    </row>
    <row r="51" spans="1:15" x14ac:dyDescent="0.25">
      <c r="A51" s="127"/>
      <c r="B51" s="38" t="s">
        <v>25</v>
      </c>
      <c r="C51" s="13"/>
      <c r="D51" s="28">
        <v>402</v>
      </c>
      <c r="E51" s="28"/>
      <c r="F51" s="28"/>
      <c r="G51" s="28"/>
      <c r="H51" s="29" t="s">
        <v>15</v>
      </c>
      <c r="I51" s="30" t="s">
        <v>26</v>
      </c>
      <c r="J51" s="9">
        <v>1</v>
      </c>
      <c r="K51" s="14">
        <v>3.0000000000000001E-3</v>
      </c>
      <c r="L51" s="15">
        <f xml:space="preserve"> J51*K51</f>
        <v>3.0000000000000001E-3</v>
      </c>
      <c r="M51" s="31">
        <f t="shared" si="17"/>
        <v>80000</v>
      </c>
      <c r="N51" s="33">
        <f t="shared" si="18"/>
        <v>240</v>
      </c>
      <c r="O51" s="34"/>
    </row>
    <row r="52" spans="1:15" x14ac:dyDescent="0.25">
      <c r="A52" s="123" t="s">
        <v>55</v>
      </c>
      <c r="B52" s="44" t="s">
        <v>56</v>
      </c>
      <c r="C52" s="2"/>
      <c r="D52" s="3"/>
      <c r="E52" s="3"/>
      <c r="F52" s="3"/>
      <c r="G52" s="3"/>
      <c r="H52" s="14"/>
      <c r="I52" s="5" t="s">
        <v>57</v>
      </c>
      <c r="J52" s="6">
        <v>1</v>
      </c>
      <c r="K52" s="7">
        <v>1.18</v>
      </c>
      <c r="L52" s="60">
        <f>J52*K52</f>
        <v>1.18</v>
      </c>
      <c r="M52" s="9">
        <f t="shared" si="17"/>
        <v>80000</v>
      </c>
      <c r="N52" s="16">
        <f t="shared" si="18"/>
        <v>94400</v>
      </c>
      <c r="O52" s="72"/>
    </row>
    <row r="53" spans="1:15" x14ac:dyDescent="0.25">
      <c r="A53" s="121"/>
      <c r="B53" s="38" t="s">
        <v>58</v>
      </c>
      <c r="C53" s="13"/>
      <c r="D53" s="3"/>
      <c r="E53" s="3"/>
      <c r="F53" s="3"/>
      <c r="G53" s="3"/>
      <c r="H53" s="14" t="s">
        <v>59</v>
      </c>
      <c r="I53" s="5"/>
      <c r="J53" s="9">
        <v>0</v>
      </c>
      <c r="K53" s="14">
        <f>4.95*O76</f>
        <v>6.682500000000001</v>
      </c>
      <c r="L53" s="15">
        <f>J53*K53</f>
        <v>0</v>
      </c>
      <c r="M53" s="9">
        <f t="shared" si="17"/>
        <v>0</v>
      </c>
      <c r="N53" s="16">
        <f t="shared" si="18"/>
        <v>0</v>
      </c>
      <c r="O53" s="37"/>
    </row>
    <row r="54" spans="1:15" x14ac:dyDescent="0.25">
      <c r="A54" s="121"/>
      <c r="B54" s="38" t="s">
        <v>60</v>
      </c>
      <c r="C54" s="13"/>
      <c r="D54" s="3">
        <v>1206</v>
      </c>
      <c r="E54" s="3"/>
      <c r="F54" s="3"/>
      <c r="G54" s="3"/>
      <c r="H54" s="14" t="s">
        <v>15</v>
      </c>
      <c r="I54" s="5">
        <v>2333009</v>
      </c>
      <c r="J54" s="9">
        <v>1</v>
      </c>
      <c r="K54" s="14">
        <f>IF(M76&gt;49,0.379,0.471)</f>
        <v>0.379</v>
      </c>
      <c r="L54" s="15">
        <f>J54*K54</f>
        <v>0.379</v>
      </c>
      <c r="M54" s="9">
        <f t="shared" si="17"/>
        <v>80000</v>
      </c>
      <c r="N54" s="16">
        <f t="shared" si="18"/>
        <v>30320</v>
      </c>
      <c r="O54" s="73"/>
    </row>
    <row r="55" spans="1:15" x14ac:dyDescent="0.25">
      <c r="A55" s="121"/>
      <c r="B55" s="38" t="s">
        <v>25</v>
      </c>
      <c r="C55" s="13"/>
      <c r="D55" s="3">
        <v>402</v>
      </c>
      <c r="E55" s="3"/>
      <c r="F55" s="3"/>
      <c r="G55" s="3"/>
      <c r="H55" s="14" t="s">
        <v>15</v>
      </c>
      <c r="I55" s="5" t="s">
        <v>26</v>
      </c>
      <c r="J55" s="9">
        <v>2</v>
      </c>
      <c r="K55" s="14">
        <v>3.0000000000000001E-3</v>
      </c>
      <c r="L55" s="15">
        <f>J55*K55</f>
        <v>6.0000000000000001E-3</v>
      </c>
      <c r="M55" s="9">
        <f t="shared" si="17"/>
        <v>160000</v>
      </c>
      <c r="N55" s="16">
        <f t="shared" si="18"/>
        <v>480</v>
      </c>
      <c r="O55" s="74"/>
    </row>
    <row r="56" spans="1:15" x14ac:dyDescent="0.25">
      <c r="A56" s="128"/>
      <c r="B56" s="48"/>
      <c r="C56" s="27"/>
      <c r="D56" s="28"/>
      <c r="E56" s="28"/>
      <c r="F56" s="28"/>
      <c r="G56" s="28"/>
      <c r="H56" s="29"/>
      <c r="I56" s="30"/>
      <c r="J56" s="31"/>
      <c r="K56" s="29"/>
      <c r="L56" s="32"/>
      <c r="M56" s="31">
        <f t="shared" si="17"/>
        <v>0</v>
      </c>
      <c r="N56" s="32"/>
      <c r="O56" s="75"/>
    </row>
    <row r="57" spans="1:15" x14ac:dyDescent="0.25">
      <c r="A57" s="123" t="s">
        <v>61</v>
      </c>
      <c r="B57" s="38" t="s">
        <v>62</v>
      </c>
      <c r="C57" s="13"/>
      <c r="D57" s="3"/>
      <c r="E57" s="3"/>
      <c r="F57" s="3"/>
      <c r="G57" s="3"/>
      <c r="H57" s="14" t="s">
        <v>28</v>
      </c>
      <c r="I57" s="5" t="s">
        <v>63</v>
      </c>
      <c r="J57" s="9">
        <v>1</v>
      </c>
      <c r="K57" s="14">
        <v>5</v>
      </c>
      <c r="L57" s="15">
        <f>J57*K57</f>
        <v>5</v>
      </c>
      <c r="M57" s="9">
        <f t="shared" si="17"/>
        <v>80000</v>
      </c>
      <c r="N57" s="16">
        <f>M57*K57</f>
        <v>400000</v>
      </c>
      <c r="O57" s="76"/>
    </row>
    <row r="58" spans="1:15" x14ac:dyDescent="0.25">
      <c r="A58" s="121"/>
      <c r="B58" s="38" t="s">
        <v>34</v>
      </c>
      <c r="C58" s="13"/>
      <c r="D58" s="3">
        <v>603</v>
      </c>
      <c r="E58" s="3"/>
      <c r="F58" s="3"/>
      <c r="G58" s="3"/>
      <c r="H58" s="14" t="s">
        <v>15</v>
      </c>
      <c r="I58" s="5" t="s">
        <v>35</v>
      </c>
      <c r="J58" s="9">
        <v>3</v>
      </c>
      <c r="K58" s="14">
        <v>4.0000000000000001E-3</v>
      </c>
      <c r="L58" s="15">
        <f>J58*K58</f>
        <v>1.2E-2</v>
      </c>
      <c r="M58" s="9">
        <f t="shared" si="17"/>
        <v>240000</v>
      </c>
      <c r="N58" s="16">
        <f>M58*K58</f>
        <v>960</v>
      </c>
      <c r="O58" s="74"/>
    </row>
    <row r="59" spans="1:15" x14ac:dyDescent="0.25">
      <c r="A59" s="121"/>
      <c r="B59" s="38" t="s">
        <v>25</v>
      </c>
      <c r="C59" s="13"/>
      <c r="D59" s="3">
        <v>402</v>
      </c>
      <c r="E59" s="3"/>
      <c r="F59" s="3"/>
      <c r="G59" s="3"/>
      <c r="H59" s="14" t="s">
        <v>15</v>
      </c>
      <c r="I59" s="5" t="s">
        <v>26</v>
      </c>
      <c r="J59" s="9">
        <v>1</v>
      </c>
      <c r="K59" s="14">
        <v>3.0000000000000001E-3</v>
      </c>
      <c r="L59" s="15">
        <f>J59*K59</f>
        <v>3.0000000000000001E-3</v>
      </c>
      <c r="M59" s="9">
        <f t="shared" si="17"/>
        <v>80000</v>
      </c>
      <c r="N59" s="16">
        <f>M59*K59</f>
        <v>240</v>
      </c>
      <c r="O59" s="74"/>
    </row>
    <row r="60" spans="1:15" x14ac:dyDescent="0.25">
      <c r="A60" s="121"/>
      <c r="B60" s="38"/>
      <c r="C60" s="13"/>
      <c r="D60" s="3"/>
      <c r="E60" s="3"/>
      <c r="F60" s="3"/>
      <c r="G60" s="3"/>
      <c r="H60" s="14"/>
      <c r="I60" s="5"/>
      <c r="J60" s="9"/>
      <c r="K60" s="14"/>
      <c r="L60" s="15"/>
      <c r="M60" s="9">
        <f t="shared" si="17"/>
        <v>0</v>
      </c>
      <c r="N60" s="16"/>
      <c r="O60" s="74"/>
    </row>
    <row r="61" spans="1:15" x14ac:dyDescent="0.25">
      <c r="A61" s="122"/>
      <c r="B61" s="48"/>
      <c r="C61" s="27"/>
      <c r="D61" s="28"/>
      <c r="E61" s="28"/>
      <c r="F61" s="28"/>
      <c r="G61" s="28"/>
      <c r="H61" s="29"/>
      <c r="I61" s="30"/>
      <c r="J61" s="31"/>
      <c r="K61" s="29"/>
      <c r="L61" s="32"/>
      <c r="M61" s="31">
        <f t="shared" si="17"/>
        <v>0</v>
      </c>
      <c r="N61" s="33"/>
      <c r="O61" s="77"/>
    </row>
    <row r="62" spans="1:15" x14ac:dyDescent="0.25">
      <c r="A62" s="126" t="s">
        <v>64</v>
      </c>
      <c r="B62" s="44" t="s">
        <v>65</v>
      </c>
      <c r="C62" s="70"/>
      <c r="D62" s="78"/>
      <c r="E62" s="78"/>
      <c r="F62" s="78"/>
      <c r="G62" s="78"/>
      <c r="H62" s="7" t="s">
        <v>66</v>
      </c>
      <c r="I62" s="59"/>
      <c r="J62" s="6">
        <v>1</v>
      </c>
      <c r="K62" s="7">
        <f>0.95*convRate</f>
        <v>1.2825</v>
      </c>
      <c r="L62" s="60">
        <f t="shared" ref="L62" si="19">J62*K62</f>
        <v>1.2825</v>
      </c>
      <c r="M62" s="9">
        <f t="shared" si="17"/>
        <v>80000</v>
      </c>
      <c r="N62" s="61">
        <f t="shared" ref="N62" si="20">M62*K62</f>
        <v>102600</v>
      </c>
      <c r="O62" s="54" t="s">
        <v>13</v>
      </c>
    </row>
    <row r="63" spans="1:15" x14ac:dyDescent="0.25">
      <c r="A63" s="127"/>
      <c r="B63" s="48"/>
      <c r="C63" s="79"/>
      <c r="D63" s="80"/>
      <c r="E63" s="80"/>
      <c r="F63" s="80"/>
      <c r="G63" s="80"/>
      <c r="H63" s="29"/>
      <c r="I63" s="30"/>
      <c r="J63" s="31"/>
      <c r="K63" s="29"/>
      <c r="L63" s="32"/>
      <c r="M63" s="31">
        <f t="shared" si="17"/>
        <v>0</v>
      </c>
      <c r="N63" s="33"/>
      <c r="O63" s="81"/>
    </row>
    <row r="64" spans="1:15" x14ac:dyDescent="0.25">
      <c r="A64" s="129" t="s">
        <v>67</v>
      </c>
      <c r="B64" s="101" t="s">
        <v>68</v>
      </c>
      <c r="C64" s="70"/>
      <c r="D64" s="78"/>
      <c r="E64" s="78"/>
      <c r="F64" s="78"/>
      <c r="G64" s="78"/>
      <c r="H64" s="7"/>
      <c r="I64" s="59"/>
      <c r="J64" s="6">
        <v>1</v>
      </c>
      <c r="K64" s="82">
        <f>11*convRate</f>
        <v>14.850000000000001</v>
      </c>
      <c r="L64" s="60">
        <f t="shared" ref="L64" si="21">J64*K64</f>
        <v>14.850000000000001</v>
      </c>
      <c r="M64" s="9">
        <f t="shared" si="17"/>
        <v>80000</v>
      </c>
      <c r="N64" s="61">
        <f>M64*K64</f>
        <v>1188000</v>
      </c>
      <c r="O64" s="83" t="s">
        <v>69</v>
      </c>
    </row>
    <row r="65" spans="1:15" x14ac:dyDescent="0.25">
      <c r="A65" s="130"/>
      <c r="B65" s="100"/>
      <c r="C65" s="79"/>
      <c r="D65" s="80"/>
      <c r="E65" s="80"/>
      <c r="F65" s="80"/>
      <c r="G65" s="80"/>
      <c r="H65" s="29"/>
      <c r="I65" s="30"/>
      <c r="J65" s="31"/>
      <c r="K65" s="29"/>
      <c r="L65" s="32"/>
      <c r="M65" s="84"/>
      <c r="N65" s="33"/>
      <c r="O65" s="75"/>
    </row>
    <row r="66" spans="1:15" x14ac:dyDescent="0.25">
      <c r="A66" s="123" t="s">
        <v>70</v>
      </c>
      <c r="B66" s="98"/>
      <c r="C66" s="2"/>
      <c r="D66" s="85"/>
      <c r="E66" s="85"/>
      <c r="F66" s="85"/>
      <c r="G66" s="85"/>
      <c r="H66" s="7"/>
      <c r="I66" s="5"/>
      <c r="J66" s="86"/>
      <c r="K66" s="7"/>
      <c r="L66" s="60"/>
      <c r="M66" s="87"/>
      <c r="N66" s="61"/>
      <c r="O66" s="54"/>
    </row>
    <row r="67" spans="1:15" x14ac:dyDescent="0.25">
      <c r="A67" s="121"/>
      <c r="B67" s="102"/>
      <c r="C67" s="13"/>
      <c r="D67" s="3"/>
      <c r="E67" s="3"/>
      <c r="F67" s="3"/>
      <c r="G67" s="3"/>
      <c r="H67" s="14"/>
      <c r="I67" s="5"/>
      <c r="J67" s="88"/>
      <c r="K67" s="14"/>
      <c r="L67" s="15"/>
      <c r="M67" s="89"/>
      <c r="N67" s="16"/>
      <c r="O67" s="11"/>
    </row>
    <row r="68" spans="1:15" x14ac:dyDescent="0.25">
      <c r="A68" s="121"/>
      <c r="B68" s="102"/>
      <c r="C68" s="13"/>
      <c r="D68" s="3"/>
      <c r="E68" s="3"/>
      <c r="F68" s="3"/>
      <c r="G68" s="3"/>
      <c r="H68" s="14"/>
      <c r="I68" s="5"/>
      <c r="J68" s="88"/>
      <c r="K68" s="14"/>
      <c r="L68" s="15"/>
      <c r="M68" s="89"/>
      <c r="N68" s="16"/>
      <c r="O68" s="11"/>
    </row>
    <row r="69" spans="1:15" ht="15.75" customHeight="1" x14ac:dyDescent="0.25">
      <c r="A69" s="122"/>
      <c r="B69" s="48"/>
      <c r="C69" s="27"/>
      <c r="D69" s="28"/>
      <c r="E69" s="28"/>
      <c r="F69" s="28"/>
      <c r="G69" s="28"/>
      <c r="H69" s="29"/>
      <c r="I69" s="30"/>
      <c r="J69" s="90"/>
      <c r="K69" s="29"/>
      <c r="L69" s="32"/>
      <c r="M69" s="31"/>
      <c r="N69" s="33"/>
      <c r="O69" s="34"/>
    </row>
    <row r="70" spans="1:15" x14ac:dyDescent="0.25">
      <c r="A70" s="123" t="s">
        <v>71</v>
      </c>
      <c r="B70" s="44"/>
      <c r="C70" s="2"/>
      <c r="D70" s="3"/>
      <c r="E70" s="3"/>
      <c r="F70" s="3"/>
      <c r="G70" s="3"/>
      <c r="H70" s="14"/>
      <c r="I70" s="5"/>
      <c r="J70" s="86"/>
      <c r="K70" s="7"/>
      <c r="L70" s="60"/>
      <c r="M70" s="6"/>
      <c r="N70" s="61"/>
      <c r="O70" s="54"/>
    </row>
    <row r="71" spans="1:15" x14ac:dyDescent="0.25">
      <c r="A71" s="121"/>
      <c r="B71" s="38"/>
      <c r="C71" s="13"/>
      <c r="D71" s="3"/>
      <c r="E71" s="3"/>
      <c r="F71" s="3"/>
      <c r="G71" s="3"/>
      <c r="H71" s="14"/>
      <c r="I71" s="5"/>
      <c r="J71" s="88"/>
      <c r="K71" s="14"/>
      <c r="L71" s="15"/>
      <c r="M71" s="9"/>
      <c r="N71" s="16"/>
      <c r="O71" s="47"/>
    </row>
    <row r="72" spans="1:15" x14ac:dyDescent="0.25">
      <c r="A72" s="121"/>
      <c r="B72" s="38"/>
      <c r="C72" s="13"/>
      <c r="D72" s="3"/>
      <c r="E72" s="3"/>
      <c r="F72" s="3"/>
      <c r="G72" s="3"/>
      <c r="H72" s="14"/>
      <c r="I72" s="5"/>
      <c r="J72" s="88"/>
      <c r="K72" s="14"/>
      <c r="L72" s="15"/>
      <c r="M72" s="9"/>
      <c r="N72" s="16"/>
      <c r="O72" s="47"/>
    </row>
    <row r="73" spans="1:15" ht="15.75" customHeight="1" x14ac:dyDescent="0.25">
      <c r="A73" s="122"/>
      <c r="B73" s="48"/>
      <c r="C73" s="27"/>
      <c r="D73" s="28"/>
      <c r="E73" s="28"/>
      <c r="F73" s="28"/>
      <c r="G73" s="28"/>
      <c r="H73" s="29"/>
      <c r="I73" s="30"/>
      <c r="J73" s="90"/>
      <c r="K73" s="29"/>
      <c r="L73" s="32"/>
      <c r="M73" s="31"/>
      <c r="N73" s="33"/>
      <c r="O73" s="43"/>
    </row>
    <row r="74" spans="1:15" ht="16.5" thickBot="1" x14ac:dyDescent="0.3"/>
    <row r="75" spans="1:15" ht="32.25" customHeight="1" thickTop="1" x14ac:dyDescent="0.25">
      <c r="A75" s="131"/>
      <c r="B75" s="140"/>
      <c r="C75" s="138"/>
      <c r="D75" s="133" t="s">
        <v>72</v>
      </c>
      <c r="E75" s="133"/>
      <c r="F75" s="133"/>
      <c r="G75" s="133"/>
      <c r="H75" s="134"/>
      <c r="I75" s="134"/>
      <c r="J75" s="136" t="s">
        <v>73</v>
      </c>
      <c r="K75" s="92">
        <f>M75/M76</f>
        <v>58.01305</v>
      </c>
      <c r="L75" s="93"/>
      <c r="M75" s="94">
        <f>SUM(N3:N73)</f>
        <v>4641044</v>
      </c>
      <c r="N75" s="124" t="s">
        <v>74</v>
      </c>
      <c r="O75" t="s">
        <v>75</v>
      </c>
    </row>
    <row r="76" spans="1:15" x14ac:dyDescent="0.25">
      <c r="A76" s="132"/>
      <c r="B76" s="141"/>
      <c r="C76" s="139"/>
      <c r="D76" s="135"/>
      <c r="E76" s="135"/>
      <c r="F76" s="135"/>
      <c r="G76" s="135"/>
      <c r="H76" s="135"/>
      <c r="I76" s="135"/>
      <c r="J76" s="137"/>
      <c r="K76" s="95" t="s">
        <v>76</v>
      </c>
      <c r="L76" s="96" t="s">
        <v>87</v>
      </c>
      <c r="M76" s="106">
        <v>80000</v>
      </c>
      <c r="N76" s="125"/>
      <c r="O76" s="97">
        <v>1.35</v>
      </c>
    </row>
  </sheetData>
  <mergeCells count="21">
    <mergeCell ref="O40:O49"/>
    <mergeCell ref="N75:N76"/>
    <mergeCell ref="A40:A49"/>
    <mergeCell ref="A50:A51"/>
    <mergeCell ref="A52:A56"/>
    <mergeCell ref="A57:A61"/>
    <mergeCell ref="A62:A63"/>
    <mergeCell ref="A64:A65"/>
    <mergeCell ref="A66:A69"/>
    <mergeCell ref="A70:A73"/>
    <mergeCell ref="A75:A76"/>
    <mergeCell ref="D75:I76"/>
    <mergeCell ref="J75:J76"/>
    <mergeCell ref="C75:C76"/>
    <mergeCell ref="B75:B76"/>
    <mergeCell ref="A37:A39"/>
    <mergeCell ref="A3:A13"/>
    <mergeCell ref="A14:A17"/>
    <mergeCell ref="A18:A29"/>
    <mergeCell ref="A30:A31"/>
    <mergeCell ref="A32:A36"/>
  </mergeCells>
  <hyperlinks>
    <hyperlink ref="B37" r:id="rId1"/>
    <hyperlink ref="B50" r:id="rId2" display="BMP180"/>
    <hyperlink ref="B52" r:id="rId3"/>
    <hyperlink ref="B57" r:id="rId4"/>
    <hyperlink ref="B5" r:id="rId5" display="MCP73831T"/>
    <hyperlink ref="B6" r:id="rId6"/>
    <hyperlink ref="B9" r:id="rId7"/>
    <hyperlink ref="B12" r:id="rId8" display="JST Header 2-way"/>
    <hyperlink ref="B18" r:id="rId9" display="10K OHM 1%"/>
    <hyperlink ref="B38" r:id="rId10"/>
    <hyperlink ref="B58" r:id="rId11"/>
    <hyperlink ref="B55" r:id="rId12"/>
    <hyperlink ref="B59" r:id="rId13"/>
    <hyperlink ref="B51" r:id="rId14"/>
    <hyperlink ref="B10" r:id="rId15"/>
    <hyperlink ref="B19" r:id="rId16"/>
    <hyperlink ref="B54" r:id="rId17"/>
    <hyperlink ref="B53" r:id="rId18"/>
    <hyperlink ref="B20" r:id="rId19" display="SMD Tactice Button"/>
    <hyperlink ref="B22" r:id="rId20"/>
    <hyperlink ref="B3" r:id="rId21" display="18650 (2600mAh) Li-Po Battery"/>
    <hyperlink ref="B30" r:id="rId22" display="SD Card Slot - Alt 1"/>
    <hyperlink ref="B14" r:id="rId23"/>
    <hyperlink ref="B16" r:id="rId24"/>
    <hyperlink ref="B17" r:id="rId25"/>
    <hyperlink ref="B11" r:id="rId26" display="Indicator LED SMT ALT"/>
    <hyperlink ref="B15" r:id="rId27"/>
    <hyperlink ref="B33" r:id="rId28"/>
    <hyperlink ref="B34" r:id="rId29" display="10nF"/>
    <hyperlink ref="B35" r:id="rId30"/>
    <hyperlink ref="B8" r:id="rId31"/>
    <hyperlink ref="B23" r:id="rId32"/>
    <hyperlink ref="B24" r:id="rId33"/>
    <hyperlink ref="B4" r:id="rId34"/>
    <hyperlink ref="B25" r:id="rId35"/>
    <hyperlink ref="B26" r:id="rId36"/>
    <hyperlink ref="B7" r:id="rId37"/>
    <hyperlink ref="B28" r:id="rId38"/>
    <hyperlink ref="B21" r:id="rId39"/>
    <hyperlink ref="B42" r:id="rId40"/>
    <hyperlink ref="B43" r:id="rId41"/>
    <hyperlink ref="B47" r:id="rId42"/>
    <hyperlink ref="B48" r:id="rId43"/>
    <hyperlink ref="B49" r:id="rId44"/>
    <hyperlink ref="B44" r:id="rId45"/>
    <hyperlink ref="B46" r:id="rId46"/>
    <hyperlink ref="B45" r:id="rId47"/>
    <hyperlink ref="B41" r:id="rId48"/>
  </hyperlinks>
  <pageMargins left="0.25" right="0.25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V3.X - P0 (BM-09)</vt:lpstr>
      <vt:lpstr>convRate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Bhatt</dc:creator>
  <cp:lastModifiedBy>Harsh Bhatt</cp:lastModifiedBy>
  <dcterms:created xsi:type="dcterms:W3CDTF">2015-02-03T04:35:58Z</dcterms:created>
  <dcterms:modified xsi:type="dcterms:W3CDTF">2015-02-22T20:20:36Z</dcterms:modified>
</cp:coreProperties>
</file>